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drawings/drawing6.xml" ContentType="application/vnd.openxmlformats-officedocument.drawing+xml"/>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ЦяКнига"/>
  <mc:AlternateContent xmlns:mc="http://schemas.openxmlformats.org/markup-compatibility/2006">
    <mc:Choice Requires="x15">
      <x15ac:absPath xmlns:x15ac="http://schemas.microsoft.com/office/spreadsheetml/2010/11/ac" url="S:\Головний Банк\Деп. Роздрібного кредитування\АВТО\Відділ продуктів\Роман\"/>
    </mc:Choice>
  </mc:AlternateContent>
  <xr:revisionPtr revIDLastSave="0" documentId="13_ncr:1_{37B9EFCE-0BC9-4DD6-8047-91EA9C0E954D}" xr6:coauthVersionLast="47" xr6:coauthVersionMax="47" xr10:uidLastSave="{00000000-0000-0000-0000-000000000000}"/>
  <workbookProtection workbookAlgorithmName="SHA-512" workbookHashValue="G0ITpQiGAbrL7ws9uhOyVg8q9EqcJlxIP11tUZ+9iziockeJk5SfOHED9N60dgQfIzTnWbVWpIzSsYZZynOyNg==" workbookSaltValue="fTRhqxUc++t493Q65HGvTg==" workbookSpinCount="100000" lockStructure="1"/>
  <bookViews>
    <workbookView xWindow="-108" yWindow="-108" windowWidth="23256" windowHeight="12456" tabRatio="888" firstSheet="3" activeTab="3" xr2:uid="{00000000-000D-0000-FFFF-FFFF00000000}"/>
  </bookViews>
  <sheets>
    <sheet name="Платоспроможність боржника" sheetId="1" state="hidden" r:id="rId1"/>
    <sheet name="Ануїтетна_графік_Іпотека" sheetId="6" state="hidden" r:id="rId2"/>
    <sheet name="Ануїтетна_графік_Авто" sheetId="7" state="hidden" r:id="rId3"/>
    <sheet name="Калькулятор " sheetId="11" r:id="rId4"/>
    <sheet name="Калькулятор" sheetId="9" state="hidden" r:id="rId5"/>
    <sheet name="Калькулятор (реал. ставка)" sheetId="10" state="hidden" r:id="rId6"/>
    <sheet name="Платоспроможність поручителя" sheetId="8" state="hidden" r:id="rId7"/>
    <sheet name="Доступна сума" sheetId="4" state="hidden" r:id="rId8"/>
    <sheet name="коефіцієнт витрат" sheetId="3" state="hidden" r:id="rId9"/>
    <sheet name="Таблиця МП_БВС" sheetId="2" state="hidden" r:id="rId10"/>
  </sheets>
  <definedNames>
    <definedName name="_xlnm.Print_Area" localSheetId="4">Калькулятор!$A$1:$N$186</definedName>
    <definedName name="_xlnm.Print_Area" localSheetId="3">'Калькулятор '!$A$1:$N$110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8" i="11" l="1"/>
  <c r="E108" i="11"/>
  <c r="D108" i="11"/>
  <c r="V19" i="11"/>
  <c r="B108" i="11"/>
  <c r="B36" i="11"/>
  <c r="B37" i="11" l="1"/>
  <c r="U4" i="11"/>
  <c r="R40" i="11"/>
  <c r="R39" i="11"/>
  <c r="N16" i="11" s="1"/>
  <c r="B38" i="11" l="1"/>
  <c r="R38" i="11"/>
  <c r="N8" i="11" s="1"/>
  <c r="R36" i="11"/>
  <c r="AC26" i="11"/>
  <c r="AC27" i="11" s="1"/>
  <c r="AC28" i="11" s="1"/>
  <c r="AC29" i="11" s="1"/>
  <c r="AC30" i="11" s="1"/>
  <c r="AC31" i="11" s="1"/>
  <c r="AC32" i="11" s="1"/>
  <c r="AC33" i="11" s="1"/>
  <c r="B39" i="11" l="1"/>
  <c r="V26" i="11"/>
  <c r="X2" i="11"/>
  <c r="I248" i="7"/>
  <c r="Z28" i="11" l="1"/>
  <c r="Z16" i="11"/>
  <c r="B40" i="11"/>
  <c r="N8" i="9"/>
  <c r="G4" i="9"/>
  <c r="S33" i="11"/>
  <c r="R13" i="11"/>
  <c r="AA7" i="7"/>
  <c r="E3" i="7"/>
  <c r="E3" i="6"/>
  <c r="AW76" i="11"/>
  <c r="AW64" i="11"/>
  <c r="AW52" i="11"/>
  <c r="AW40" i="11"/>
  <c r="AW28" i="11"/>
  <c r="Q24" i="11"/>
  <c r="Q25" i="11" s="1"/>
  <c r="R20" i="11"/>
  <c r="AB3" i="11"/>
  <c r="AW16" i="11"/>
  <c r="W4" i="11"/>
  <c r="V4" i="11"/>
  <c r="X3" i="11"/>
  <c r="W3" i="11"/>
  <c r="V3" i="11"/>
  <c r="B41" i="11" l="1"/>
  <c r="V25" i="11"/>
  <c r="V21" i="11"/>
  <c r="V20" i="11"/>
  <c r="AB4" i="11" s="1"/>
  <c r="W2" i="11"/>
  <c r="X4" i="11"/>
  <c r="R16" i="11" s="1"/>
  <c r="AK4" i="11"/>
  <c r="AK5" i="11" s="1"/>
  <c r="AK6" i="11" s="1"/>
  <c r="AK7" i="11" s="1"/>
  <c r="AK8" i="11" s="1"/>
  <c r="AK9" i="11" s="1"/>
  <c r="AK10" i="11" s="1"/>
  <c r="AK11" i="11" s="1"/>
  <c r="AK12" i="11" s="1"/>
  <c r="AK13" i="11" s="1"/>
  <c r="AK14" i="11" s="1"/>
  <c r="AK15" i="11" s="1"/>
  <c r="AK16" i="11" s="1"/>
  <c r="AK17" i="11" s="1"/>
  <c r="AK18" i="11" s="1"/>
  <c r="AK19" i="11" s="1"/>
  <c r="AK20" i="11" s="1"/>
  <c r="AK21" i="11" s="1"/>
  <c r="AK22" i="11" s="1"/>
  <c r="AK23" i="11" s="1"/>
  <c r="AK24" i="11" s="1"/>
  <c r="AK25" i="11" s="1"/>
  <c r="AK26" i="11" s="1"/>
  <c r="AK27" i="11" s="1"/>
  <c r="AK28" i="11" s="1"/>
  <c r="AK29" i="11" s="1"/>
  <c r="AK30" i="11" s="1"/>
  <c r="AK31" i="11" s="1"/>
  <c r="AK32" i="11" s="1"/>
  <c r="AK33" i="11" s="1"/>
  <c r="AK34" i="11" s="1"/>
  <c r="AK35" i="11" s="1"/>
  <c r="AK36" i="11" s="1"/>
  <c r="AK37" i="11" s="1"/>
  <c r="AK38" i="11" s="1"/>
  <c r="AK39" i="11" s="1"/>
  <c r="AK40" i="11" s="1"/>
  <c r="AK41" i="11" s="1"/>
  <c r="AK42" i="11" s="1"/>
  <c r="AK43" i="11" s="1"/>
  <c r="AK44" i="11" s="1"/>
  <c r="AK45" i="11" s="1"/>
  <c r="AK46" i="11" s="1"/>
  <c r="AK47" i="11" s="1"/>
  <c r="AK48" i="11" s="1"/>
  <c r="AK49" i="11" s="1"/>
  <c r="AK50" i="11" s="1"/>
  <c r="AK51" i="11" s="1"/>
  <c r="AK52" i="11" s="1"/>
  <c r="AK53" i="11" s="1"/>
  <c r="AK54" i="11" s="1"/>
  <c r="AK55" i="11" s="1"/>
  <c r="AK56" i="11" s="1"/>
  <c r="AK57" i="11" s="1"/>
  <c r="AK58" i="11" s="1"/>
  <c r="AK59" i="11" s="1"/>
  <c r="AK60" i="11" s="1"/>
  <c r="AK61" i="11" s="1"/>
  <c r="AK62" i="11" s="1"/>
  <c r="AK63" i="11" s="1"/>
  <c r="AK64" i="11" s="1"/>
  <c r="AK65" i="11" s="1"/>
  <c r="AK66" i="11" s="1"/>
  <c r="AK67" i="11" s="1"/>
  <c r="AK68" i="11" s="1"/>
  <c r="AK69" i="11" s="1"/>
  <c r="AK70" i="11" s="1"/>
  <c r="AK71" i="11" s="1"/>
  <c r="AK72" i="11" s="1"/>
  <c r="AK73" i="11" s="1"/>
  <c r="AK74" i="11" s="1"/>
  <c r="AK75" i="11" s="1"/>
  <c r="AK76" i="11" s="1"/>
  <c r="AK77" i="11" s="1"/>
  <c r="AK78" i="11" s="1"/>
  <c r="AK79" i="11" s="1"/>
  <c r="AK80" i="11" s="1"/>
  <c r="AK81" i="11" s="1"/>
  <c r="AK82" i="11" s="1"/>
  <c r="AK83" i="11" s="1"/>
  <c r="AK84" i="11" s="1"/>
  <c r="AK85" i="11" s="1"/>
  <c r="AK86" i="11" s="1"/>
  <c r="AK87" i="11" s="1"/>
  <c r="AK88" i="11" s="1"/>
  <c r="AK89" i="11" s="1"/>
  <c r="X18" i="11"/>
  <c r="B42" i="11" l="1"/>
  <c r="AB5" i="11"/>
  <c r="N4" i="11"/>
  <c r="V23" i="11"/>
  <c r="N2" i="11" s="1"/>
  <c r="B43" i="11" l="1"/>
  <c r="R37" i="11"/>
  <c r="AB6" i="11"/>
  <c r="AB7" i="11" s="1"/>
  <c r="AB8" i="11" s="1"/>
  <c r="AB9" i="11" s="1"/>
  <c r="AB10" i="11" s="1"/>
  <c r="AB11" i="11" s="1"/>
  <c r="AB12" i="11" s="1"/>
  <c r="AB13" i="11" s="1"/>
  <c r="AB14" i="11" s="1"/>
  <c r="AB15" i="11" s="1"/>
  <c r="AB16" i="11" s="1"/>
  <c r="AB17" i="11" s="1"/>
  <c r="AB18" i="11" s="1"/>
  <c r="AB19" i="11" s="1"/>
  <c r="AB20" i="11" s="1"/>
  <c r="AB21" i="11" s="1"/>
  <c r="AB22" i="11" s="1"/>
  <c r="AB23" i="11" s="1"/>
  <c r="AB24" i="11" s="1"/>
  <c r="AB25" i="11" s="1"/>
  <c r="AB26" i="11" s="1"/>
  <c r="AB27" i="11" s="1"/>
  <c r="AB28" i="11" s="1"/>
  <c r="AB29" i="11" s="1"/>
  <c r="AB30" i="11" s="1"/>
  <c r="AB31" i="11" s="1"/>
  <c r="E1" i="7"/>
  <c r="U23" i="9"/>
  <c r="Q43" i="9" s="1"/>
  <c r="AX40" i="11"/>
  <c r="AX52" i="11"/>
  <c r="AX76" i="11"/>
  <c r="AX16" i="11"/>
  <c r="AX28" i="11"/>
  <c r="AX64" i="11"/>
  <c r="AA3" i="11" l="1"/>
  <c r="N6" i="11"/>
  <c r="E21" i="11" s="1"/>
  <c r="B44" i="11"/>
  <c r="AN4" i="11"/>
  <c r="AT5" i="11" s="1"/>
  <c r="AN34" i="11"/>
  <c r="AN75" i="11"/>
  <c r="AN18" i="11"/>
  <c r="AN11" i="11"/>
  <c r="AN10" i="11"/>
  <c r="AN7" i="11"/>
  <c r="AN79" i="11"/>
  <c r="AN44" i="11"/>
  <c r="AN89" i="11"/>
  <c r="AN59" i="11"/>
  <c r="AN36" i="11"/>
  <c r="AN56" i="11"/>
  <c r="AN66" i="11"/>
  <c r="AN84" i="11"/>
  <c r="AN30" i="11"/>
  <c r="AN70" i="11"/>
  <c r="AN26" i="11"/>
  <c r="AN21" i="11"/>
  <c r="AN86" i="11"/>
  <c r="AN50" i="11"/>
  <c r="AN60" i="11"/>
  <c r="AN13" i="11"/>
  <c r="AN16" i="11"/>
  <c r="AN32" i="11"/>
  <c r="AN25" i="11"/>
  <c r="AN58" i="11"/>
  <c r="AN77" i="11"/>
  <c r="AN74" i="11"/>
  <c r="AN52" i="11"/>
  <c r="AN64" i="11"/>
  <c r="AN61" i="11"/>
  <c r="AN47" i="11"/>
  <c r="AN46" i="11"/>
  <c r="AN82" i="11"/>
  <c r="AN39" i="11"/>
  <c r="AN54" i="11"/>
  <c r="AN37" i="11"/>
  <c r="AN85" i="11"/>
  <c r="AN40" i="11"/>
  <c r="AN31" i="11"/>
  <c r="AN6" i="11"/>
  <c r="AN19" i="11"/>
  <c r="AN15" i="11"/>
  <c r="AN14" i="11"/>
  <c r="AN28" i="11"/>
  <c r="AN69" i="11"/>
  <c r="AN17" i="11"/>
  <c r="AN68" i="11"/>
  <c r="AN57" i="11"/>
  <c r="AN42" i="11"/>
  <c r="AN27" i="11"/>
  <c r="AN87" i="11"/>
  <c r="AN9" i="11"/>
  <c r="Q42" i="9"/>
  <c r="AN65" i="11"/>
  <c r="AN63" i="11"/>
  <c r="AN49" i="11"/>
  <c r="AN83" i="11"/>
  <c r="AN22" i="11"/>
  <c r="AN48" i="11"/>
  <c r="AN53" i="11"/>
  <c r="AN78" i="11"/>
  <c r="AN12" i="11"/>
  <c r="AN23" i="11"/>
  <c r="AN67" i="11"/>
  <c r="AN33" i="11"/>
  <c r="AN73" i="11"/>
  <c r="AN76" i="11"/>
  <c r="AN62" i="11"/>
  <c r="AN5" i="11"/>
  <c r="AN38" i="11"/>
  <c r="AN24" i="11"/>
  <c r="AN55" i="11"/>
  <c r="AN45" i="11"/>
  <c r="AN71" i="11"/>
  <c r="AN72" i="11"/>
  <c r="AN43" i="11"/>
  <c r="AN8" i="11"/>
  <c r="AN29" i="11"/>
  <c r="AN81" i="11"/>
  <c r="AN35" i="11"/>
  <c r="AN80" i="11"/>
  <c r="AN88" i="11"/>
  <c r="AN51" i="11"/>
  <c r="AN20" i="11"/>
  <c r="AN41" i="11"/>
  <c r="AX2" i="11"/>
  <c r="AB32" i="11"/>
  <c r="B45" i="11" l="1"/>
  <c r="AN90" i="11"/>
  <c r="AT6" i="11"/>
  <c r="AT7" i="11" s="1"/>
  <c r="AT8" i="11" s="1"/>
  <c r="AB33" i="11"/>
  <c r="B46" i="11" l="1"/>
  <c r="AC34" i="11"/>
  <c r="AB34" i="11" s="1"/>
  <c r="AT9" i="11"/>
  <c r="B47" i="11" l="1"/>
  <c r="AC35" i="11"/>
  <c r="AB35" i="11" s="1"/>
  <c r="AT10" i="11"/>
  <c r="B48" i="11" l="1"/>
  <c r="AT11" i="11"/>
  <c r="AC36" i="11"/>
  <c r="AB36" i="11" s="1"/>
  <c r="B49" i="11" l="1"/>
  <c r="AC37" i="11"/>
  <c r="AB37" i="11" s="1"/>
  <c r="AT12" i="11"/>
  <c r="B50" i="11" l="1"/>
  <c r="AC38" i="11"/>
  <c r="AB38" i="11" s="1"/>
  <c r="AT13" i="11"/>
  <c r="B51" i="11" l="1"/>
  <c r="AT14" i="11"/>
  <c r="AC39" i="11"/>
  <c r="AB39" i="11" s="1"/>
  <c r="B52" i="11" l="1"/>
  <c r="AC40" i="11"/>
  <c r="AT15" i="11"/>
  <c r="AB40" i="11" l="1"/>
  <c r="Z40" i="11"/>
  <c r="B53" i="11"/>
  <c r="AT16" i="11"/>
  <c r="AC41" i="11"/>
  <c r="AB41" i="11" l="1"/>
  <c r="B54" i="11"/>
  <c r="AC42" i="11"/>
  <c r="AT17" i="11"/>
  <c r="AB42" i="11" l="1"/>
  <c r="B55" i="11"/>
  <c r="AC43" i="11"/>
  <c r="AT18" i="11"/>
  <c r="AB43" i="11" l="1"/>
  <c r="B56" i="11"/>
  <c r="AC44" i="11"/>
  <c r="AT19" i="11"/>
  <c r="AB44" i="11" l="1"/>
  <c r="B57" i="11"/>
  <c r="AT20" i="11"/>
  <c r="AC45" i="11"/>
  <c r="AB45" i="11" l="1"/>
  <c r="B58" i="11"/>
  <c r="AT21" i="11"/>
  <c r="AC46" i="11"/>
  <c r="AB46" i="11" l="1"/>
  <c r="B59" i="11"/>
  <c r="AT22" i="11"/>
  <c r="AC47" i="11"/>
  <c r="AB47" i="11" l="1"/>
  <c r="B60" i="11"/>
  <c r="AC48" i="11"/>
  <c r="AT23" i="11"/>
  <c r="AB48" i="11" l="1"/>
  <c r="B61" i="11"/>
  <c r="AC49" i="11"/>
  <c r="AT24" i="11"/>
  <c r="AB49" i="11" l="1"/>
  <c r="B62" i="11"/>
  <c r="AT25" i="11"/>
  <c r="AC50" i="11"/>
  <c r="AB50" i="11" l="1"/>
  <c r="B63" i="11"/>
  <c r="AC51" i="11"/>
  <c r="AT26" i="11"/>
  <c r="AB51" i="11" l="1"/>
  <c r="B64" i="11"/>
  <c r="AT27" i="11"/>
  <c r="AC52" i="11"/>
  <c r="AB52" i="11" l="1"/>
  <c r="Z52" i="11"/>
  <c r="B65" i="11"/>
  <c r="AC53" i="11"/>
  <c r="AT28" i="11"/>
  <c r="AB53" i="11" l="1"/>
  <c r="B66" i="11"/>
  <c r="AT29" i="11"/>
  <c r="AC54" i="11"/>
  <c r="AB54" i="11" l="1"/>
  <c r="B67" i="11"/>
  <c r="AC55" i="11"/>
  <c r="AT30" i="11"/>
  <c r="AB55" i="11" l="1"/>
  <c r="B68" i="11"/>
  <c r="AC56" i="11"/>
  <c r="AT31" i="11"/>
  <c r="AB56" i="11" l="1"/>
  <c r="B69" i="11"/>
  <c r="AC57" i="11"/>
  <c r="AT32" i="11"/>
  <c r="AB57" i="11" l="1"/>
  <c r="B70" i="11"/>
  <c r="AT33" i="11"/>
  <c r="AC58" i="11"/>
  <c r="AB58" i="11" l="1"/>
  <c r="B71" i="11"/>
  <c r="AT34" i="11"/>
  <c r="AC59" i="11"/>
  <c r="AB59" i="11" l="1"/>
  <c r="B72" i="11"/>
  <c r="AT35" i="11"/>
  <c r="AC60" i="11"/>
  <c r="AB60" i="11" l="1"/>
  <c r="B73" i="11"/>
  <c r="AC61" i="11"/>
  <c r="AT36" i="11"/>
  <c r="AB61" i="11" l="1"/>
  <c r="B74" i="11"/>
  <c r="AT37" i="11"/>
  <c r="AC62" i="11"/>
  <c r="AB62" i="11" l="1"/>
  <c r="B75" i="11"/>
  <c r="AT38" i="11"/>
  <c r="AC63" i="11"/>
  <c r="AB63" i="11" l="1"/>
  <c r="B76" i="11"/>
  <c r="AT39" i="11"/>
  <c r="AC64" i="11"/>
  <c r="AB64" i="11" l="1"/>
  <c r="Z64" i="11"/>
  <c r="B77" i="11"/>
  <c r="AT40" i="11"/>
  <c r="AC65" i="11"/>
  <c r="AB65" i="11" l="1"/>
  <c r="B78" i="11"/>
  <c r="AC66" i="11"/>
  <c r="AT41" i="11"/>
  <c r="AB66" i="11" l="1"/>
  <c r="B79" i="11"/>
  <c r="AC67" i="11"/>
  <c r="AT42" i="11"/>
  <c r="AB67" i="11" l="1"/>
  <c r="B80" i="11"/>
  <c r="AC68" i="11"/>
  <c r="AT43" i="11"/>
  <c r="AB68" i="11" l="1"/>
  <c r="B81" i="11"/>
  <c r="AT44" i="11"/>
  <c r="AC69" i="11"/>
  <c r="AB69" i="11" l="1"/>
  <c r="B82" i="11"/>
  <c r="AT45" i="11"/>
  <c r="AC70" i="11"/>
  <c r="AB70" i="11" l="1"/>
  <c r="B83" i="11"/>
  <c r="AT46" i="11"/>
  <c r="AC71" i="11"/>
  <c r="AB71" i="11" l="1"/>
  <c r="B84" i="11"/>
  <c r="AT47" i="11"/>
  <c r="AC72" i="11"/>
  <c r="AB72" i="11" l="1"/>
  <c r="B85" i="11"/>
  <c r="AT48" i="11"/>
  <c r="AC73" i="11"/>
  <c r="AB73" i="11" l="1"/>
  <c r="B86" i="11"/>
  <c r="AT49" i="11"/>
  <c r="AC74" i="11"/>
  <c r="AB74" i="11" l="1"/>
  <c r="B87" i="11"/>
  <c r="AT50" i="11"/>
  <c r="AC75" i="11"/>
  <c r="AB75" i="11" l="1"/>
  <c r="B88" i="11"/>
  <c r="AT51" i="11"/>
  <c r="AC76" i="11"/>
  <c r="AB76" i="11" l="1"/>
  <c r="Z76" i="11"/>
  <c r="Z3" i="11" s="1"/>
  <c r="N10" i="11" s="1"/>
  <c r="B89" i="11"/>
  <c r="AT52" i="11"/>
  <c r="AC77" i="11"/>
  <c r="AB77" i="11" l="1"/>
  <c r="B90" i="11"/>
  <c r="AC78" i="11"/>
  <c r="AT53" i="11"/>
  <c r="AB78" i="11" l="1"/>
  <c r="B91" i="11"/>
  <c r="AT54" i="11"/>
  <c r="AC79" i="11"/>
  <c r="AB79" i="11" l="1"/>
  <c r="B92" i="11"/>
  <c r="AC80" i="11"/>
  <c r="AT55" i="11"/>
  <c r="AB80" i="11" l="1"/>
  <c r="B93" i="11"/>
  <c r="AT56" i="11"/>
  <c r="AC81" i="11"/>
  <c r="AB81" i="11" l="1"/>
  <c r="B94" i="11"/>
  <c r="AC82" i="11"/>
  <c r="AT57" i="11"/>
  <c r="AB82" i="11" l="1"/>
  <c r="B95" i="11"/>
  <c r="AT58" i="11"/>
  <c r="AC83" i="11"/>
  <c r="AB83" i="11" l="1"/>
  <c r="B96" i="11"/>
  <c r="AT59" i="11"/>
  <c r="AC84" i="11"/>
  <c r="AB84" i="11" l="1"/>
  <c r="B97" i="11"/>
  <c r="AC85" i="11"/>
  <c r="AT60" i="11"/>
  <c r="AB85" i="11" l="1"/>
  <c r="B98" i="11"/>
  <c r="AT61" i="11"/>
  <c r="AC86" i="11"/>
  <c r="AB86" i="11" l="1"/>
  <c r="B99" i="11"/>
  <c r="AC87" i="11"/>
  <c r="AB87" i="11" s="1"/>
  <c r="AT62" i="11"/>
  <c r="B100" i="11" l="1"/>
  <c r="AT63" i="11"/>
  <c r="B101" i="11" l="1"/>
  <c r="AT64" i="11"/>
  <c r="B102" i="11" l="1"/>
  <c r="AT65" i="11"/>
  <c r="B103" i="11" l="1"/>
  <c r="AT66" i="11"/>
  <c r="B104" i="11" l="1"/>
  <c r="AT67" i="11"/>
  <c r="B105" i="11" l="1"/>
  <c r="AT68" i="11"/>
  <c r="B106" i="11" l="1"/>
  <c r="AT69" i="11"/>
  <c r="B107" i="11" l="1"/>
  <c r="AT70" i="11"/>
  <c r="AT71" i="11" l="1"/>
  <c r="AT72" i="11" l="1"/>
  <c r="AT73" i="11" l="1"/>
  <c r="AT74" i="11" l="1"/>
  <c r="AT75" i="11" l="1"/>
  <c r="AT76" i="11" l="1"/>
  <c r="AT77" i="11" l="1"/>
  <c r="AT78" i="11" l="1"/>
  <c r="AT79" i="11" l="1"/>
  <c r="AT80" i="11" l="1"/>
  <c r="AT81" i="11" l="1"/>
  <c r="AT82" i="11" l="1"/>
  <c r="AT83" i="11" l="1"/>
  <c r="AT84" i="11" l="1"/>
  <c r="AT85" i="11" l="1"/>
  <c r="AT86" i="11" l="1"/>
  <c r="AT87" i="11" l="1"/>
  <c r="AT88" i="11" l="1"/>
  <c r="AT89" i="11" l="1"/>
  <c r="C2" i="10" l="1"/>
  <c r="F6" i="10" s="1"/>
  <c r="Y12" i="7"/>
  <c r="Z6" i="7"/>
  <c r="Y5" i="7"/>
  <c r="Z7" i="7"/>
  <c r="Y7" i="7" s="1"/>
  <c r="Z43" i="9"/>
  <c r="P43" i="9"/>
  <c r="Z42" i="9"/>
  <c r="P42" i="9"/>
  <c r="P40" i="9" l="1"/>
  <c r="Z40" i="9"/>
  <c r="C4" i="10"/>
  <c r="C4" i="7"/>
  <c r="B7" i="7" s="1"/>
  <c r="T39" i="9"/>
  <c r="P4" i="7" l="1"/>
  <c r="C18" i="10"/>
  <c r="Y8" i="7" s="1"/>
  <c r="AB26" i="9"/>
  <c r="AB27" i="9" s="1"/>
  <c r="P24" i="9"/>
  <c r="P25" i="9" s="1"/>
  <c r="Q20" i="9"/>
  <c r="U19" i="9"/>
  <c r="U20" i="9" s="1"/>
  <c r="Q12" i="9"/>
  <c r="Q13" i="9" s="1"/>
  <c r="G7" i="9"/>
  <c r="S4" i="9" s="1"/>
  <c r="H10" i="1"/>
  <c r="N46" i="9" l="1"/>
  <c r="Y9" i="7" s="1"/>
  <c r="N25" i="9"/>
  <c r="G19" i="9"/>
  <c r="U21" i="9"/>
  <c r="N15" i="9"/>
  <c r="N31" i="9" s="1"/>
  <c r="Q15" i="9"/>
  <c r="Q16" i="9"/>
  <c r="N12" i="9" s="1"/>
  <c r="N34" i="9" s="1"/>
  <c r="AB28" i="9"/>
  <c r="D16" i="1"/>
  <c r="C4" i="1"/>
  <c r="AB29" i="9" l="1"/>
  <c r="N4" i="9"/>
  <c r="W18" i="9"/>
  <c r="T4" i="9"/>
  <c r="G10" i="9"/>
  <c r="E7" i="1"/>
  <c r="D7" i="1"/>
  <c r="D4" i="1"/>
  <c r="Q40" i="9" l="1"/>
  <c r="N6" i="9" s="1"/>
  <c r="N28" i="9"/>
  <c r="N49" i="9" s="1"/>
  <c r="AB30" i="9"/>
  <c r="AH20" i="7"/>
  <c r="AH21" i="7"/>
  <c r="AH22" i="7"/>
  <c r="AH23" i="7"/>
  <c r="AH19" i="7"/>
  <c r="AG19" i="7"/>
  <c r="AI19" i="7"/>
  <c r="AJ19" i="7"/>
  <c r="AG20" i="7"/>
  <c r="AI20" i="7"/>
  <c r="AJ20" i="7"/>
  <c r="AG21" i="7"/>
  <c r="AI21" i="7"/>
  <c r="AJ21" i="7"/>
  <c r="AG22" i="7"/>
  <c r="AI22" i="7"/>
  <c r="AJ22" i="7"/>
  <c r="AG23" i="7"/>
  <c r="AI23" i="7"/>
  <c r="AJ23" i="7"/>
  <c r="AF20" i="7"/>
  <c r="AF21" i="7"/>
  <c r="AF22" i="7"/>
  <c r="AF23" i="7"/>
  <c r="AF19" i="7"/>
  <c r="R33" i="11" l="1"/>
  <c r="E14" i="11" s="1"/>
  <c r="AB31" i="9"/>
  <c r="E2" i="7" l="1"/>
  <c r="H6" i="1" s="1"/>
  <c r="E2" i="6" s="1"/>
  <c r="AE4" i="11"/>
  <c r="D24" i="11" s="1"/>
  <c r="AP4" i="11"/>
  <c r="AP5" i="11"/>
  <c r="AR5" i="11" s="1"/>
  <c r="AP6" i="11"/>
  <c r="AR6" i="11" s="1"/>
  <c r="AP7" i="11"/>
  <c r="AR7" i="11" s="1"/>
  <c r="AP8" i="11"/>
  <c r="AR8" i="11" s="1"/>
  <c r="AP9" i="11"/>
  <c r="AR9" i="11" s="1"/>
  <c r="AP10" i="11"/>
  <c r="AR10" i="11" s="1"/>
  <c r="AP11" i="11"/>
  <c r="AR11" i="11" s="1"/>
  <c r="AP12" i="11"/>
  <c r="AR12" i="11" s="1"/>
  <c r="AP13" i="11"/>
  <c r="AR13" i="11" s="1"/>
  <c r="AP14" i="11"/>
  <c r="AR14" i="11" s="1"/>
  <c r="AP15" i="11"/>
  <c r="AR15" i="11" s="1"/>
  <c r="AP16" i="11"/>
  <c r="AR16" i="11" s="1"/>
  <c r="AP17" i="11"/>
  <c r="AR17" i="11" s="1"/>
  <c r="AP18" i="11"/>
  <c r="AR18" i="11" s="1"/>
  <c r="AP19" i="11"/>
  <c r="AR19" i="11" s="1"/>
  <c r="AP20" i="11"/>
  <c r="AR20" i="11" s="1"/>
  <c r="AP21" i="11"/>
  <c r="AR21" i="11" s="1"/>
  <c r="AP22" i="11"/>
  <c r="AR22" i="11" s="1"/>
  <c r="AP23" i="11"/>
  <c r="AR23" i="11" s="1"/>
  <c r="AP24" i="11"/>
  <c r="AR24" i="11" s="1"/>
  <c r="AP25" i="11"/>
  <c r="AR25" i="11" s="1"/>
  <c r="AP26" i="11"/>
  <c r="AR26" i="11" s="1"/>
  <c r="AP27" i="11"/>
  <c r="AR27" i="11" s="1"/>
  <c r="AP28" i="11"/>
  <c r="AR28" i="11" s="1"/>
  <c r="AP29" i="11"/>
  <c r="AR29" i="11" s="1"/>
  <c r="AP30" i="11"/>
  <c r="AR30" i="11" s="1"/>
  <c r="AP31" i="11"/>
  <c r="AR31" i="11" s="1"/>
  <c r="AP32" i="11"/>
  <c r="AR32" i="11" s="1"/>
  <c r="AP33" i="11"/>
  <c r="AR33" i="11" s="1"/>
  <c r="AP34" i="11"/>
  <c r="AR34" i="11" s="1"/>
  <c r="AP35" i="11"/>
  <c r="AR35" i="11" s="1"/>
  <c r="AP36" i="11"/>
  <c r="AR36" i="11" s="1"/>
  <c r="AP37" i="11"/>
  <c r="AR37" i="11" s="1"/>
  <c r="AP38" i="11"/>
  <c r="AR38" i="11" s="1"/>
  <c r="AP39" i="11"/>
  <c r="AR39" i="11" s="1"/>
  <c r="AP40" i="11"/>
  <c r="AR40" i="11" s="1"/>
  <c r="AP41" i="11"/>
  <c r="AR41" i="11" s="1"/>
  <c r="AP42" i="11"/>
  <c r="AR42" i="11" s="1"/>
  <c r="AP43" i="11"/>
  <c r="AR43" i="11" s="1"/>
  <c r="AP44" i="11"/>
  <c r="AR44" i="11" s="1"/>
  <c r="AP45" i="11"/>
  <c r="AR45" i="11" s="1"/>
  <c r="AP46" i="11"/>
  <c r="AR46" i="11" s="1"/>
  <c r="AP47" i="11"/>
  <c r="AR47" i="11" s="1"/>
  <c r="AP48" i="11"/>
  <c r="AR48" i="11" s="1"/>
  <c r="AP49" i="11"/>
  <c r="AR49" i="11" s="1"/>
  <c r="AP50" i="11"/>
  <c r="AR50" i="11" s="1"/>
  <c r="AP51" i="11"/>
  <c r="AR51" i="11" s="1"/>
  <c r="AP52" i="11"/>
  <c r="AR52" i="11" s="1"/>
  <c r="AP53" i="11"/>
  <c r="AR53" i="11" s="1"/>
  <c r="AP54" i="11"/>
  <c r="AR54" i="11" s="1"/>
  <c r="AP55" i="11"/>
  <c r="AR55" i="11" s="1"/>
  <c r="AP56" i="11"/>
  <c r="AR56" i="11" s="1"/>
  <c r="AP57" i="11"/>
  <c r="AR57" i="11" s="1"/>
  <c r="AP58" i="11"/>
  <c r="AR58" i="11" s="1"/>
  <c r="AP59" i="11"/>
  <c r="AR59" i="11" s="1"/>
  <c r="AP60" i="11"/>
  <c r="AR60" i="11" s="1"/>
  <c r="AP61" i="11"/>
  <c r="AR61" i="11" s="1"/>
  <c r="AP62" i="11"/>
  <c r="AR62" i="11" s="1"/>
  <c r="AP63" i="11"/>
  <c r="AR63" i="11" s="1"/>
  <c r="AP64" i="11"/>
  <c r="AR64" i="11" s="1"/>
  <c r="AP65" i="11"/>
  <c r="AR65" i="11" s="1"/>
  <c r="AP66" i="11"/>
  <c r="AR66" i="11" s="1"/>
  <c r="AP67" i="11"/>
  <c r="AR67" i="11" s="1"/>
  <c r="AP68" i="11"/>
  <c r="AR68" i="11" s="1"/>
  <c r="AP69" i="11"/>
  <c r="AR69" i="11" s="1"/>
  <c r="AP70" i="11"/>
  <c r="AR70" i="11" s="1"/>
  <c r="AP71" i="11"/>
  <c r="AR71" i="11" s="1"/>
  <c r="AP72" i="11"/>
  <c r="AR72" i="11" s="1"/>
  <c r="AP73" i="11"/>
  <c r="AR73" i="11" s="1"/>
  <c r="AP74" i="11"/>
  <c r="AR74" i="11" s="1"/>
  <c r="AP75" i="11"/>
  <c r="AR75" i="11" s="1"/>
  <c r="AP76" i="11"/>
  <c r="AR76" i="11" s="1"/>
  <c r="AP77" i="11"/>
  <c r="AR77" i="11" s="1"/>
  <c r="AP78" i="11"/>
  <c r="AR78" i="11" s="1"/>
  <c r="AP79" i="11"/>
  <c r="AR79" i="11" s="1"/>
  <c r="AP80" i="11"/>
  <c r="AR80" i="11" s="1"/>
  <c r="AP81" i="11"/>
  <c r="AR81" i="11" s="1"/>
  <c r="AP82" i="11"/>
  <c r="AR82" i="11" s="1"/>
  <c r="AP83" i="11"/>
  <c r="AR83" i="11" s="1"/>
  <c r="AP84" i="11"/>
  <c r="AR84" i="11" s="1"/>
  <c r="AP85" i="11"/>
  <c r="AR85" i="11" s="1"/>
  <c r="AP86" i="11"/>
  <c r="AR86" i="11" s="1"/>
  <c r="AP87" i="11"/>
  <c r="AR87" i="11" s="1"/>
  <c r="AP88" i="11"/>
  <c r="AR88" i="11" s="1"/>
  <c r="AP89" i="11"/>
  <c r="AR89" i="11" s="1"/>
  <c r="AB32" i="9"/>
  <c r="AG53" i="11" l="1"/>
  <c r="E73" i="11" s="1"/>
  <c r="AE57" i="11"/>
  <c r="D77" i="11" s="1"/>
  <c r="AG55" i="11"/>
  <c r="E75" i="11" s="1"/>
  <c r="AE37" i="11"/>
  <c r="D57" i="11" s="1"/>
  <c r="AG66" i="11"/>
  <c r="E86" i="11" s="1"/>
  <c r="AE79" i="11"/>
  <c r="D99" i="11" s="1"/>
  <c r="AG86" i="11"/>
  <c r="E106" i="11" s="1"/>
  <c r="AE35" i="11"/>
  <c r="D55" i="11" s="1"/>
  <c r="AE76" i="11"/>
  <c r="AE29" i="11"/>
  <c r="D49" i="11" s="1"/>
  <c r="AE70" i="11"/>
  <c r="D90" i="11" s="1"/>
  <c r="AG83" i="11"/>
  <c r="AE40" i="11"/>
  <c r="AE56" i="11"/>
  <c r="D76" i="11" s="1"/>
  <c r="AG84" i="11"/>
  <c r="AG69" i="11"/>
  <c r="AG87" i="11"/>
  <c r="E107" i="11" s="1"/>
  <c r="AE38" i="11"/>
  <c r="D58" i="11" s="1"/>
  <c r="AE42" i="11"/>
  <c r="D62" i="11" s="1"/>
  <c r="AE59" i="11"/>
  <c r="D79" i="11" s="1"/>
  <c r="AG42" i="11"/>
  <c r="AE55" i="11"/>
  <c r="D75" i="11" s="1"/>
  <c r="AG60" i="11"/>
  <c r="AE81" i="11"/>
  <c r="D101" i="11" s="1"/>
  <c r="AE62" i="11"/>
  <c r="D82" i="11" s="1"/>
  <c r="AE50" i="11"/>
  <c r="D70" i="11" s="1"/>
  <c r="AE67" i="11"/>
  <c r="D87" i="11" s="1"/>
  <c r="AG58" i="11"/>
  <c r="AE71" i="11"/>
  <c r="D91" i="11" s="1"/>
  <c r="AE64" i="11"/>
  <c r="D84" i="11" s="1"/>
  <c r="AE75" i="11"/>
  <c r="D95" i="11" s="1"/>
  <c r="AG75" i="11"/>
  <c r="AG54" i="11"/>
  <c r="E74" i="11" s="1"/>
  <c r="AG31" i="11"/>
  <c r="E51" i="11" s="1"/>
  <c r="AG80" i="11"/>
  <c r="E100" i="11" s="1"/>
  <c r="AE87" i="11"/>
  <c r="D107" i="11" s="1"/>
  <c r="AE33" i="11"/>
  <c r="D53" i="11" s="1"/>
  <c r="AG57" i="11"/>
  <c r="AE86" i="11"/>
  <c r="D106" i="11" s="1"/>
  <c r="AE66" i="11"/>
  <c r="D86" i="11" s="1"/>
  <c r="AE36" i="11"/>
  <c r="D56" i="11" s="1"/>
  <c r="AG35" i="11"/>
  <c r="E55" i="11" s="1"/>
  <c r="AG68" i="11"/>
  <c r="E88" i="11" s="1"/>
  <c r="AG37" i="11"/>
  <c r="AG65" i="11"/>
  <c r="E85" i="11" s="1"/>
  <c r="AE47" i="11"/>
  <c r="D67" i="11" s="1"/>
  <c r="AE74" i="11"/>
  <c r="D94" i="11" s="1"/>
  <c r="AE49" i="11"/>
  <c r="D69" i="11" s="1"/>
  <c r="AG81" i="11"/>
  <c r="E101" i="11" s="1"/>
  <c r="AG78" i="11"/>
  <c r="E98" i="11" s="1"/>
  <c r="AG73" i="11"/>
  <c r="E93" i="11" s="1"/>
  <c r="AG67" i="11"/>
  <c r="AE80" i="11"/>
  <c r="D100" i="11" s="1"/>
  <c r="AG61" i="11"/>
  <c r="AE65" i="11"/>
  <c r="D85" i="11" s="1"/>
  <c r="AG71" i="11"/>
  <c r="AG40" i="11"/>
  <c r="AE53" i="11"/>
  <c r="D73" i="11" s="1"/>
  <c r="AG82" i="11"/>
  <c r="E102" i="11" s="1"/>
  <c r="AG30" i="11"/>
  <c r="AE34" i="11"/>
  <c r="D54" i="11" s="1"/>
  <c r="AE43" i="11"/>
  <c r="D63" i="11" s="1"/>
  <c r="AG32" i="11"/>
  <c r="AE45" i="11"/>
  <c r="D65" i="11" s="1"/>
  <c r="AE39" i="11"/>
  <c r="D59" i="11" s="1"/>
  <c r="AE72" i="11"/>
  <c r="D92" i="11" s="1"/>
  <c r="AG28" i="11"/>
  <c r="E48" i="11" s="1"/>
  <c r="AE73" i="11"/>
  <c r="D93" i="11" s="1"/>
  <c r="AG56" i="11"/>
  <c r="E76" i="11" s="1"/>
  <c r="AE69" i="11"/>
  <c r="D89" i="11" s="1"/>
  <c r="AG43" i="11"/>
  <c r="AG38" i="11"/>
  <c r="AG48" i="11"/>
  <c r="E68" i="11" s="1"/>
  <c r="AE61" i="11"/>
  <c r="D81" i="11" s="1"/>
  <c r="AG76" i="11"/>
  <c r="AG77" i="11"/>
  <c r="AE51" i="11"/>
  <c r="D71" i="11" s="1"/>
  <c r="AG72" i="11"/>
  <c r="AE85" i="11"/>
  <c r="D105" i="11" s="1"/>
  <c r="AG59" i="11"/>
  <c r="AG46" i="11"/>
  <c r="E66" i="11" s="1"/>
  <c r="AG64" i="11"/>
  <c r="E84" i="11" s="1"/>
  <c r="AE77" i="11"/>
  <c r="D97" i="11" s="1"/>
  <c r="AG85" i="11"/>
  <c r="E105" i="11" s="1"/>
  <c r="AE82" i="11"/>
  <c r="D102" i="11" s="1"/>
  <c r="AE28" i="11"/>
  <c r="AG41" i="11"/>
  <c r="AE78" i="11"/>
  <c r="D98" i="11" s="1"/>
  <c r="AE58" i="11"/>
  <c r="D78" i="11" s="1"/>
  <c r="AE83" i="11"/>
  <c r="D103" i="11" s="1"/>
  <c r="AG74" i="11"/>
  <c r="E94" i="11" s="1"/>
  <c r="AE32" i="11"/>
  <c r="D52" i="11" s="1"/>
  <c r="AG29" i="11"/>
  <c r="AE52" i="11"/>
  <c r="D72" i="11" s="1"/>
  <c r="AE31" i="11"/>
  <c r="D51" i="11" s="1"/>
  <c r="AG62" i="11"/>
  <c r="AG47" i="11"/>
  <c r="E67" i="11" s="1"/>
  <c r="AG33" i="11"/>
  <c r="E53" i="11" s="1"/>
  <c r="AE30" i="11"/>
  <c r="D50" i="11" s="1"/>
  <c r="AE41" i="11"/>
  <c r="D61" i="11" s="1"/>
  <c r="AG34" i="11"/>
  <c r="AG63" i="11"/>
  <c r="E83" i="11" s="1"/>
  <c r="AG49" i="11"/>
  <c r="E69" i="11" s="1"/>
  <c r="AE46" i="11"/>
  <c r="D66" i="11" s="1"/>
  <c r="AE48" i="11"/>
  <c r="D68" i="11" s="1"/>
  <c r="AG39" i="11"/>
  <c r="E59" i="11" s="1"/>
  <c r="AG50" i="11"/>
  <c r="AE60" i="11"/>
  <c r="D80" i="11" s="1"/>
  <c r="AE54" i="11"/>
  <c r="D74" i="11" s="1"/>
  <c r="AG52" i="11"/>
  <c r="E72" i="11" s="1"/>
  <c r="AG44" i="11"/>
  <c r="AE68" i="11"/>
  <c r="D88" i="11" s="1"/>
  <c r="AG70" i="11"/>
  <c r="AE44" i="11"/>
  <c r="D64" i="11" s="1"/>
  <c r="AG51" i="11"/>
  <c r="E71" i="11" s="1"/>
  <c r="AG45" i="11"/>
  <c r="E65" i="11" s="1"/>
  <c r="AE84" i="11"/>
  <c r="D104" i="11" s="1"/>
  <c r="AE63" i="11"/>
  <c r="D83" i="11" s="1"/>
  <c r="AG79" i="11"/>
  <c r="AG36" i="11"/>
  <c r="AG10" i="11"/>
  <c r="E30" i="11" s="1"/>
  <c r="AG18" i="11"/>
  <c r="E38" i="11" s="1"/>
  <c r="AG26" i="11"/>
  <c r="E46" i="11" s="1"/>
  <c r="AE7" i="11"/>
  <c r="D27" i="11" s="1"/>
  <c r="AE15" i="11"/>
  <c r="D35" i="11" s="1"/>
  <c r="AE23" i="11"/>
  <c r="D43" i="11" s="1"/>
  <c r="AG6" i="11"/>
  <c r="E26" i="11" s="1"/>
  <c r="AE19" i="11"/>
  <c r="D39" i="11" s="1"/>
  <c r="AG7" i="11"/>
  <c r="E27" i="11" s="1"/>
  <c r="AG11" i="11"/>
  <c r="E31" i="11" s="1"/>
  <c r="AG19" i="11"/>
  <c r="E39" i="11" s="1"/>
  <c r="AG27" i="11"/>
  <c r="E47" i="11" s="1"/>
  <c r="AE8" i="11"/>
  <c r="D28" i="11" s="1"/>
  <c r="AE16" i="11"/>
  <c r="AE24" i="11"/>
  <c r="D44" i="11" s="1"/>
  <c r="AE5" i="11"/>
  <c r="D25" i="11" s="1"/>
  <c r="AG22" i="11"/>
  <c r="E42" i="11" s="1"/>
  <c r="AE27" i="11"/>
  <c r="D47" i="11" s="1"/>
  <c r="AG15" i="11"/>
  <c r="E35" i="11" s="1"/>
  <c r="AE20" i="11"/>
  <c r="D40" i="11" s="1"/>
  <c r="AG12" i="11"/>
  <c r="E32" i="11" s="1"/>
  <c r="AG20" i="11"/>
  <c r="E40" i="11" s="1"/>
  <c r="AE9" i="11"/>
  <c r="D29" i="11" s="1"/>
  <c r="AE17" i="11"/>
  <c r="D37" i="11" s="1"/>
  <c r="AE25" i="11"/>
  <c r="D45" i="11" s="1"/>
  <c r="AE11" i="11"/>
  <c r="D31" i="11" s="1"/>
  <c r="AG23" i="11"/>
  <c r="E43" i="11" s="1"/>
  <c r="AE12" i="11"/>
  <c r="D32" i="11" s="1"/>
  <c r="AG13" i="11"/>
  <c r="E33" i="11" s="1"/>
  <c r="AG21" i="11"/>
  <c r="E41" i="11" s="1"/>
  <c r="AE10" i="11"/>
  <c r="D30" i="11" s="1"/>
  <c r="AE18" i="11"/>
  <c r="D38" i="11" s="1"/>
  <c r="AE26" i="11"/>
  <c r="D46" i="11" s="1"/>
  <c r="AG14" i="11"/>
  <c r="E34" i="11" s="1"/>
  <c r="AG8" i="11"/>
  <c r="E28" i="11" s="1"/>
  <c r="AG16" i="11"/>
  <c r="AG24" i="11"/>
  <c r="E44" i="11" s="1"/>
  <c r="AG5" i="11"/>
  <c r="E25" i="11" s="1"/>
  <c r="AE13" i="11"/>
  <c r="D33" i="11" s="1"/>
  <c r="AE21" i="11"/>
  <c r="D41" i="11" s="1"/>
  <c r="AG9" i="11"/>
  <c r="E29" i="11" s="1"/>
  <c r="AG17" i="11"/>
  <c r="E37" i="11" s="1"/>
  <c r="AG25" i="11"/>
  <c r="E45" i="11" s="1"/>
  <c r="AE6" i="11"/>
  <c r="D26" i="11" s="1"/>
  <c r="AE14" i="11"/>
  <c r="D34" i="11" s="1"/>
  <c r="AE22" i="11"/>
  <c r="D42" i="11" s="1"/>
  <c r="AR4" i="11"/>
  <c r="AR90" i="11" s="1"/>
  <c r="AP90" i="11"/>
  <c r="AG4" i="11"/>
  <c r="E24" i="11" s="1"/>
  <c r="AB33" i="9"/>
  <c r="E12" i="1"/>
  <c r="E13" i="1" s="1"/>
  <c r="C8" i="1"/>
  <c r="E36" i="11" l="1"/>
  <c r="AI76" i="11"/>
  <c r="AA76" i="11" s="1"/>
  <c r="AI79" i="11"/>
  <c r="AU79" i="11" s="1"/>
  <c r="E99" i="11"/>
  <c r="AI84" i="11"/>
  <c r="AU84" i="11" s="1"/>
  <c r="E104" i="11"/>
  <c r="AI77" i="11"/>
  <c r="AU77" i="11" s="1"/>
  <c r="E97" i="11"/>
  <c r="AI83" i="11"/>
  <c r="E103" i="11"/>
  <c r="D36" i="11"/>
  <c r="D48" i="11"/>
  <c r="AI44" i="11"/>
  <c r="AU44" i="11" s="1"/>
  <c r="E64" i="11"/>
  <c r="AI41" i="11"/>
  <c r="AU41" i="11" s="1"/>
  <c r="E61" i="11"/>
  <c r="AI43" i="11"/>
  <c r="E63" i="11"/>
  <c r="AI32" i="11"/>
  <c r="AU32" i="11" s="1"/>
  <c r="E52" i="11"/>
  <c r="AI60" i="11"/>
  <c r="AU60" i="11" s="1"/>
  <c r="E80" i="11"/>
  <c r="AI52" i="11"/>
  <c r="AI72" i="11"/>
  <c r="E92" i="11"/>
  <c r="AI61" i="11"/>
  <c r="E81" i="11"/>
  <c r="AI57" i="11"/>
  <c r="AU57" i="11" s="1"/>
  <c r="E77" i="11"/>
  <c r="AI34" i="11"/>
  <c r="AU34" i="11" s="1"/>
  <c r="E54" i="11"/>
  <c r="AI29" i="11"/>
  <c r="AU29" i="11" s="1"/>
  <c r="E49" i="11"/>
  <c r="AI42" i="11"/>
  <c r="E62" i="11"/>
  <c r="AI30" i="11"/>
  <c r="AU30" i="11" s="1"/>
  <c r="E50" i="11"/>
  <c r="AI67" i="11"/>
  <c r="E87" i="11"/>
  <c r="AI37" i="11"/>
  <c r="AU37" i="11" s="1"/>
  <c r="E57" i="11"/>
  <c r="AI58" i="11"/>
  <c r="E78" i="11"/>
  <c r="AI50" i="11"/>
  <c r="AU50" i="11" s="1"/>
  <c r="E70" i="11"/>
  <c r="AI70" i="11"/>
  <c r="AU70" i="11" s="1"/>
  <c r="E90" i="11"/>
  <c r="AI36" i="11"/>
  <c r="AU36" i="11" s="1"/>
  <c r="E56" i="11"/>
  <c r="AI62" i="11"/>
  <c r="E82" i="11"/>
  <c r="AI59" i="11"/>
  <c r="AU59" i="11" s="1"/>
  <c r="E79" i="11"/>
  <c r="AI38" i="11"/>
  <c r="AU38" i="11" s="1"/>
  <c r="E58" i="11"/>
  <c r="AI71" i="11"/>
  <c r="AU71" i="11" s="1"/>
  <c r="E91" i="11"/>
  <c r="AI75" i="11"/>
  <c r="E95" i="11"/>
  <c r="AI69" i="11"/>
  <c r="E89" i="11"/>
  <c r="AI39" i="11"/>
  <c r="AI49" i="11"/>
  <c r="AI65" i="11"/>
  <c r="AI66" i="11"/>
  <c r="AI45" i="11"/>
  <c r="AI51" i="11"/>
  <c r="AI74" i="11"/>
  <c r="AI28" i="11"/>
  <c r="G48" i="11" s="1"/>
  <c r="AI82" i="11"/>
  <c r="AI73" i="11"/>
  <c r="AI68" i="11"/>
  <c r="AI80" i="11"/>
  <c r="AI55" i="11"/>
  <c r="AI86" i="11"/>
  <c r="AI56" i="11"/>
  <c r="AI33" i="11"/>
  <c r="AI64" i="11"/>
  <c r="G84" i="11" s="1"/>
  <c r="AI78" i="11"/>
  <c r="AI35" i="11"/>
  <c r="AI31" i="11"/>
  <c r="AI63" i="11"/>
  <c r="AI85" i="11"/>
  <c r="AI47" i="11"/>
  <c r="AI46" i="11"/>
  <c r="AI48" i="11"/>
  <c r="AI40" i="11"/>
  <c r="AI81" i="11"/>
  <c r="AI54" i="11"/>
  <c r="AI87" i="11"/>
  <c r="AI53" i="11"/>
  <c r="AI27" i="11"/>
  <c r="AI25" i="11"/>
  <c r="AI24" i="11"/>
  <c r="AI16" i="11"/>
  <c r="AI15" i="11"/>
  <c r="AI23" i="11"/>
  <c r="AI8" i="11"/>
  <c r="AI5" i="11"/>
  <c r="AI19" i="11"/>
  <c r="AI17" i="11"/>
  <c r="AI6" i="11"/>
  <c r="AI21" i="11"/>
  <c r="AU21" i="11" s="1"/>
  <c r="AI20" i="11"/>
  <c r="AI13" i="11"/>
  <c r="G33" i="11" s="1"/>
  <c r="AI12" i="11"/>
  <c r="G32" i="11" s="1"/>
  <c r="AI26" i="11"/>
  <c r="AI14" i="11"/>
  <c r="AI11" i="11"/>
  <c r="AI18" i="11"/>
  <c r="AI9" i="11"/>
  <c r="AI22" i="11"/>
  <c r="G42" i="11" s="1"/>
  <c r="AI7" i="11"/>
  <c r="AI10" i="11"/>
  <c r="G30" i="11" s="1"/>
  <c r="AE88" i="11"/>
  <c r="AG88" i="11"/>
  <c r="N13" i="11" s="1"/>
  <c r="N21" i="11" s="1"/>
  <c r="AU89" i="11"/>
  <c r="AI4" i="11"/>
  <c r="Y6" i="7"/>
  <c r="H11" i="1"/>
  <c r="AB34" i="9"/>
  <c r="H82" i="1"/>
  <c r="H91" i="1"/>
  <c r="E96" i="11" l="1"/>
  <c r="AU52" i="11"/>
  <c r="G72" i="11"/>
  <c r="E60" i="11"/>
  <c r="D60" i="11"/>
  <c r="D96" i="11" s="1"/>
  <c r="AU16" i="11"/>
  <c r="AU76" i="11"/>
  <c r="AA87" i="11"/>
  <c r="G107" i="11"/>
  <c r="AA80" i="11"/>
  <c r="G100" i="11"/>
  <c r="AA83" i="11"/>
  <c r="G103" i="11"/>
  <c r="AA81" i="11"/>
  <c r="G101" i="11"/>
  <c r="AA78" i="11"/>
  <c r="G98" i="11"/>
  <c r="AA77" i="11"/>
  <c r="G97" i="11"/>
  <c r="AA82" i="11"/>
  <c r="G102" i="11"/>
  <c r="AU83" i="11"/>
  <c r="AA84" i="11"/>
  <c r="G104" i="11"/>
  <c r="AA85" i="11"/>
  <c r="G105" i="11"/>
  <c r="AA86" i="11"/>
  <c r="G106" i="11"/>
  <c r="AA79" i="11"/>
  <c r="G99" i="11"/>
  <c r="AA8" i="11"/>
  <c r="G28" i="11"/>
  <c r="AA63" i="11"/>
  <c r="G83" i="11"/>
  <c r="AA55" i="11"/>
  <c r="G75" i="11"/>
  <c r="AA45" i="11"/>
  <c r="G65" i="11"/>
  <c r="AA75" i="11"/>
  <c r="G95" i="11"/>
  <c r="AA62" i="11"/>
  <c r="G82" i="11"/>
  <c r="AU75" i="11"/>
  <c r="AA7" i="11"/>
  <c r="G27" i="11"/>
  <c r="AA23" i="11"/>
  <c r="G43" i="11"/>
  <c r="AA54" i="11"/>
  <c r="G74" i="11"/>
  <c r="AA31" i="11"/>
  <c r="G51" i="11"/>
  <c r="AA66" i="11"/>
  <c r="G86" i="11"/>
  <c r="AA58" i="11"/>
  <c r="G78" i="11"/>
  <c r="AA42" i="11"/>
  <c r="G62" i="11"/>
  <c r="AA61" i="11"/>
  <c r="G81" i="11"/>
  <c r="AA32" i="11"/>
  <c r="G52" i="11"/>
  <c r="AU42" i="11"/>
  <c r="AA20" i="11"/>
  <c r="G40" i="11"/>
  <c r="AA15" i="11"/>
  <c r="G35" i="11"/>
  <c r="AA35" i="11"/>
  <c r="G55" i="11"/>
  <c r="AA68" i="11"/>
  <c r="G88" i="11"/>
  <c r="AA65" i="11"/>
  <c r="G85" i="11"/>
  <c r="AA71" i="11"/>
  <c r="G91" i="11"/>
  <c r="AA36" i="11"/>
  <c r="G56" i="11"/>
  <c r="AA4" i="11"/>
  <c r="G24" i="11"/>
  <c r="AU58" i="11"/>
  <c r="AA9" i="11"/>
  <c r="G29" i="11"/>
  <c r="AA21" i="11"/>
  <c r="G41" i="11"/>
  <c r="AA16" i="11"/>
  <c r="AA40" i="11"/>
  <c r="AA73" i="11"/>
  <c r="G93" i="11"/>
  <c r="AA49" i="11"/>
  <c r="G69" i="11"/>
  <c r="AA37" i="11"/>
  <c r="G57" i="11"/>
  <c r="AA29" i="11"/>
  <c r="G49" i="11"/>
  <c r="AA72" i="11"/>
  <c r="G92" i="11"/>
  <c r="AA43" i="11"/>
  <c r="G63" i="11"/>
  <c r="AU81" i="11"/>
  <c r="AU62" i="11"/>
  <c r="AU61" i="11"/>
  <c r="AA18" i="11"/>
  <c r="G38" i="11"/>
  <c r="AA6" i="11"/>
  <c r="G26" i="11"/>
  <c r="AA24" i="11"/>
  <c r="G44" i="11"/>
  <c r="AA48" i="11"/>
  <c r="G68" i="11"/>
  <c r="AA64" i="11"/>
  <c r="AA39" i="11"/>
  <c r="G59" i="11"/>
  <c r="AA38" i="11"/>
  <c r="G58" i="11"/>
  <c r="AA70" i="11"/>
  <c r="G90" i="11"/>
  <c r="AU35" i="11"/>
  <c r="AU49" i="11"/>
  <c r="AU43" i="11"/>
  <c r="AU40" i="11"/>
  <c r="AU73" i="11"/>
  <c r="AA11" i="11"/>
  <c r="G31" i="11"/>
  <c r="AA17" i="11"/>
  <c r="G37" i="11"/>
  <c r="AA25" i="11"/>
  <c r="G45" i="11"/>
  <c r="AA46" i="11"/>
  <c r="G66" i="11"/>
  <c r="AA33" i="11"/>
  <c r="G53" i="11"/>
  <c r="AA28" i="11"/>
  <c r="AA67" i="11"/>
  <c r="G87" i="11"/>
  <c r="AA34" i="11"/>
  <c r="G54" i="11"/>
  <c r="AA52" i="11"/>
  <c r="AA41" i="11"/>
  <c r="G61" i="11"/>
  <c r="AU39" i="11"/>
  <c r="AA14" i="11"/>
  <c r="G34" i="11"/>
  <c r="AA19" i="11"/>
  <c r="G39" i="11"/>
  <c r="AA27" i="11"/>
  <c r="G47" i="11"/>
  <c r="AA47" i="11"/>
  <c r="G67" i="11"/>
  <c r="AA56" i="11"/>
  <c r="G76" i="11"/>
  <c r="AA74" i="11"/>
  <c r="G94" i="11"/>
  <c r="AA69" i="11"/>
  <c r="G89" i="11"/>
  <c r="AA59" i="11"/>
  <c r="G79" i="11"/>
  <c r="AU67" i="11"/>
  <c r="AU68" i="11"/>
  <c r="AU69" i="11"/>
  <c r="AU72" i="11"/>
  <c r="AA26" i="11"/>
  <c r="G46" i="11"/>
  <c r="AA5" i="11"/>
  <c r="G25" i="11"/>
  <c r="AA53" i="11"/>
  <c r="G73" i="11"/>
  <c r="AA51" i="11"/>
  <c r="G71" i="11"/>
  <c r="AA50" i="11"/>
  <c r="G70" i="11"/>
  <c r="AA30" i="11"/>
  <c r="G50" i="11"/>
  <c r="AA57" i="11"/>
  <c r="G77" i="11"/>
  <c r="AA60" i="11"/>
  <c r="G80" i="11"/>
  <c r="AA44" i="11"/>
  <c r="G64" i="11"/>
  <c r="AU54" i="11"/>
  <c r="AU31" i="11"/>
  <c r="AU80" i="11"/>
  <c r="AU66" i="11"/>
  <c r="AU55" i="11"/>
  <c r="AU9" i="11"/>
  <c r="AU7" i="11"/>
  <c r="AU78" i="11"/>
  <c r="AU65" i="11"/>
  <c r="AU87" i="11"/>
  <c r="AU63" i="11"/>
  <c r="AU53" i="11"/>
  <c r="AU46" i="11"/>
  <c r="AU8" i="11"/>
  <c r="AU56" i="11"/>
  <c r="AU24" i="11"/>
  <c r="AU18" i="11"/>
  <c r="AU48" i="11"/>
  <c r="AU28" i="11"/>
  <c r="AU64" i="11"/>
  <c r="AU33" i="11"/>
  <c r="AU85" i="11"/>
  <c r="AU74" i="11"/>
  <c r="AU6" i="11"/>
  <c r="AU45" i="11"/>
  <c r="AU86" i="11"/>
  <c r="AU51" i="11"/>
  <c r="AU47" i="11"/>
  <c r="AU27" i="11"/>
  <c r="AU82" i="11"/>
  <c r="N18" i="11"/>
  <c r="AU26" i="11"/>
  <c r="AU19" i="11"/>
  <c r="AU23" i="11"/>
  <c r="AU20" i="11"/>
  <c r="AU15" i="11"/>
  <c r="AU25" i="11"/>
  <c r="AU11" i="11"/>
  <c r="AU17" i="11"/>
  <c r="AU10" i="11"/>
  <c r="AA10" i="11"/>
  <c r="AU12" i="11"/>
  <c r="AA12" i="11"/>
  <c r="AU13" i="11"/>
  <c r="AA13" i="11"/>
  <c r="AU14" i="11"/>
  <c r="AU22" i="11"/>
  <c r="AA22" i="11"/>
  <c r="AU5" i="11"/>
  <c r="R35" i="11"/>
  <c r="E16" i="11" s="1"/>
  <c r="AI88" i="11"/>
  <c r="AU88" i="11" s="1"/>
  <c r="AU4" i="11"/>
  <c r="AU90" i="11"/>
  <c r="AB35" i="9"/>
  <c r="C97" i="8"/>
  <c r="C56" i="8"/>
  <c r="C122" i="1"/>
  <c r="C80" i="1"/>
  <c r="G36" i="11" l="1"/>
  <c r="G60" i="11"/>
  <c r="G96" i="11" s="1"/>
  <c r="R41" i="11"/>
  <c r="E19" i="11" s="1"/>
  <c r="AB36" i="9"/>
  <c r="C140" i="1"/>
  <c r="I248" i="6"/>
  <c r="C13" i="1"/>
  <c r="AB37" i="9" l="1"/>
  <c r="D67" i="8"/>
  <c r="C67" i="8"/>
  <c r="D65" i="8"/>
  <c r="C65" i="8"/>
  <c r="D62" i="8"/>
  <c r="C62" i="8"/>
  <c r="E86" i="1"/>
  <c r="D86" i="1"/>
  <c r="C86" i="1"/>
  <c r="C89" i="1"/>
  <c r="E89" i="1"/>
  <c r="D89" i="1"/>
  <c r="E91" i="1"/>
  <c r="D91" i="1"/>
  <c r="C91" i="1"/>
  <c r="AB38" i="9" l="1"/>
  <c r="C126" i="1"/>
  <c r="C101" i="8" s="1"/>
  <c r="I78" i="1"/>
  <c r="I77" i="1"/>
  <c r="H78" i="1"/>
  <c r="H77" i="1"/>
  <c r="E16" i="7"/>
  <c r="D16" i="7"/>
  <c r="C16" i="7"/>
  <c r="B16" i="7"/>
  <c r="D16" i="6"/>
  <c r="E16" i="6"/>
  <c r="C16" i="6"/>
  <c r="I76" i="1" s="1"/>
  <c r="B16" i="6"/>
  <c r="H75" i="1" s="1"/>
  <c r="AB39" i="9" l="1"/>
  <c r="H76" i="1"/>
  <c r="I75" i="1"/>
  <c r="C110" i="1"/>
  <c r="C109" i="1"/>
  <c r="C108" i="1"/>
  <c r="C84" i="8"/>
  <c r="C85" i="8"/>
  <c r="C86" i="8" l="1"/>
  <c r="AB40" i="9"/>
  <c r="D9" i="4"/>
  <c r="C93" i="8"/>
  <c r="C81" i="8"/>
  <c r="C80" i="8"/>
  <c r="C79" i="8"/>
  <c r="C71" i="8"/>
  <c r="C75" i="8"/>
  <c r="C72" i="8"/>
  <c r="C40" i="8"/>
  <c r="C41" i="8"/>
  <c r="C42" i="8"/>
  <c r="C39" i="8"/>
  <c r="C4" i="6"/>
  <c r="AB41" i="9" l="1"/>
  <c r="C94" i="8"/>
  <c r="C95" i="8" s="1"/>
  <c r="D7" i="4" s="1"/>
  <c r="C87" i="8"/>
  <c r="C83" i="8" s="1"/>
  <c r="C76" i="8"/>
  <c r="D66" i="8"/>
  <c r="C66" i="8"/>
  <c r="D63" i="8"/>
  <c r="C63" i="8"/>
  <c r="D61" i="8"/>
  <c r="D64" i="8" s="1"/>
  <c r="C61" i="8"/>
  <c r="C64" i="8" s="1"/>
  <c r="C57" i="8"/>
  <c r="C58" i="8" s="1"/>
  <c r="D3" i="4" s="1"/>
  <c r="AB42" i="9" l="1"/>
  <c r="C88" i="8"/>
  <c r="C68" i="8"/>
  <c r="D68" i="8"/>
  <c r="AB43" i="9" l="1"/>
  <c r="C69" i="8"/>
  <c r="AB44" i="9" l="1"/>
  <c r="B8" i="6"/>
  <c r="AB45" i="9" l="1"/>
  <c r="G5" i="7"/>
  <c r="B8" i="7"/>
  <c r="C77" i="1"/>
  <c r="C53" i="8" s="1"/>
  <c r="H88" i="1"/>
  <c r="C107" i="8" s="1"/>
  <c r="C108" i="8" s="1"/>
  <c r="D10" i="4" s="1"/>
  <c r="C99" i="8"/>
  <c r="D8" i="4" s="1"/>
  <c r="P5" i="7" l="1"/>
  <c r="AJ4" i="9"/>
  <c r="AJ5" i="9" s="1"/>
  <c r="AJ6" i="9" s="1"/>
  <c r="AJ7" i="9" s="1"/>
  <c r="AJ8" i="9" s="1"/>
  <c r="AJ9" i="9" s="1"/>
  <c r="AJ10" i="9" s="1"/>
  <c r="AJ11" i="9" s="1"/>
  <c r="AJ12" i="9" s="1"/>
  <c r="AJ13" i="9" s="1"/>
  <c r="AJ14" i="9" s="1"/>
  <c r="AJ15" i="9" s="1"/>
  <c r="AJ16" i="9" s="1"/>
  <c r="AJ17" i="9" s="1"/>
  <c r="AJ18" i="9" s="1"/>
  <c r="AJ19" i="9" s="1"/>
  <c r="AJ20" i="9" s="1"/>
  <c r="AJ21" i="9" s="1"/>
  <c r="AJ22" i="9" s="1"/>
  <c r="AJ23" i="9" s="1"/>
  <c r="AJ24" i="9" s="1"/>
  <c r="AJ25" i="9" s="1"/>
  <c r="AJ26" i="9" s="1"/>
  <c r="AJ27" i="9" s="1"/>
  <c r="AJ28" i="9" s="1"/>
  <c r="AJ29" i="9" s="1"/>
  <c r="AJ30" i="9" s="1"/>
  <c r="AJ31" i="9" s="1"/>
  <c r="AJ32" i="9" s="1"/>
  <c r="AJ33" i="9" s="1"/>
  <c r="AJ34" i="9" s="1"/>
  <c r="AJ35" i="9" s="1"/>
  <c r="AJ36" i="9" s="1"/>
  <c r="AJ37" i="9" s="1"/>
  <c r="AJ38" i="9" s="1"/>
  <c r="AJ39" i="9" s="1"/>
  <c r="AJ40" i="9" s="1"/>
  <c r="AJ41" i="9" s="1"/>
  <c r="AJ42" i="9" s="1"/>
  <c r="AJ43" i="9" s="1"/>
  <c r="AJ44" i="9" s="1"/>
  <c r="AJ45" i="9" s="1"/>
  <c r="AJ46" i="9" s="1"/>
  <c r="AJ47" i="9" s="1"/>
  <c r="AJ48" i="9" s="1"/>
  <c r="AJ49" i="9" s="1"/>
  <c r="AJ50" i="9" s="1"/>
  <c r="AJ51" i="9" s="1"/>
  <c r="AJ52" i="9" s="1"/>
  <c r="AJ53" i="9" s="1"/>
  <c r="AJ54" i="9" s="1"/>
  <c r="AJ55" i="9" s="1"/>
  <c r="AJ56" i="9" s="1"/>
  <c r="AJ57" i="9" s="1"/>
  <c r="AJ58" i="9" s="1"/>
  <c r="AJ59" i="9" s="1"/>
  <c r="AJ60" i="9" s="1"/>
  <c r="AJ61" i="9" s="1"/>
  <c r="AJ62" i="9" s="1"/>
  <c r="AJ63" i="9" s="1"/>
  <c r="AJ64" i="9" s="1"/>
  <c r="AJ65" i="9" s="1"/>
  <c r="AJ66" i="9" s="1"/>
  <c r="AJ67" i="9" s="1"/>
  <c r="AJ68" i="9" s="1"/>
  <c r="AJ69" i="9" s="1"/>
  <c r="AJ70" i="9" s="1"/>
  <c r="AJ71" i="9" s="1"/>
  <c r="AJ72" i="9" s="1"/>
  <c r="AJ73" i="9" s="1"/>
  <c r="AJ74" i="9" s="1"/>
  <c r="AJ75" i="9" s="1"/>
  <c r="AJ76" i="9" s="1"/>
  <c r="AJ77" i="9" s="1"/>
  <c r="AJ78" i="9" s="1"/>
  <c r="AJ79" i="9" s="1"/>
  <c r="AJ80" i="9" s="1"/>
  <c r="AJ81" i="9" s="1"/>
  <c r="AJ82" i="9" s="1"/>
  <c r="AJ83" i="9" s="1"/>
  <c r="AJ84" i="9" s="1"/>
  <c r="AJ85" i="9" s="1"/>
  <c r="AJ86" i="9" s="1"/>
  <c r="AJ87" i="9" s="1"/>
  <c r="AJ88" i="9" s="1"/>
  <c r="AJ89" i="9" s="1"/>
  <c r="AA4" i="9"/>
  <c r="AB46" i="9"/>
  <c r="C76" i="1"/>
  <c r="AB47" i="9" l="1"/>
  <c r="C78" i="1"/>
  <c r="C54" i="8" s="1"/>
  <c r="C52" i="8"/>
  <c r="E8" i="6"/>
  <c r="N248" i="7"/>
  <c r="M248" i="7"/>
  <c r="L248" i="7"/>
  <c r="K248" i="7"/>
  <c r="J248" i="7"/>
  <c r="F248" i="7"/>
  <c r="N5" i="7"/>
  <c r="M4" i="7"/>
  <c r="K4" i="7"/>
  <c r="J4" i="7"/>
  <c r="I4" i="7"/>
  <c r="J1" i="7"/>
  <c r="AB48" i="9" l="1"/>
  <c r="C89" i="8"/>
  <c r="D6" i="4" s="1"/>
  <c r="C77" i="8"/>
  <c r="E8" i="7"/>
  <c r="B14" i="7"/>
  <c r="B14" i="6"/>
  <c r="H5" i="6"/>
  <c r="G5" i="6"/>
  <c r="AB49" i="9" l="1"/>
  <c r="H5" i="7"/>
  <c r="H6" i="7" s="1"/>
  <c r="G6" i="7" s="1"/>
  <c r="D5" i="4"/>
  <c r="B11" i="7"/>
  <c r="B10" i="7"/>
  <c r="B9" i="7"/>
  <c r="B10" i="6"/>
  <c r="B9" i="6"/>
  <c r="H6" i="6"/>
  <c r="G6" i="6" s="1"/>
  <c r="J1" i="6"/>
  <c r="AA5" i="9" l="1"/>
  <c r="AB50" i="9"/>
  <c r="P6" i="7"/>
  <c r="F6" i="7"/>
  <c r="F5" i="7"/>
  <c r="H7" i="6"/>
  <c r="H8" i="6" s="1"/>
  <c r="H9" i="6" s="1"/>
  <c r="H10" i="6" s="1"/>
  <c r="H11" i="6" s="1"/>
  <c r="H12" i="6" s="1"/>
  <c r="H13" i="6" s="1"/>
  <c r="H14" i="6" s="1"/>
  <c r="H15" i="6" s="1"/>
  <c r="H16" i="6" s="1"/>
  <c r="H17" i="6" s="1"/>
  <c r="H18" i="6" s="1"/>
  <c r="H19" i="6" s="1"/>
  <c r="H20" i="6" s="1"/>
  <c r="H21" i="6" s="1"/>
  <c r="H22" i="6" s="1"/>
  <c r="H23" i="6" s="1"/>
  <c r="H24" i="6" s="1"/>
  <c r="H25" i="6" s="1"/>
  <c r="H26" i="6" s="1"/>
  <c r="H27" i="6" s="1"/>
  <c r="H28" i="6" s="1"/>
  <c r="H29" i="6" s="1"/>
  <c r="H30" i="6" s="1"/>
  <c r="H31" i="6" s="1"/>
  <c r="H32" i="6" s="1"/>
  <c r="H33" i="6" s="1"/>
  <c r="H34" i="6" s="1"/>
  <c r="H35" i="6" s="1"/>
  <c r="H36" i="6" s="1"/>
  <c r="H37" i="6" s="1"/>
  <c r="H38" i="6" s="1"/>
  <c r="H39" i="6" s="1"/>
  <c r="H40" i="6" s="1"/>
  <c r="H41" i="6" s="1"/>
  <c r="H42" i="6" s="1"/>
  <c r="H43" i="6" s="1"/>
  <c r="H44" i="6" s="1"/>
  <c r="H45" i="6" s="1"/>
  <c r="H46" i="6" s="1"/>
  <c r="H47" i="6" s="1"/>
  <c r="H48" i="6" s="1"/>
  <c r="H49" i="6" s="1"/>
  <c r="H50" i="6" s="1"/>
  <c r="H51" i="6" s="1"/>
  <c r="H52" i="6" s="1"/>
  <c r="H53" i="6" s="1"/>
  <c r="H54" i="6" s="1"/>
  <c r="H55" i="6" s="1"/>
  <c r="H56" i="6" s="1"/>
  <c r="H57" i="6" s="1"/>
  <c r="H58" i="6" s="1"/>
  <c r="H59" i="6" s="1"/>
  <c r="H60" i="6" s="1"/>
  <c r="H61" i="6" s="1"/>
  <c r="H62" i="6" s="1"/>
  <c r="H63" i="6" s="1"/>
  <c r="H64" i="6" s="1"/>
  <c r="H65" i="6" s="1"/>
  <c r="H66" i="6" s="1"/>
  <c r="H67" i="6" s="1"/>
  <c r="H68" i="6" s="1"/>
  <c r="H69" i="6" s="1"/>
  <c r="H70" i="6" s="1"/>
  <c r="H71" i="6" s="1"/>
  <c r="H72" i="6" s="1"/>
  <c r="H73" i="6" s="1"/>
  <c r="H74" i="6" s="1"/>
  <c r="H75" i="6" s="1"/>
  <c r="H76" i="6" s="1"/>
  <c r="H77" i="6" s="1"/>
  <c r="H78" i="6" s="1"/>
  <c r="H79" i="6" s="1"/>
  <c r="H80" i="6" s="1"/>
  <c r="H81" i="6" s="1"/>
  <c r="H82" i="6" s="1"/>
  <c r="H83" i="6" s="1"/>
  <c r="H84" i="6" s="1"/>
  <c r="H85" i="6" s="1"/>
  <c r="H86" i="6" s="1"/>
  <c r="H87" i="6" s="1"/>
  <c r="H88" i="6" s="1"/>
  <c r="H89" i="6" s="1"/>
  <c r="H90" i="6" s="1"/>
  <c r="H91" i="6" s="1"/>
  <c r="H92" i="6" s="1"/>
  <c r="H93" i="6" s="1"/>
  <c r="H94" i="6" s="1"/>
  <c r="H95" i="6" s="1"/>
  <c r="H96" i="6" s="1"/>
  <c r="H97" i="6" s="1"/>
  <c r="H98" i="6" s="1"/>
  <c r="H99" i="6" s="1"/>
  <c r="H100" i="6" s="1"/>
  <c r="H101" i="6" s="1"/>
  <c r="H102" i="6" s="1"/>
  <c r="H103" i="6" s="1"/>
  <c r="H104" i="6" s="1"/>
  <c r="H105" i="6" s="1"/>
  <c r="H106" i="6" s="1"/>
  <c r="H107" i="6" s="1"/>
  <c r="H108" i="6" s="1"/>
  <c r="H109" i="6" s="1"/>
  <c r="H110" i="6" s="1"/>
  <c r="H111" i="6" s="1"/>
  <c r="H112" i="6" s="1"/>
  <c r="H113" i="6" s="1"/>
  <c r="H114" i="6" s="1"/>
  <c r="H115" i="6" s="1"/>
  <c r="H116" i="6" s="1"/>
  <c r="H117" i="6" s="1"/>
  <c r="H118" i="6" s="1"/>
  <c r="H119" i="6" s="1"/>
  <c r="H120" i="6" s="1"/>
  <c r="H121" i="6" s="1"/>
  <c r="H122" i="6" s="1"/>
  <c r="H123" i="6" s="1"/>
  <c r="H124" i="6" s="1"/>
  <c r="H125" i="6" s="1"/>
  <c r="H126" i="6" s="1"/>
  <c r="H127" i="6" s="1"/>
  <c r="H128" i="6" s="1"/>
  <c r="H129" i="6" s="1"/>
  <c r="H130" i="6" s="1"/>
  <c r="H131" i="6" s="1"/>
  <c r="H132" i="6" s="1"/>
  <c r="H133" i="6" s="1"/>
  <c r="H134" i="6" s="1"/>
  <c r="H135" i="6" s="1"/>
  <c r="H136" i="6" s="1"/>
  <c r="H137" i="6" s="1"/>
  <c r="H138" i="6" s="1"/>
  <c r="H139" i="6" s="1"/>
  <c r="H140" i="6" s="1"/>
  <c r="H141" i="6" s="1"/>
  <c r="H142" i="6" s="1"/>
  <c r="H143" i="6" s="1"/>
  <c r="H144" i="6" s="1"/>
  <c r="H145" i="6" s="1"/>
  <c r="H146" i="6" s="1"/>
  <c r="H147" i="6" s="1"/>
  <c r="H148" i="6" s="1"/>
  <c r="H149" i="6" s="1"/>
  <c r="H150" i="6" s="1"/>
  <c r="H151" i="6" s="1"/>
  <c r="H152" i="6" s="1"/>
  <c r="H153" i="6" s="1"/>
  <c r="H154" i="6" s="1"/>
  <c r="H155" i="6" s="1"/>
  <c r="H156" i="6" s="1"/>
  <c r="H157" i="6" s="1"/>
  <c r="H158" i="6" s="1"/>
  <c r="H159" i="6" s="1"/>
  <c r="H160" i="6" s="1"/>
  <c r="H161" i="6" s="1"/>
  <c r="H162" i="6" s="1"/>
  <c r="H163" i="6" s="1"/>
  <c r="H164" i="6" s="1"/>
  <c r="H165" i="6" s="1"/>
  <c r="H166" i="6" s="1"/>
  <c r="H167" i="6" s="1"/>
  <c r="H168" i="6" s="1"/>
  <c r="H169" i="6" s="1"/>
  <c r="H170" i="6" s="1"/>
  <c r="H171" i="6" s="1"/>
  <c r="H172" i="6" s="1"/>
  <c r="H173" i="6" s="1"/>
  <c r="H174" i="6" s="1"/>
  <c r="H175" i="6" s="1"/>
  <c r="H176" i="6" s="1"/>
  <c r="H177" i="6" s="1"/>
  <c r="H178" i="6" s="1"/>
  <c r="H179" i="6" s="1"/>
  <c r="H180" i="6" s="1"/>
  <c r="H181" i="6" s="1"/>
  <c r="H182" i="6" s="1"/>
  <c r="H183" i="6" s="1"/>
  <c r="H184" i="6" s="1"/>
  <c r="H185" i="6" s="1"/>
  <c r="H186" i="6" s="1"/>
  <c r="H187" i="6" s="1"/>
  <c r="H188" i="6" s="1"/>
  <c r="H189" i="6" s="1"/>
  <c r="H190" i="6" s="1"/>
  <c r="H191" i="6" s="1"/>
  <c r="H192" i="6" s="1"/>
  <c r="H193" i="6" s="1"/>
  <c r="H194" i="6" s="1"/>
  <c r="H195" i="6" s="1"/>
  <c r="H196" i="6" s="1"/>
  <c r="H197" i="6" s="1"/>
  <c r="H198" i="6" s="1"/>
  <c r="H199" i="6" s="1"/>
  <c r="H200" i="6" s="1"/>
  <c r="H201" i="6" s="1"/>
  <c r="H202" i="6" s="1"/>
  <c r="H203" i="6" s="1"/>
  <c r="H204" i="6" s="1"/>
  <c r="H205" i="6" s="1"/>
  <c r="H206" i="6" s="1"/>
  <c r="H207" i="6" s="1"/>
  <c r="H208" i="6" s="1"/>
  <c r="H209" i="6" s="1"/>
  <c r="H210" i="6" s="1"/>
  <c r="H211" i="6" s="1"/>
  <c r="H212" i="6" s="1"/>
  <c r="H213" i="6" s="1"/>
  <c r="H214" i="6" s="1"/>
  <c r="H215" i="6" s="1"/>
  <c r="H216" i="6" s="1"/>
  <c r="H217" i="6" s="1"/>
  <c r="H218" i="6" s="1"/>
  <c r="H219" i="6" s="1"/>
  <c r="H220" i="6" s="1"/>
  <c r="H221" i="6" s="1"/>
  <c r="H222" i="6" s="1"/>
  <c r="H223" i="6" s="1"/>
  <c r="H224" i="6" s="1"/>
  <c r="H225" i="6" s="1"/>
  <c r="H226" i="6" s="1"/>
  <c r="H227" i="6" s="1"/>
  <c r="H228" i="6" s="1"/>
  <c r="H229" i="6" s="1"/>
  <c r="H230" i="6" s="1"/>
  <c r="H231" i="6" s="1"/>
  <c r="H232" i="6" s="1"/>
  <c r="H233" i="6" s="1"/>
  <c r="H234" i="6" s="1"/>
  <c r="H235" i="6" s="1"/>
  <c r="H236" i="6" s="1"/>
  <c r="H237" i="6" s="1"/>
  <c r="H238" i="6" s="1"/>
  <c r="H239" i="6" s="1"/>
  <c r="H240" i="6" s="1"/>
  <c r="H241" i="6" s="1"/>
  <c r="H242" i="6" s="1"/>
  <c r="H243" i="6" s="1"/>
  <c r="H244" i="6" s="1"/>
  <c r="H7" i="7"/>
  <c r="G7" i="7" s="1"/>
  <c r="K4" i="6"/>
  <c r="J4" i="6"/>
  <c r="B11" i="6"/>
  <c r="F5" i="6" s="1"/>
  <c r="I4" i="6"/>
  <c r="M4" i="6"/>
  <c r="AA6" i="9" l="1"/>
  <c r="AB51" i="9"/>
  <c r="P7" i="7"/>
  <c r="F7" i="7"/>
  <c r="F6" i="6"/>
  <c r="G7" i="6"/>
  <c r="H245" i="6"/>
  <c r="N6" i="7"/>
  <c r="H8" i="7"/>
  <c r="G8" i="7" s="1"/>
  <c r="AA7" i="9" l="1"/>
  <c r="AB52" i="9"/>
  <c r="P8" i="7"/>
  <c r="F7" i="6"/>
  <c r="F8" i="7"/>
  <c r="G8" i="6"/>
  <c r="H246" i="6"/>
  <c r="H247" i="6" s="1"/>
  <c r="H9" i="7"/>
  <c r="G9" i="7" s="1"/>
  <c r="N7" i="7"/>
  <c r="AA8" i="9" l="1"/>
  <c r="AB53" i="9"/>
  <c r="P9" i="7"/>
  <c r="F8" i="6"/>
  <c r="F9" i="7"/>
  <c r="G9" i="6"/>
  <c r="H10" i="7"/>
  <c r="G10" i="7" s="1"/>
  <c r="N8" i="7"/>
  <c r="AA9" i="9" l="1"/>
  <c r="AB54" i="9"/>
  <c r="P10" i="7"/>
  <c r="F9" i="6"/>
  <c r="F10" i="7"/>
  <c r="G10" i="6"/>
  <c r="N9" i="7"/>
  <c r="H11" i="7"/>
  <c r="G11" i="7" s="1"/>
  <c r="D108" i="1"/>
  <c r="D109" i="1"/>
  <c r="D110" i="1"/>
  <c r="D112" i="1"/>
  <c r="D107" i="1" s="1"/>
  <c r="C100" i="1"/>
  <c r="E85" i="1"/>
  <c r="E88" i="1" s="1"/>
  <c r="E87" i="1"/>
  <c r="E90" i="1"/>
  <c r="AA10" i="9" l="1"/>
  <c r="AB55" i="9"/>
  <c r="P11" i="7"/>
  <c r="F10" i="6"/>
  <c r="F11" i="7"/>
  <c r="G11" i="6"/>
  <c r="N10" i="7"/>
  <c r="H12" i="7"/>
  <c r="G12" i="7" s="1"/>
  <c r="D111" i="1"/>
  <c r="E92" i="1"/>
  <c r="AA11" i="9" l="1"/>
  <c r="AB56" i="9"/>
  <c r="P12" i="7"/>
  <c r="F11" i="6"/>
  <c r="F12" i="7"/>
  <c r="G12" i="6"/>
  <c r="N11" i="7"/>
  <c r="H13" i="7"/>
  <c r="G13" i="7" s="1"/>
  <c r="D90" i="1"/>
  <c r="C90" i="1"/>
  <c r="C146" i="1"/>
  <c r="AA12" i="9" l="1"/>
  <c r="AB57" i="9"/>
  <c r="P13" i="7"/>
  <c r="F12" i="6"/>
  <c r="F13" i="7"/>
  <c r="G13" i="6"/>
  <c r="N12" i="7"/>
  <c r="H14" i="7"/>
  <c r="G14" i="7" s="1"/>
  <c r="C172" i="1"/>
  <c r="AA13" i="9" l="1"/>
  <c r="AB58" i="9"/>
  <c r="P14" i="7"/>
  <c r="F13" i="6"/>
  <c r="F14" i="7"/>
  <c r="G14" i="6"/>
  <c r="H15" i="7"/>
  <c r="G15" i="7" s="1"/>
  <c r="N13" i="7"/>
  <c r="C166" i="1"/>
  <c r="C112" i="1"/>
  <c r="C165" i="1"/>
  <c r="C164" i="1"/>
  <c r="C163" i="1"/>
  <c r="C161" i="1"/>
  <c r="C160" i="1"/>
  <c r="C159" i="1"/>
  <c r="C158" i="1"/>
  <c r="C157" i="1"/>
  <c r="C155" i="1"/>
  <c r="C145" i="1"/>
  <c r="C147" i="1" s="1"/>
  <c r="C167" i="1" s="1"/>
  <c r="B60" i="1"/>
  <c r="AA14" i="9" l="1"/>
  <c r="AB59" i="9"/>
  <c r="P15" i="7"/>
  <c r="F14" i="6"/>
  <c r="F15" i="7"/>
  <c r="G15" i="6"/>
  <c r="H16" i="7"/>
  <c r="G16" i="7" s="1"/>
  <c r="N14" i="7"/>
  <c r="C156" i="1"/>
  <c r="C162" i="1"/>
  <c r="AA15" i="9" l="1"/>
  <c r="AB60" i="9"/>
  <c r="P16" i="7"/>
  <c r="F15" i="6"/>
  <c r="F16" i="7"/>
  <c r="G16" i="6"/>
  <c r="H17" i="7"/>
  <c r="R17" i="7" s="1"/>
  <c r="N15" i="7"/>
  <c r="C104" i="1"/>
  <c r="D113" i="1" s="1"/>
  <c r="D85" i="1"/>
  <c r="D88" i="1" s="1"/>
  <c r="C96" i="1"/>
  <c r="C85" i="1"/>
  <c r="C88" i="1" s="1"/>
  <c r="C132" i="1"/>
  <c r="C118" i="1"/>
  <c r="C105" i="1"/>
  <c r="C107" i="1" s="1"/>
  <c r="C103" i="1"/>
  <c r="C99" i="1"/>
  <c r="C95" i="1"/>
  <c r="Q4" i="7" l="1"/>
  <c r="AB61" i="9"/>
  <c r="G17" i="7"/>
  <c r="F16" i="6"/>
  <c r="C111" i="1"/>
  <c r="C113" i="1" s="1"/>
  <c r="G17" i="6"/>
  <c r="H18" i="7"/>
  <c r="N16" i="7"/>
  <c r="C133" i="1"/>
  <c r="C10" i="4" s="1"/>
  <c r="C9" i="4"/>
  <c r="C124" i="1"/>
  <c r="C119" i="1"/>
  <c r="C120" i="1" s="1"/>
  <c r="C7" i="4" s="1"/>
  <c r="AA16" i="9" l="1"/>
  <c r="AB62" i="9"/>
  <c r="F17" i="7"/>
  <c r="P17" i="7"/>
  <c r="G18" i="7"/>
  <c r="F17" i="6"/>
  <c r="G18" i="6"/>
  <c r="H19" i="7"/>
  <c r="N17" i="7"/>
  <c r="C8" i="4"/>
  <c r="AA17" i="9" l="1"/>
  <c r="AB63" i="9"/>
  <c r="F18" i="7"/>
  <c r="P18" i="7"/>
  <c r="G19" i="7"/>
  <c r="F18" i="6"/>
  <c r="G19" i="6"/>
  <c r="H20" i="7"/>
  <c r="N18" i="7"/>
  <c r="D87" i="1"/>
  <c r="C87" i="1"/>
  <c r="C81" i="1"/>
  <c r="C82" i="1" s="1"/>
  <c r="C97" i="1" s="1"/>
  <c r="AA18" i="9" l="1"/>
  <c r="AB64" i="9"/>
  <c r="F19" i="7"/>
  <c r="P19" i="7"/>
  <c r="G20" i="7"/>
  <c r="C73" i="8"/>
  <c r="C4" i="4"/>
  <c r="F19" i="6"/>
  <c r="G20" i="6"/>
  <c r="H21" i="7"/>
  <c r="N19" i="7"/>
  <c r="C3" i="4"/>
  <c r="C92" i="1"/>
  <c r="D92" i="1"/>
  <c r="AA19" i="9" l="1"/>
  <c r="AB65" i="9"/>
  <c r="F20" i="7"/>
  <c r="P20" i="7"/>
  <c r="G21" i="7"/>
  <c r="D4" i="4"/>
  <c r="C110" i="8"/>
  <c r="D2" i="4" s="1"/>
  <c r="F20" i="6"/>
  <c r="G21" i="6"/>
  <c r="H22" i="7"/>
  <c r="N20" i="7"/>
  <c r="C93" i="1"/>
  <c r="C114" i="1" s="1"/>
  <c r="AA20" i="9" l="1"/>
  <c r="AB66" i="9"/>
  <c r="F21" i="7"/>
  <c r="P21" i="7"/>
  <c r="G22" i="7"/>
  <c r="F21" i="6"/>
  <c r="G22" i="6"/>
  <c r="C6" i="4"/>
  <c r="H23" i="7"/>
  <c r="N21" i="7"/>
  <c r="C101" i="1"/>
  <c r="C135" i="1" s="1"/>
  <c r="E1" i="6" s="1"/>
  <c r="C141" i="1"/>
  <c r="AA21" i="9" l="1"/>
  <c r="AB67" i="9"/>
  <c r="F22" i="7"/>
  <c r="P22" i="7"/>
  <c r="G23" i="7"/>
  <c r="F22" i="6"/>
  <c r="C112" i="8"/>
  <c r="C139" i="1"/>
  <c r="C2" i="4"/>
  <c r="G23" i="6"/>
  <c r="C5" i="4"/>
  <c r="H24" i="7"/>
  <c r="N22" i="7"/>
  <c r="C14" i="4"/>
  <c r="AA22" i="9" l="1"/>
  <c r="AB68" i="9"/>
  <c r="F23" i="7"/>
  <c r="P23" i="7"/>
  <c r="G24" i="7"/>
  <c r="F23" i="6"/>
  <c r="G24" i="6"/>
  <c r="H25" i="7"/>
  <c r="N23" i="7"/>
  <c r="C144" i="1"/>
  <c r="C17" i="4" s="1"/>
  <c r="AA23" i="9" l="1"/>
  <c r="AB69" i="9"/>
  <c r="U15" i="7"/>
  <c r="F24" i="7"/>
  <c r="P24" i="7"/>
  <c r="G25" i="7"/>
  <c r="F24" i="6"/>
  <c r="K5" i="6"/>
  <c r="G25" i="6"/>
  <c r="K5" i="7"/>
  <c r="C2" i="7"/>
  <c r="B1" i="7"/>
  <c r="C1" i="7"/>
  <c r="C6" i="7" s="1"/>
  <c r="E4" i="7"/>
  <c r="B2" i="7"/>
  <c r="O4" i="7"/>
  <c r="C3" i="7"/>
  <c r="H26" i="7"/>
  <c r="N24" i="7"/>
  <c r="C1" i="6"/>
  <c r="C6" i="6" s="1"/>
  <c r="O4" i="6"/>
  <c r="C3" i="6"/>
  <c r="B1" i="6"/>
  <c r="C2" i="6"/>
  <c r="B2" i="6"/>
  <c r="E4" i="6"/>
  <c r="C151" i="1"/>
  <c r="L23" i="7" l="1"/>
  <c r="AA24" i="9"/>
  <c r="AO4" i="9"/>
  <c r="AF4" i="9"/>
  <c r="AB70" i="9"/>
  <c r="U14" i="7"/>
  <c r="P25" i="7"/>
  <c r="F25" i="7"/>
  <c r="G26" i="7"/>
  <c r="F25" i="6"/>
  <c r="G26" i="6"/>
  <c r="I26" i="6" s="1"/>
  <c r="L23" i="6"/>
  <c r="N23" i="6" s="1"/>
  <c r="B3" i="7"/>
  <c r="L20" i="7"/>
  <c r="L18" i="7"/>
  <c r="L10" i="7"/>
  <c r="L8" i="7"/>
  <c r="L7" i="7"/>
  <c r="L15" i="7"/>
  <c r="L9" i="7"/>
  <c r="L22" i="7"/>
  <c r="L14" i="7"/>
  <c r="L5" i="7"/>
  <c r="L6" i="7" s="1"/>
  <c r="L13" i="7" s="1"/>
  <c r="L21" i="7"/>
  <c r="L16" i="7"/>
  <c r="L19" i="7"/>
  <c r="L11" i="7"/>
  <c r="L24" i="7"/>
  <c r="H27" i="7"/>
  <c r="N25" i="7"/>
  <c r="L25" i="7"/>
  <c r="L16" i="6"/>
  <c r="N16" i="6" s="1"/>
  <c r="L15" i="6"/>
  <c r="N15" i="6" s="1"/>
  <c r="L14" i="6"/>
  <c r="N14" i="6" s="1"/>
  <c r="L11" i="6"/>
  <c r="N11" i="6" s="1"/>
  <c r="L7" i="6"/>
  <c r="L22" i="6"/>
  <c r="N22" i="6" s="1"/>
  <c r="B3" i="6"/>
  <c r="L9" i="6"/>
  <c r="N9" i="6" s="1"/>
  <c r="L8" i="6"/>
  <c r="N8" i="6" s="1"/>
  <c r="L21" i="6"/>
  <c r="N21" i="6" s="1"/>
  <c r="L5" i="6"/>
  <c r="L6" i="6" s="1"/>
  <c r="L20" i="6"/>
  <c r="N20" i="6" s="1"/>
  <c r="L19" i="6"/>
  <c r="N19" i="6" s="1"/>
  <c r="L10" i="6"/>
  <c r="N10" i="6" s="1"/>
  <c r="L24" i="6"/>
  <c r="N24" i="6" s="1"/>
  <c r="F8" i="10" l="1"/>
  <c r="I5" i="7"/>
  <c r="AA25" i="9"/>
  <c r="AB71" i="9"/>
  <c r="P26" i="7"/>
  <c r="G27" i="7"/>
  <c r="F26" i="7"/>
  <c r="I7" i="6"/>
  <c r="I8" i="6"/>
  <c r="I9" i="6"/>
  <c r="I10" i="6"/>
  <c r="I11" i="6"/>
  <c r="I12" i="6"/>
  <c r="I13" i="6"/>
  <c r="I14" i="6"/>
  <c r="I15" i="6"/>
  <c r="I16" i="6"/>
  <c r="I17" i="6"/>
  <c r="I19" i="6"/>
  <c r="I20" i="6"/>
  <c r="I21" i="6"/>
  <c r="I22" i="6"/>
  <c r="I23" i="6"/>
  <c r="I24" i="6"/>
  <c r="I25" i="6"/>
  <c r="F26" i="6"/>
  <c r="N7" i="6"/>
  <c r="G27" i="6"/>
  <c r="I27" i="6" s="1"/>
  <c r="N5" i="6"/>
  <c r="N6" i="6" s="1"/>
  <c r="L12" i="7"/>
  <c r="L17" i="7" s="1"/>
  <c r="L12" i="6"/>
  <c r="L13" i="6"/>
  <c r="N13" i="6" s="1"/>
  <c r="N26" i="7"/>
  <c r="H28" i="7"/>
  <c r="L26" i="7"/>
  <c r="L25" i="6"/>
  <c r="N25" i="6" s="1"/>
  <c r="R29" i="7" l="1"/>
  <c r="H29" i="7"/>
  <c r="G28" i="7"/>
  <c r="Q5" i="7"/>
  <c r="AA26" i="9"/>
  <c r="AB72" i="9"/>
  <c r="N12" i="6"/>
  <c r="P27" i="7"/>
  <c r="F27" i="7"/>
  <c r="F27" i="6"/>
  <c r="I5" i="6"/>
  <c r="G28" i="6"/>
  <c r="I28" i="6" s="1"/>
  <c r="L17" i="6"/>
  <c r="N17" i="6" s="1"/>
  <c r="C153" i="1"/>
  <c r="N27" i="7"/>
  <c r="L27" i="7"/>
  <c r="L26" i="6"/>
  <c r="N26" i="6" s="1"/>
  <c r="AA27" i="9" l="1"/>
  <c r="AB73" i="9"/>
  <c r="L18" i="6"/>
  <c r="N18" i="6" s="1"/>
  <c r="I6" i="6"/>
  <c r="I18" i="6" s="1"/>
  <c r="P28" i="7"/>
  <c r="F28" i="7"/>
  <c r="G29" i="7"/>
  <c r="F28" i="6"/>
  <c r="G29" i="6"/>
  <c r="I29" i="6" s="1"/>
  <c r="C143" i="1"/>
  <c r="C171" i="1" s="1"/>
  <c r="C142" i="1"/>
  <c r="C15" i="4" s="1"/>
  <c r="C13" i="4"/>
  <c r="H30" i="7"/>
  <c r="L28" i="7"/>
  <c r="N28" i="7"/>
  <c r="L27" i="6"/>
  <c r="N27" i="6" s="1"/>
  <c r="AA28" i="9" l="1"/>
  <c r="AB74" i="9"/>
  <c r="F29" i="7"/>
  <c r="P29" i="7"/>
  <c r="G30" i="7"/>
  <c r="F29" i="6"/>
  <c r="G30" i="6"/>
  <c r="I30" i="6" s="1"/>
  <c r="C152" i="1"/>
  <c r="C16" i="4"/>
  <c r="C150" i="1"/>
  <c r="N29" i="7"/>
  <c r="L29" i="7"/>
  <c r="H31" i="7"/>
  <c r="L28" i="6"/>
  <c r="N28" i="6" s="1"/>
  <c r="AA29" i="9" l="1"/>
  <c r="AB75" i="9"/>
  <c r="F30" i="7"/>
  <c r="P30" i="7"/>
  <c r="G31" i="7"/>
  <c r="F30" i="6"/>
  <c r="G31" i="6"/>
  <c r="I31" i="6" s="1"/>
  <c r="C169" i="1"/>
  <c r="C170" i="1" s="1"/>
  <c r="C174" i="1" s="1"/>
  <c r="C12" i="4" s="1"/>
  <c r="L30" i="7"/>
  <c r="N30" i="7"/>
  <c r="H32" i="7"/>
  <c r="L29" i="6"/>
  <c r="N29" i="6" s="1"/>
  <c r="AA30" i="9" l="1"/>
  <c r="AB76" i="9"/>
  <c r="F31" i="7"/>
  <c r="P31" i="7"/>
  <c r="G32" i="7"/>
  <c r="F31" i="6"/>
  <c r="G32" i="6"/>
  <c r="I32" i="6" s="1"/>
  <c r="L31" i="7"/>
  <c r="N31" i="7"/>
  <c r="H33" i="7"/>
  <c r="L30" i="6"/>
  <c r="N30" i="6" s="1"/>
  <c r="AA31" i="9" l="1"/>
  <c r="AB77" i="9"/>
  <c r="F32" i="7"/>
  <c r="P32" i="7"/>
  <c r="G33" i="7"/>
  <c r="F32" i="6"/>
  <c r="G33" i="6"/>
  <c r="I33" i="6" s="1"/>
  <c r="N32" i="7"/>
  <c r="L32" i="7"/>
  <c r="H34" i="7"/>
  <c r="L31" i="6"/>
  <c r="N31" i="6" s="1"/>
  <c r="AA32" i="9" l="1"/>
  <c r="AB78" i="9"/>
  <c r="F33" i="7"/>
  <c r="P33" i="7"/>
  <c r="G34" i="7"/>
  <c r="F33" i="6"/>
  <c r="G34" i="6"/>
  <c r="I34" i="6" s="1"/>
  <c r="H35" i="7"/>
  <c r="L33" i="7"/>
  <c r="N33" i="7"/>
  <c r="L32" i="6"/>
  <c r="N32" i="6" s="1"/>
  <c r="AA33" i="9" l="1"/>
  <c r="AB79" i="9"/>
  <c r="F34" i="7"/>
  <c r="P34" i="7"/>
  <c r="G35" i="7"/>
  <c r="F34" i="6"/>
  <c r="G35" i="6"/>
  <c r="I35" i="6" s="1"/>
  <c r="H36" i="7"/>
  <c r="L34" i="7"/>
  <c r="N34" i="7"/>
  <c r="AA34" i="9" l="1"/>
  <c r="AB80" i="9"/>
  <c r="F35" i="7"/>
  <c r="P35" i="7"/>
  <c r="G36" i="7"/>
  <c r="F35" i="6"/>
  <c r="G36" i="6"/>
  <c r="I36" i="6" s="1"/>
  <c r="H37" i="7"/>
  <c r="N35" i="7"/>
  <c r="L35" i="7"/>
  <c r="L34" i="6"/>
  <c r="N34" i="6" s="1"/>
  <c r="AA35" i="9" l="1"/>
  <c r="AB81" i="9"/>
  <c r="F36" i="7"/>
  <c r="P36" i="7"/>
  <c r="G37" i="7"/>
  <c r="F36" i="6"/>
  <c r="G37" i="6"/>
  <c r="I37" i="6" s="1"/>
  <c r="H38" i="7"/>
  <c r="L36" i="7"/>
  <c r="N36" i="7"/>
  <c r="L35" i="6"/>
  <c r="N35" i="6" s="1"/>
  <c r="AA36" i="9" l="1"/>
  <c r="AB82" i="9"/>
  <c r="P37" i="7"/>
  <c r="F37" i="7"/>
  <c r="G38" i="7"/>
  <c r="F37" i="6"/>
  <c r="G38" i="6"/>
  <c r="I38" i="6" s="1"/>
  <c r="H39" i="7"/>
  <c r="N37" i="7"/>
  <c r="L37" i="7"/>
  <c r="L36" i="6"/>
  <c r="N36" i="6" s="1"/>
  <c r="AA37" i="9" l="1"/>
  <c r="AB83" i="9"/>
  <c r="P38" i="7"/>
  <c r="G39" i="7"/>
  <c r="F38" i="7"/>
  <c r="F38" i="6"/>
  <c r="G39" i="6"/>
  <c r="I39" i="6" s="1"/>
  <c r="H40" i="7"/>
  <c r="N38" i="7"/>
  <c r="L38" i="7"/>
  <c r="L37" i="6"/>
  <c r="N37" i="6" s="1"/>
  <c r="AA38" i="9" l="1"/>
  <c r="AB84" i="9"/>
  <c r="P39" i="7"/>
  <c r="G40" i="7"/>
  <c r="F39" i="7"/>
  <c r="F39" i="6"/>
  <c r="G40" i="6"/>
  <c r="I40" i="6" s="1"/>
  <c r="H41" i="7"/>
  <c r="R41" i="7" s="1"/>
  <c r="N39" i="7"/>
  <c r="L39" i="7"/>
  <c r="L38" i="6"/>
  <c r="N38" i="6" s="1"/>
  <c r="AA39" i="9" l="1"/>
  <c r="AB85" i="9"/>
  <c r="P40" i="7"/>
  <c r="F40" i="7"/>
  <c r="G41" i="7"/>
  <c r="F40" i="6"/>
  <c r="G41" i="6"/>
  <c r="I41" i="6" s="1"/>
  <c r="H42" i="7"/>
  <c r="L40" i="7"/>
  <c r="N40" i="7"/>
  <c r="L39" i="6"/>
  <c r="N39" i="6" s="1"/>
  <c r="AA40" i="9" l="1"/>
  <c r="AB86" i="9"/>
  <c r="F41" i="7"/>
  <c r="P41" i="7"/>
  <c r="G42" i="7"/>
  <c r="F41" i="6"/>
  <c r="G42" i="6"/>
  <c r="I42" i="6" s="1"/>
  <c r="N41" i="7"/>
  <c r="L41" i="7"/>
  <c r="H43" i="7"/>
  <c r="L40" i="6"/>
  <c r="N40" i="6" s="1"/>
  <c r="AA41" i="9" l="1"/>
  <c r="AB87" i="9"/>
  <c r="F42" i="7"/>
  <c r="P42" i="7"/>
  <c r="G43" i="7"/>
  <c r="F42" i="6"/>
  <c r="G43" i="6"/>
  <c r="I43" i="6" s="1"/>
  <c r="L42" i="7"/>
  <c r="N42" i="7"/>
  <c r="H44" i="7"/>
  <c r="AA42" i="9" l="1"/>
  <c r="AB88" i="9"/>
  <c r="F43" i="7"/>
  <c r="P43" i="7"/>
  <c r="G44" i="7"/>
  <c r="F43" i="6"/>
  <c r="G44" i="6"/>
  <c r="I44" i="6" s="1"/>
  <c r="L43" i="7"/>
  <c r="N43" i="7"/>
  <c r="H45" i="7"/>
  <c r="AA43" i="9" l="1"/>
  <c r="AB89" i="9"/>
  <c r="P44" i="7"/>
  <c r="G45" i="7"/>
  <c r="F44" i="7"/>
  <c r="F44" i="6"/>
  <c r="G45" i="6"/>
  <c r="I45" i="6" s="1"/>
  <c r="N44" i="7"/>
  <c r="L44" i="7"/>
  <c r="H46" i="7"/>
  <c r="L43" i="6"/>
  <c r="N43" i="6" s="1"/>
  <c r="AA44" i="9" l="1"/>
  <c r="P45" i="7"/>
  <c r="G46" i="7"/>
  <c r="F45" i="7"/>
  <c r="F45" i="6"/>
  <c r="G46" i="6"/>
  <c r="I46" i="6" s="1"/>
  <c r="N45" i="7"/>
  <c r="L45" i="7"/>
  <c r="H47" i="7"/>
  <c r="N44" i="6"/>
  <c r="L44" i="6"/>
  <c r="AA45" i="9" l="1"/>
  <c r="P46" i="7"/>
  <c r="G47" i="7"/>
  <c r="F46" i="7"/>
  <c r="F46" i="6"/>
  <c r="G47" i="6"/>
  <c r="I47" i="6" s="1"/>
  <c r="N46" i="7"/>
  <c r="L46" i="7"/>
  <c r="H48" i="7"/>
  <c r="L45" i="6"/>
  <c r="N45" i="6" s="1"/>
  <c r="AA46" i="9" l="1"/>
  <c r="P47" i="7"/>
  <c r="G48" i="7"/>
  <c r="F47" i="7"/>
  <c r="F47" i="6"/>
  <c r="G48" i="6"/>
  <c r="I48" i="6" s="1"/>
  <c r="H49" i="7"/>
  <c r="N47" i="7"/>
  <c r="L47" i="7"/>
  <c r="L46" i="6"/>
  <c r="N46" i="6" s="1"/>
  <c r="AA47" i="9" l="1"/>
  <c r="P48" i="7"/>
  <c r="F48" i="7"/>
  <c r="G49" i="7"/>
  <c r="F48" i="6"/>
  <c r="G49" i="6"/>
  <c r="I49" i="6" s="1"/>
  <c r="H50" i="7"/>
  <c r="L48" i="7"/>
  <c r="N48" i="7"/>
  <c r="L47" i="6"/>
  <c r="N47" i="6" s="1"/>
  <c r="AA48" i="9" l="1"/>
  <c r="P49" i="7"/>
  <c r="F49" i="7"/>
  <c r="G50" i="7"/>
  <c r="F49" i="6"/>
  <c r="G50" i="6"/>
  <c r="I50" i="6" s="1"/>
  <c r="H51" i="7"/>
  <c r="N49" i="7"/>
  <c r="L49" i="7"/>
  <c r="L48" i="6"/>
  <c r="N48" i="6" s="1"/>
  <c r="AA49" i="9" l="1"/>
  <c r="P50" i="7"/>
  <c r="F50" i="7"/>
  <c r="G51" i="7"/>
  <c r="F50" i="6"/>
  <c r="G51" i="6"/>
  <c r="I51" i="6" s="1"/>
  <c r="H52" i="7"/>
  <c r="L50" i="7"/>
  <c r="N50" i="7"/>
  <c r="L49" i="6"/>
  <c r="N49" i="6" s="1"/>
  <c r="AA50" i="9" l="1"/>
  <c r="P51" i="7"/>
  <c r="G52" i="7"/>
  <c r="F51" i="7"/>
  <c r="F51" i="6"/>
  <c r="G52" i="6"/>
  <c r="I52" i="6" s="1"/>
  <c r="H53" i="7"/>
  <c r="N51" i="7"/>
  <c r="L51" i="7"/>
  <c r="L50" i="6"/>
  <c r="N50" i="6" s="1"/>
  <c r="R53" i="7" l="1"/>
  <c r="AA51" i="9"/>
  <c r="P52" i="7"/>
  <c r="F52" i="7"/>
  <c r="G53" i="7"/>
  <c r="F52" i="6"/>
  <c r="G53" i="6"/>
  <c r="I53" i="6" s="1"/>
  <c r="L52" i="7"/>
  <c r="H54" i="7"/>
  <c r="N52" i="7"/>
  <c r="L51" i="6"/>
  <c r="N51" i="6" s="1"/>
  <c r="AW2" i="11" l="1"/>
  <c r="R15" i="11"/>
  <c r="AU3" i="11"/>
  <c r="AA52" i="9"/>
  <c r="G54" i="7"/>
  <c r="F53" i="7"/>
  <c r="P53" i="7"/>
  <c r="F53" i="6"/>
  <c r="G54" i="6"/>
  <c r="I54" i="6" s="1"/>
  <c r="H55" i="7"/>
  <c r="N53" i="7"/>
  <c r="L53" i="7"/>
  <c r="L52" i="6"/>
  <c r="N52" i="6" s="1"/>
  <c r="AA53" i="9" l="1"/>
  <c r="F54" i="7"/>
  <c r="P54" i="7"/>
  <c r="G55" i="7"/>
  <c r="F54" i="6"/>
  <c r="G55" i="6"/>
  <c r="I55" i="6" s="1"/>
  <c r="N54" i="7"/>
  <c r="H56" i="7"/>
  <c r="L54" i="7"/>
  <c r="AA54" i="9" l="1"/>
  <c r="G56" i="7"/>
  <c r="P55" i="7"/>
  <c r="F55" i="7"/>
  <c r="F55" i="6"/>
  <c r="G56" i="6"/>
  <c r="I56" i="6" s="1"/>
  <c r="H57" i="7"/>
  <c r="N55" i="7"/>
  <c r="L55" i="7"/>
  <c r="AA55" i="9" l="1"/>
  <c r="G57" i="7"/>
  <c r="P56" i="7"/>
  <c r="F56" i="7"/>
  <c r="F56" i="6"/>
  <c r="G57" i="6"/>
  <c r="I57" i="6" s="1"/>
  <c r="L56" i="7"/>
  <c r="N56" i="7"/>
  <c r="H58" i="7"/>
  <c r="L55" i="6"/>
  <c r="N55" i="6"/>
  <c r="AA56" i="9" l="1"/>
  <c r="P57" i="7"/>
  <c r="F57" i="7"/>
  <c r="G58" i="7"/>
  <c r="F57" i="6"/>
  <c r="G58" i="6"/>
  <c r="I58" i="6" s="1"/>
  <c r="N57" i="7"/>
  <c r="L57" i="7"/>
  <c r="H59" i="7"/>
  <c r="L56" i="6"/>
  <c r="N56" i="6" s="1"/>
  <c r="AA57" i="9" l="1"/>
  <c r="P58" i="7"/>
  <c r="F58" i="7"/>
  <c r="G59" i="7"/>
  <c r="F58" i="6"/>
  <c r="G59" i="6"/>
  <c r="I59" i="6" s="1"/>
  <c r="L58" i="7"/>
  <c r="N58" i="7"/>
  <c r="H60" i="7"/>
  <c r="L57" i="6"/>
  <c r="N57" i="6" s="1"/>
  <c r="AA58" i="9" l="1"/>
  <c r="P59" i="7"/>
  <c r="F59" i="7"/>
  <c r="G60" i="7"/>
  <c r="F59" i="6"/>
  <c r="G60" i="6"/>
  <c r="I60" i="6" s="1"/>
  <c r="H61" i="7"/>
  <c r="N59" i="7"/>
  <c r="L59" i="7"/>
  <c r="L58" i="6"/>
  <c r="N58" i="6" s="1"/>
  <c r="AA59" i="9" l="1"/>
  <c r="P60" i="7"/>
  <c r="G61" i="7"/>
  <c r="F60" i="7"/>
  <c r="F60" i="6"/>
  <c r="G61" i="6"/>
  <c r="I61" i="6" s="1"/>
  <c r="N60" i="7"/>
  <c r="L60" i="7"/>
  <c r="H62" i="7"/>
  <c r="L59" i="6"/>
  <c r="N59" i="6" s="1"/>
  <c r="AA60" i="9" l="1"/>
  <c r="P61" i="7"/>
  <c r="G62" i="7"/>
  <c r="F61" i="7"/>
  <c r="F61" i="6"/>
  <c r="G62" i="6"/>
  <c r="I62" i="6" s="1"/>
  <c r="H63" i="7"/>
  <c r="N61" i="7"/>
  <c r="L61" i="7"/>
  <c r="N60" i="6"/>
  <c r="L60" i="6"/>
  <c r="AA61" i="9" l="1"/>
  <c r="G63" i="7"/>
  <c r="P62" i="7"/>
  <c r="F62" i="7"/>
  <c r="F62" i="6"/>
  <c r="G63" i="6"/>
  <c r="I63" i="6" s="1"/>
  <c r="N62" i="7"/>
  <c r="L62" i="7"/>
  <c r="H64" i="7"/>
  <c r="L61" i="6"/>
  <c r="N61" i="6" s="1"/>
  <c r="AA62" i="9" l="1"/>
  <c r="G64" i="7"/>
  <c r="P63" i="7"/>
  <c r="F63" i="7"/>
  <c r="F63" i="6"/>
  <c r="G64" i="6"/>
  <c r="I64" i="6" s="1"/>
  <c r="N63" i="7"/>
  <c r="L63" i="7"/>
  <c r="H65" i="7"/>
  <c r="R65" i="7" s="1"/>
  <c r="L62" i="6"/>
  <c r="N62" i="6" s="1"/>
  <c r="AA63" i="9" l="1"/>
  <c r="P64" i="7"/>
  <c r="F64" i="7"/>
  <c r="G65" i="7"/>
  <c r="F64" i="6"/>
  <c r="G65" i="6"/>
  <c r="I65" i="6" s="1"/>
  <c r="N64" i="7"/>
  <c r="L64" i="7"/>
  <c r="H66" i="7"/>
  <c r="L63" i="6"/>
  <c r="N63" i="6" s="1"/>
  <c r="AA64" i="9" l="1"/>
  <c r="P65" i="7"/>
  <c r="F65" i="7"/>
  <c r="G66" i="7"/>
  <c r="F65" i="6"/>
  <c r="G66" i="6"/>
  <c r="I66" i="6" s="1"/>
  <c r="N65" i="7"/>
  <c r="L65" i="7"/>
  <c r="H67" i="7"/>
  <c r="L64" i="6"/>
  <c r="N64" i="6" s="1"/>
  <c r="AA65" i="9" l="1"/>
  <c r="F66" i="7"/>
  <c r="P66" i="7"/>
  <c r="G67" i="7"/>
  <c r="F66" i="6"/>
  <c r="G67" i="6"/>
  <c r="I67" i="6" s="1"/>
  <c r="N66" i="7"/>
  <c r="L66" i="7"/>
  <c r="H68" i="7"/>
  <c r="AA66" i="9" l="1"/>
  <c r="P67" i="7"/>
  <c r="F67" i="7"/>
  <c r="G68" i="7"/>
  <c r="F67" i="6"/>
  <c r="G68" i="6"/>
  <c r="I68" i="6" s="1"/>
  <c r="H69" i="7"/>
  <c r="N67" i="7"/>
  <c r="L67" i="7"/>
  <c r="AA67" i="9" l="1"/>
  <c r="G69" i="7"/>
  <c r="P68" i="7"/>
  <c r="F68" i="7"/>
  <c r="F68" i="6"/>
  <c r="G69" i="6"/>
  <c r="I69" i="6" s="1"/>
  <c r="H70" i="7"/>
  <c r="L68" i="7"/>
  <c r="N68" i="7"/>
  <c r="L67" i="6"/>
  <c r="N67" i="6" s="1"/>
  <c r="AA68" i="9" l="1"/>
  <c r="G70" i="7"/>
  <c r="P69" i="7"/>
  <c r="F69" i="7"/>
  <c r="F69" i="6"/>
  <c r="G70" i="6"/>
  <c r="I70" i="6" s="1"/>
  <c r="N69" i="7"/>
  <c r="H71" i="7"/>
  <c r="L69" i="7"/>
  <c r="N68" i="6"/>
  <c r="L68" i="6"/>
  <c r="AA69" i="9" l="1"/>
  <c r="F70" i="7"/>
  <c r="P70" i="7"/>
  <c r="G71" i="7"/>
  <c r="F70" i="6"/>
  <c r="G71" i="6"/>
  <c r="I71" i="6" s="1"/>
  <c r="N70" i="7"/>
  <c r="H72" i="7"/>
  <c r="L70" i="7"/>
  <c r="L69" i="6"/>
  <c r="N69" i="6" s="1"/>
  <c r="AA70" i="9" l="1"/>
  <c r="P71" i="7"/>
  <c r="F71" i="7"/>
  <c r="G72" i="7"/>
  <c r="F71" i="6"/>
  <c r="G72" i="6"/>
  <c r="I72" i="6" s="1"/>
  <c r="H73" i="7"/>
  <c r="N71" i="7"/>
  <c r="L71" i="7"/>
  <c r="L70" i="6"/>
  <c r="N70" i="6" s="1"/>
  <c r="AA71" i="9" l="1"/>
  <c r="F72" i="7"/>
  <c r="P72" i="7"/>
  <c r="G73" i="7"/>
  <c r="F72" i="6"/>
  <c r="G73" i="6"/>
  <c r="I73" i="6" s="1"/>
  <c r="H74" i="7"/>
  <c r="N72" i="7"/>
  <c r="L72" i="7"/>
  <c r="L71" i="6"/>
  <c r="N71" i="6" s="1"/>
  <c r="AA72" i="9" l="1"/>
  <c r="G74" i="7"/>
  <c r="F73" i="7"/>
  <c r="P73" i="7"/>
  <c r="F73" i="6"/>
  <c r="G74" i="6"/>
  <c r="I74" i="6" s="1"/>
  <c r="N73" i="7"/>
  <c r="H75" i="7"/>
  <c r="L73" i="7"/>
  <c r="L72" i="6"/>
  <c r="N72" i="6" s="1"/>
  <c r="AA73" i="9" l="1"/>
  <c r="F74" i="7"/>
  <c r="P74" i="7"/>
  <c r="G75" i="7"/>
  <c r="F74" i="6"/>
  <c r="G75" i="6"/>
  <c r="I75" i="6" s="1"/>
  <c r="N74" i="7"/>
  <c r="H76" i="7"/>
  <c r="L74" i="7"/>
  <c r="L73" i="6"/>
  <c r="N73" i="6" s="1"/>
  <c r="AA74" i="9" l="1"/>
  <c r="F75" i="7"/>
  <c r="P75" i="7"/>
  <c r="G76" i="7"/>
  <c r="F75" i="6"/>
  <c r="G76" i="6"/>
  <c r="I76" i="6" s="1"/>
  <c r="H77" i="7"/>
  <c r="R77" i="7" s="1"/>
  <c r="R3" i="7" s="1"/>
  <c r="N75" i="7"/>
  <c r="L75" i="7"/>
  <c r="L74" i="6"/>
  <c r="N74" i="6" s="1"/>
  <c r="AA75" i="9" l="1"/>
  <c r="P76" i="7"/>
  <c r="F76" i="7"/>
  <c r="G77" i="7"/>
  <c r="F76" i="6"/>
  <c r="G77" i="6"/>
  <c r="I77" i="6" s="1"/>
  <c r="H78" i="7"/>
  <c r="L76" i="7"/>
  <c r="N76" i="7"/>
  <c r="L75" i="6"/>
  <c r="N75" i="6" s="1"/>
  <c r="AA76" i="9" l="1"/>
  <c r="G78" i="7"/>
  <c r="F77" i="7"/>
  <c r="P77" i="7"/>
  <c r="F77" i="6"/>
  <c r="G78" i="6"/>
  <c r="I78" i="6" s="1"/>
  <c r="H79" i="7"/>
  <c r="N77" i="7"/>
  <c r="L77" i="7"/>
  <c r="AA77" i="9" l="1"/>
  <c r="G79" i="7"/>
  <c r="F78" i="7"/>
  <c r="P78" i="7"/>
  <c r="F78" i="6"/>
  <c r="G79" i="6"/>
  <c r="I79" i="6" s="1"/>
  <c r="H80" i="7"/>
  <c r="N78" i="7"/>
  <c r="L78" i="7"/>
  <c r="AA78" i="9" l="1"/>
  <c r="P79" i="7"/>
  <c r="F79" i="7"/>
  <c r="G80" i="7"/>
  <c r="F79" i="6"/>
  <c r="G80" i="6"/>
  <c r="I80" i="6" s="1"/>
  <c r="H81" i="7"/>
  <c r="N79" i="7"/>
  <c r="L79" i="7"/>
  <c r="L78" i="6"/>
  <c r="N78" i="6" s="1"/>
  <c r="AA79" i="9" l="1"/>
  <c r="G81" i="7"/>
  <c r="F80" i="7"/>
  <c r="P80" i="7"/>
  <c r="F80" i="6"/>
  <c r="G81" i="6"/>
  <c r="I81" i="6" s="1"/>
  <c r="H82" i="7"/>
  <c r="L80" i="7"/>
  <c r="N80" i="7"/>
  <c r="L79" i="6"/>
  <c r="N79" i="6" s="1"/>
  <c r="AA80" i="9" l="1"/>
  <c r="G82" i="7"/>
  <c r="F81" i="7"/>
  <c r="P81" i="7"/>
  <c r="F81" i="6"/>
  <c r="G82" i="6"/>
  <c r="I82" i="6" s="1"/>
  <c r="H83" i="7"/>
  <c r="N81" i="7"/>
  <c r="L81" i="7"/>
  <c r="L80" i="6"/>
  <c r="N80" i="6" s="1"/>
  <c r="AA81" i="9" l="1"/>
  <c r="F82" i="7"/>
  <c r="G83" i="7"/>
  <c r="P82" i="7"/>
  <c r="F82" i="6"/>
  <c r="G83" i="6"/>
  <c r="I83" i="6" s="1"/>
  <c r="N82" i="7"/>
  <c r="L82" i="7"/>
  <c r="H84" i="7"/>
  <c r="L81" i="6"/>
  <c r="N81" i="6" s="1"/>
  <c r="AA82" i="9" l="1"/>
  <c r="P83" i="7"/>
  <c r="F83" i="7"/>
  <c r="G84" i="7"/>
  <c r="F83" i="6"/>
  <c r="G84" i="6"/>
  <c r="I84" i="6" s="1"/>
  <c r="H85" i="7"/>
  <c r="N83" i="7"/>
  <c r="L83" i="7"/>
  <c r="L82" i="6"/>
  <c r="N82" i="6" s="1"/>
  <c r="AA83" i="9" l="1"/>
  <c r="G85" i="7"/>
  <c r="P84" i="7"/>
  <c r="F84" i="7"/>
  <c r="F84" i="6"/>
  <c r="G85" i="6"/>
  <c r="I85" i="6" s="1"/>
  <c r="L84" i="7"/>
  <c r="N84" i="7"/>
  <c r="H86" i="7"/>
  <c r="L83" i="6"/>
  <c r="N83" i="6" s="1"/>
  <c r="AA84" i="9" l="1"/>
  <c r="G86" i="7"/>
  <c r="F85" i="7"/>
  <c r="P85" i="7"/>
  <c r="F85" i="6"/>
  <c r="G86" i="6"/>
  <c r="I86" i="6" s="1"/>
  <c r="H87" i="7"/>
  <c r="N85" i="7"/>
  <c r="L85" i="7"/>
  <c r="N84" i="6"/>
  <c r="L84" i="6"/>
  <c r="AA85" i="9" l="1"/>
  <c r="G87" i="7"/>
  <c r="P86" i="7"/>
  <c r="F86" i="7"/>
  <c r="F86" i="6"/>
  <c r="G87" i="6"/>
  <c r="I87" i="6" s="1"/>
  <c r="L86" i="7"/>
  <c r="N86" i="7"/>
  <c r="H88" i="7"/>
  <c r="L85" i="6"/>
  <c r="N85" i="6" s="1"/>
  <c r="AA86" i="9" l="1"/>
  <c r="F87" i="7"/>
  <c r="P87" i="7"/>
  <c r="G88" i="7"/>
  <c r="F87" i="6"/>
  <c r="G88" i="6"/>
  <c r="I88" i="6" s="1"/>
  <c r="L87" i="7"/>
  <c r="N87" i="7"/>
  <c r="H89" i="7"/>
  <c r="L86" i="6"/>
  <c r="N86" i="6" s="1"/>
  <c r="AA87" i="9" l="1"/>
  <c r="F88" i="7"/>
  <c r="P88" i="7"/>
  <c r="G89" i="7"/>
  <c r="F88" i="6"/>
  <c r="G89" i="6"/>
  <c r="H90" i="7"/>
  <c r="L88" i="7"/>
  <c r="N88" i="7"/>
  <c r="L87" i="6"/>
  <c r="N87" i="6" s="1"/>
  <c r="AA88" i="9" l="1"/>
  <c r="P89" i="7"/>
  <c r="F89" i="7"/>
  <c r="G90" i="7"/>
  <c r="F89" i="6"/>
  <c r="G90" i="6"/>
  <c r="I90" i="6" s="1"/>
  <c r="N89" i="7"/>
  <c r="L89" i="7"/>
  <c r="H91" i="7"/>
  <c r="L88" i="6"/>
  <c r="N88" i="6" s="1"/>
  <c r="AA89" i="9" l="1"/>
  <c r="F90" i="7"/>
  <c r="P90" i="7"/>
  <c r="G91" i="7"/>
  <c r="F90" i="6"/>
  <c r="G91" i="6"/>
  <c r="I91" i="6" s="1"/>
  <c r="N90" i="7"/>
  <c r="L90" i="7"/>
  <c r="H92" i="7"/>
  <c r="G92" i="7" l="1"/>
  <c r="P91" i="7"/>
  <c r="F91" i="7"/>
  <c r="F91" i="6"/>
  <c r="G92" i="6"/>
  <c r="I92" i="6" s="1"/>
  <c r="N91" i="7"/>
  <c r="L91" i="7"/>
  <c r="H93" i="7"/>
  <c r="F92" i="7" l="1"/>
  <c r="P92" i="7"/>
  <c r="G93" i="7"/>
  <c r="F92" i="6"/>
  <c r="G93" i="6"/>
  <c r="I93" i="6" s="1"/>
  <c r="N92" i="7"/>
  <c r="L92" i="7"/>
  <c r="H94" i="7"/>
  <c r="F93" i="7" l="1"/>
  <c r="P93" i="7"/>
  <c r="G94" i="7"/>
  <c r="F93" i="6"/>
  <c r="G94" i="6"/>
  <c r="I94" i="6" s="1"/>
  <c r="N93" i="7"/>
  <c r="L93" i="7"/>
  <c r="H95" i="7"/>
  <c r="N92" i="6"/>
  <c r="L92" i="6"/>
  <c r="F94" i="7" l="1"/>
  <c r="G95" i="7"/>
  <c r="P94" i="7"/>
  <c r="F94" i="6"/>
  <c r="G95" i="6"/>
  <c r="I95" i="6" s="1"/>
  <c r="H96" i="7"/>
  <c r="N94" i="7"/>
  <c r="L94" i="7"/>
  <c r="L93" i="6"/>
  <c r="N93" i="6" s="1"/>
  <c r="F95" i="7" l="1"/>
  <c r="P95" i="7"/>
  <c r="G96" i="7"/>
  <c r="F95" i="6"/>
  <c r="G96" i="6"/>
  <c r="I96" i="6" s="1"/>
  <c r="N95" i="7"/>
  <c r="L95" i="7"/>
  <c r="H97" i="7"/>
  <c r="L94" i="6"/>
  <c r="N94" i="6" s="1"/>
  <c r="G97" i="7" l="1"/>
  <c r="F96" i="7"/>
  <c r="P96" i="7"/>
  <c r="F96" i="6"/>
  <c r="G97" i="6"/>
  <c r="I97" i="6" s="1"/>
  <c r="N96" i="7"/>
  <c r="L96" i="7"/>
  <c r="H98" i="7"/>
  <c r="L95" i="6"/>
  <c r="N95" i="6" s="1"/>
  <c r="F97" i="7" l="1"/>
  <c r="P97" i="7"/>
  <c r="G98" i="7"/>
  <c r="F97" i="6"/>
  <c r="G98" i="6"/>
  <c r="I98" i="6" s="1"/>
  <c r="L97" i="7"/>
  <c r="N97" i="7"/>
  <c r="H99" i="7"/>
  <c r="L96" i="6"/>
  <c r="N96" i="6" s="1"/>
  <c r="G99" i="7" l="1"/>
  <c r="F98" i="7"/>
  <c r="P98" i="7"/>
  <c r="F98" i="6"/>
  <c r="G99" i="6"/>
  <c r="I99" i="6" s="1"/>
  <c r="H100" i="7"/>
  <c r="N98" i="7"/>
  <c r="L98" i="7"/>
  <c r="L97" i="6"/>
  <c r="N97" i="6" s="1"/>
  <c r="P99" i="7" l="1"/>
  <c r="F99" i="7"/>
  <c r="G100" i="7"/>
  <c r="F99" i="6"/>
  <c r="G100" i="6"/>
  <c r="I100" i="6" s="1"/>
  <c r="N99" i="7"/>
  <c r="H101" i="7"/>
  <c r="L99" i="7"/>
  <c r="L98" i="6"/>
  <c r="N98" i="6" s="1"/>
  <c r="P100" i="7" l="1"/>
  <c r="F100" i="7"/>
  <c r="G101" i="7"/>
  <c r="F100" i="6"/>
  <c r="G101" i="6"/>
  <c r="I101" i="6" s="1"/>
  <c r="N100" i="7"/>
  <c r="H102" i="7"/>
  <c r="L100" i="7"/>
  <c r="L99" i="6"/>
  <c r="N99" i="6" s="1"/>
  <c r="G102" i="7" l="1"/>
  <c r="F101" i="7"/>
  <c r="P101" i="7"/>
  <c r="F101" i="6"/>
  <c r="G102" i="6"/>
  <c r="I102" i="6" s="1"/>
  <c r="H103" i="7"/>
  <c r="N101" i="7"/>
  <c r="L101" i="7"/>
  <c r="L100" i="6"/>
  <c r="N100" i="6" s="1"/>
  <c r="G103" i="7" l="1"/>
  <c r="F102" i="7"/>
  <c r="P102" i="7"/>
  <c r="F102" i="6"/>
  <c r="G103" i="6"/>
  <c r="I103" i="6" s="1"/>
  <c r="N102" i="7"/>
  <c r="L102" i="7"/>
  <c r="H104" i="7"/>
  <c r="L101" i="6"/>
  <c r="N101" i="6" s="1"/>
  <c r="F103" i="7" l="1"/>
  <c r="P103" i="7"/>
  <c r="G104" i="7"/>
  <c r="F103" i="6"/>
  <c r="G104" i="6"/>
  <c r="I104" i="6" s="1"/>
  <c r="N103" i="7"/>
  <c r="L103" i="7"/>
  <c r="H105" i="7"/>
  <c r="L102" i="6"/>
  <c r="N102" i="6" s="1"/>
  <c r="F104" i="7" l="1"/>
  <c r="P104" i="7"/>
  <c r="G105" i="7"/>
  <c r="F104" i="6"/>
  <c r="G105" i="6"/>
  <c r="I105" i="6" s="1"/>
  <c r="H106" i="7"/>
  <c r="L104" i="7"/>
  <c r="N104" i="7"/>
  <c r="N103" i="6"/>
  <c r="L103" i="6"/>
  <c r="G106" i="7" l="1"/>
  <c r="F105" i="7"/>
  <c r="P105" i="7"/>
  <c r="F105" i="6"/>
  <c r="G106" i="6"/>
  <c r="I106" i="6" s="1"/>
  <c r="H107" i="7"/>
  <c r="L105" i="7"/>
  <c r="N105" i="7"/>
  <c r="L104" i="6"/>
  <c r="N104" i="6" s="1"/>
  <c r="G107" i="7" l="1"/>
  <c r="F106" i="7"/>
  <c r="P106" i="7"/>
  <c r="F106" i="6"/>
  <c r="G107" i="6"/>
  <c r="I107" i="6" s="1"/>
  <c r="N106" i="7"/>
  <c r="H108" i="7"/>
  <c r="L106" i="7"/>
  <c r="L105" i="6"/>
  <c r="N105" i="6" s="1"/>
  <c r="P107" i="7" l="1"/>
  <c r="F107" i="7"/>
  <c r="G108" i="7"/>
  <c r="F107" i="6"/>
  <c r="G108" i="6"/>
  <c r="I108" i="6" s="1"/>
  <c r="N107" i="7"/>
  <c r="H109" i="7"/>
  <c r="L107" i="7"/>
  <c r="N106" i="6"/>
  <c r="L106" i="6"/>
  <c r="F108" i="7" l="1"/>
  <c r="P108" i="7"/>
  <c r="G109" i="7"/>
  <c r="F108" i="6"/>
  <c r="G109" i="6"/>
  <c r="I109" i="6" s="1"/>
  <c r="H110" i="7"/>
  <c r="N108" i="7"/>
  <c r="L108" i="7"/>
  <c r="L107" i="6"/>
  <c r="N107" i="6" s="1"/>
  <c r="G110" i="7" l="1"/>
  <c r="F109" i="7"/>
  <c r="P109" i="7"/>
  <c r="F109" i="6"/>
  <c r="G110" i="6"/>
  <c r="I110" i="6" s="1"/>
  <c r="N109" i="7"/>
  <c r="H111" i="7"/>
  <c r="L109" i="7"/>
  <c r="L108" i="6"/>
  <c r="N108" i="6" s="1"/>
  <c r="F110" i="7" l="1"/>
  <c r="P110" i="7"/>
  <c r="G111" i="7"/>
  <c r="F110" i="6"/>
  <c r="G111" i="6"/>
  <c r="I111" i="6" s="1"/>
  <c r="H112" i="7"/>
  <c r="N110" i="7"/>
  <c r="L110" i="7"/>
  <c r="L109" i="6"/>
  <c r="N109" i="6" s="1"/>
  <c r="P111" i="7" l="1"/>
  <c r="F111" i="7"/>
  <c r="G112" i="7"/>
  <c r="F111" i="6"/>
  <c r="G112" i="6"/>
  <c r="I112" i="6" s="1"/>
  <c r="N111" i="7"/>
  <c r="H113" i="7"/>
  <c r="L111" i="7"/>
  <c r="L110" i="6"/>
  <c r="N110" i="6" s="1"/>
  <c r="F112" i="7" l="1"/>
  <c r="G113" i="7"/>
  <c r="P112" i="7"/>
  <c r="F112" i="6"/>
  <c r="G113" i="6"/>
  <c r="I113" i="6" s="1"/>
  <c r="H114" i="7"/>
  <c r="L112" i="7"/>
  <c r="N112" i="7"/>
  <c r="L111" i="6"/>
  <c r="N111" i="6" s="1"/>
  <c r="F113" i="7" l="1"/>
  <c r="P113" i="7"/>
  <c r="G114" i="7"/>
  <c r="F113" i="6"/>
  <c r="G114" i="6"/>
  <c r="I114" i="6" s="1"/>
  <c r="L113" i="7"/>
  <c r="N113" i="7"/>
  <c r="H115" i="7"/>
  <c r="L112" i="6"/>
  <c r="N112" i="6" s="1"/>
  <c r="F114" i="7" l="1"/>
  <c r="P114" i="7"/>
  <c r="G115" i="7"/>
  <c r="F114" i="6"/>
  <c r="G115" i="6"/>
  <c r="I115" i="6" s="1"/>
  <c r="N114" i="7"/>
  <c r="L114" i="7"/>
  <c r="H116" i="7"/>
  <c r="L113" i="6"/>
  <c r="N113" i="6" s="1"/>
  <c r="F115" i="7" l="1"/>
  <c r="P115" i="7"/>
  <c r="G116" i="7"/>
  <c r="F115" i="6"/>
  <c r="G116" i="6"/>
  <c r="I116" i="6" s="1"/>
  <c r="H117" i="7"/>
  <c r="N115" i="7"/>
  <c r="L115" i="7"/>
  <c r="L114" i="6"/>
  <c r="N114" i="6" s="1"/>
  <c r="F116" i="7" l="1"/>
  <c r="P116" i="7"/>
  <c r="G117" i="7"/>
  <c r="F116" i="6"/>
  <c r="G117" i="6"/>
  <c r="I117" i="6" s="1"/>
  <c r="H118" i="7"/>
  <c r="L116" i="7"/>
  <c r="N116" i="7"/>
  <c r="L115" i="6"/>
  <c r="N115" i="6"/>
  <c r="F117" i="7" l="1"/>
  <c r="P117" i="7"/>
  <c r="G118" i="7"/>
  <c r="F117" i="6"/>
  <c r="G118" i="6"/>
  <c r="I118" i="6" s="1"/>
  <c r="N117" i="7"/>
  <c r="H119" i="7"/>
  <c r="L117" i="7"/>
  <c r="L116" i="6"/>
  <c r="N116" i="6" s="1"/>
  <c r="F118" i="7" l="1"/>
  <c r="P118" i="7"/>
  <c r="G119" i="7"/>
  <c r="F118" i="6"/>
  <c r="G119" i="6"/>
  <c r="I119" i="6" s="1"/>
  <c r="H120" i="7"/>
  <c r="L118" i="7"/>
  <c r="N118" i="7"/>
  <c r="L117" i="6"/>
  <c r="N117" i="6" s="1"/>
  <c r="P119" i="7" l="1"/>
  <c r="G120" i="7"/>
  <c r="F119" i="7"/>
  <c r="F119" i="6"/>
  <c r="G120" i="6"/>
  <c r="I120" i="6" s="1"/>
  <c r="N119" i="7"/>
  <c r="H121" i="7"/>
  <c r="L119" i="7"/>
  <c r="L118" i="6"/>
  <c r="N118" i="6" s="1"/>
  <c r="F120" i="7" l="1"/>
  <c r="P120" i="7"/>
  <c r="G121" i="7"/>
  <c r="F120" i="6"/>
  <c r="G121" i="6"/>
  <c r="I121" i="6" s="1"/>
  <c r="L120" i="7"/>
  <c r="H122" i="7"/>
  <c r="N120" i="7"/>
  <c r="L119" i="6"/>
  <c r="N119" i="6" s="1"/>
  <c r="F121" i="7" l="1"/>
  <c r="P121" i="7"/>
  <c r="G122" i="7"/>
  <c r="F121" i="6"/>
  <c r="G122" i="6"/>
  <c r="I122" i="6" s="1"/>
  <c r="N121" i="7"/>
  <c r="H123" i="7"/>
  <c r="L121" i="7"/>
  <c r="N120" i="6"/>
  <c r="L120" i="6"/>
  <c r="F122" i="7" l="1"/>
  <c r="P122" i="7"/>
  <c r="G123" i="7"/>
  <c r="F122" i="6"/>
  <c r="G123" i="6"/>
  <c r="I123" i="6" s="1"/>
  <c r="N122" i="7"/>
  <c r="H124" i="7"/>
  <c r="L122" i="7"/>
  <c r="L121" i="6"/>
  <c r="N121" i="6" s="1"/>
  <c r="F123" i="7" l="1"/>
  <c r="P123" i="7"/>
  <c r="G124" i="7"/>
  <c r="F123" i="6"/>
  <c r="G124" i="6"/>
  <c r="I124" i="6" s="1"/>
  <c r="H125" i="7"/>
  <c r="L123" i="7"/>
  <c r="N123" i="7"/>
  <c r="L122" i="6"/>
  <c r="N122" i="6" s="1"/>
  <c r="G125" i="7" l="1"/>
  <c r="F124" i="7"/>
  <c r="P124" i="7"/>
  <c r="F124" i="6"/>
  <c r="G125" i="6"/>
  <c r="I125" i="6" s="1"/>
  <c r="H126" i="7"/>
  <c r="N124" i="7"/>
  <c r="L124" i="7"/>
  <c r="L123" i="6"/>
  <c r="N123" i="6" s="1"/>
  <c r="G126" i="7" l="1"/>
  <c r="P125" i="7"/>
  <c r="F125" i="7"/>
  <c r="F125" i="6"/>
  <c r="G126" i="6"/>
  <c r="I126" i="6" s="1"/>
  <c r="N125" i="7"/>
  <c r="H127" i="7"/>
  <c r="L125" i="7"/>
  <c r="N124" i="6"/>
  <c r="L124" i="6"/>
  <c r="G127" i="7" l="1"/>
  <c r="F126" i="7"/>
  <c r="P126" i="7"/>
  <c r="F126" i="6"/>
  <c r="G127" i="6"/>
  <c r="I127" i="6" s="1"/>
  <c r="H128" i="7"/>
  <c r="N126" i="7"/>
  <c r="L126" i="7"/>
  <c r="F127" i="7" l="1"/>
  <c r="P127" i="7"/>
  <c r="G128" i="7"/>
  <c r="F127" i="6"/>
  <c r="G128" i="6"/>
  <c r="I128" i="6" s="1"/>
  <c r="N127" i="7"/>
  <c r="H129" i="7"/>
  <c r="L127" i="7"/>
  <c r="G129" i="7" l="1"/>
  <c r="F128" i="7"/>
  <c r="P128" i="7"/>
  <c r="F128" i="6"/>
  <c r="G129" i="6"/>
  <c r="I129" i="6" s="1"/>
  <c r="H130" i="7"/>
  <c r="L128" i="7"/>
  <c r="N128" i="7"/>
  <c r="L127" i="6"/>
  <c r="N127" i="6" s="1"/>
  <c r="G130" i="7" l="1"/>
  <c r="F129" i="7"/>
  <c r="P129" i="7"/>
  <c r="F129" i="6"/>
  <c r="G130" i="6"/>
  <c r="I130" i="6" s="1"/>
  <c r="H131" i="7"/>
  <c r="N129" i="7"/>
  <c r="L129" i="7"/>
  <c r="L128" i="6"/>
  <c r="N128" i="6" s="1"/>
  <c r="G131" i="7" l="1"/>
  <c r="F130" i="7"/>
  <c r="P130" i="7"/>
  <c r="F130" i="6"/>
  <c r="G131" i="6"/>
  <c r="I131" i="6" s="1"/>
  <c r="N130" i="7"/>
  <c r="H132" i="7"/>
  <c r="L130" i="7"/>
  <c r="L129" i="6"/>
  <c r="N129" i="6" s="1"/>
  <c r="G132" i="7" l="1"/>
  <c r="F131" i="7"/>
  <c r="P131" i="7"/>
  <c r="F131" i="6"/>
  <c r="G132" i="6"/>
  <c r="I132" i="6" s="1"/>
  <c r="H133" i="7"/>
  <c r="N131" i="7"/>
  <c r="L131" i="7"/>
  <c r="L130" i="6"/>
  <c r="N130" i="6" s="1"/>
  <c r="G133" i="7" l="1"/>
  <c r="F132" i="7"/>
  <c r="P132" i="7"/>
  <c r="F132" i="6"/>
  <c r="G133" i="6"/>
  <c r="I133" i="6" s="1"/>
  <c r="H134" i="7"/>
  <c r="L132" i="7"/>
  <c r="N132" i="7"/>
  <c r="L131" i="6"/>
  <c r="N131" i="6" s="1"/>
  <c r="G134" i="7" l="1"/>
  <c r="P133" i="7"/>
  <c r="F133" i="7"/>
  <c r="F133" i="6"/>
  <c r="G134" i="6"/>
  <c r="I134" i="6" s="1"/>
  <c r="H135" i="7"/>
  <c r="N133" i="7"/>
  <c r="L133" i="7"/>
  <c r="L132" i="6"/>
  <c r="N132" i="6" s="1"/>
  <c r="P134" i="7" l="1"/>
  <c r="G135" i="7"/>
  <c r="F134" i="7"/>
  <c r="F134" i="6"/>
  <c r="G135" i="6"/>
  <c r="I135" i="6" s="1"/>
  <c r="N134" i="7"/>
  <c r="H136" i="7"/>
  <c r="L134" i="7"/>
  <c r="L133" i="6"/>
  <c r="N133" i="6" s="1"/>
  <c r="P135" i="7" l="1"/>
  <c r="F135" i="7"/>
  <c r="G136" i="7"/>
  <c r="F135" i="6"/>
  <c r="G136" i="6"/>
  <c r="I136" i="6" s="1"/>
  <c r="H137" i="7"/>
  <c r="N135" i="7"/>
  <c r="L135" i="7"/>
  <c r="L134" i="6"/>
  <c r="N134" i="6" s="1"/>
  <c r="G137" i="7" l="1"/>
  <c r="F136" i="7"/>
  <c r="P136" i="7"/>
  <c r="F136" i="6"/>
  <c r="G137" i="6"/>
  <c r="I137" i="6" s="1"/>
  <c r="H138" i="7"/>
  <c r="L136" i="7"/>
  <c r="N136" i="7"/>
  <c r="L135" i="6"/>
  <c r="N135" i="6" s="1"/>
  <c r="F137" i="7" l="1"/>
  <c r="P137" i="7"/>
  <c r="G138" i="7"/>
  <c r="F137" i="6"/>
  <c r="G138" i="6"/>
  <c r="I138" i="6" s="1"/>
  <c r="H139" i="7"/>
  <c r="L137" i="7"/>
  <c r="N137" i="7"/>
  <c r="N136" i="6"/>
  <c r="L136" i="6"/>
  <c r="G139" i="7" l="1"/>
  <c r="F138" i="7"/>
  <c r="P138" i="7"/>
  <c r="F138" i="6"/>
  <c r="G139" i="6"/>
  <c r="I139" i="6" s="1"/>
  <c r="H140" i="7"/>
  <c r="N138" i="7"/>
  <c r="L138" i="7"/>
  <c r="L137" i="6"/>
  <c r="N137" i="6" s="1"/>
  <c r="G140" i="7" l="1"/>
  <c r="P139" i="7"/>
  <c r="F139" i="7"/>
  <c r="F139" i="6"/>
  <c r="G140" i="6"/>
  <c r="I140" i="6" s="1"/>
  <c r="H141" i="7"/>
  <c r="N139" i="7"/>
  <c r="L139" i="7"/>
  <c r="L138" i="6"/>
  <c r="N138" i="6" s="1"/>
  <c r="F140" i="7" l="1"/>
  <c r="G141" i="7"/>
  <c r="P140" i="7"/>
  <c r="F140" i="6"/>
  <c r="G141" i="6"/>
  <c r="I141" i="6" s="1"/>
  <c r="H142" i="7"/>
  <c r="L140" i="7"/>
  <c r="N140" i="7"/>
  <c r="N139" i="6"/>
  <c r="L139" i="6"/>
  <c r="F141" i="7" l="1"/>
  <c r="P141" i="7"/>
  <c r="G142" i="7"/>
  <c r="F141" i="6"/>
  <c r="G142" i="6"/>
  <c r="I142" i="6" s="1"/>
  <c r="N141" i="7"/>
  <c r="H143" i="7"/>
  <c r="L141" i="7"/>
  <c r="L140" i="6"/>
  <c r="N140" i="6" s="1"/>
  <c r="F142" i="7" l="1"/>
  <c r="P142" i="7"/>
  <c r="G143" i="7"/>
  <c r="F142" i="6"/>
  <c r="G143" i="6"/>
  <c r="I143" i="6" s="1"/>
  <c r="N142" i="7"/>
  <c r="H144" i="7"/>
  <c r="L142" i="7"/>
  <c r="L141" i="6"/>
  <c r="N141" i="6" s="1"/>
  <c r="G144" i="7" l="1"/>
  <c r="F143" i="7"/>
  <c r="P143" i="7"/>
  <c r="F143" i="6"/>
  <c r="G144" i="6"/>
  <c r="I144" i="6" s="1"/>
  <c r="H145" i="7"/>
  <c r="N143" i="7"/>
  <c r="L143" i="7"/>
  <c r="L142" i="6"/>
  <c r="N142" i="6" s="1"/>
  <c r="G145" i="7" l="1"/>
  <c r="P144" i="7"/>
  <c r="F144" i="7"/>
  <c r="F144" i="6"/>
  <c r="G145" i="6"/>
  <c r="I145" i="6" s="1"/>
  <c r="H146" i="7"/>
  <c r="L144" i="7"/>
  <c r="N144" i="7"/>
  <c r="L143" i="6"/>
  <c r="N143" i="6" s="1"/>
  <c r="G146" i="7" l="1"/>
  <c r="F145" i="7"/>
  <c r="P145" i="7"/>
  <c r="F145" i="6"/>
  <c r="G146" i="6"/>
  <c r="I146" i="6" s="1"/>
  <c r="H147" i="7"/>
  <c r="N145" i="7"/>
  <c r="L145" i="7"/>
  <c r="N144" i="6"/>
  <c r="L144" i="6"/>
  <c r="P146" i="7" l="1"/>
  <c r="G147" i="7"/>
  <c r="F146" i="7"/>
  <c r="F146" i="6"/>
  <c r="G147" i="6"/>
  <c r="I147" i="6" s="1"/>
  <c r="N146" i="7"/>
  <c r="H148" i="7"/>
  <c r="L146" i="7"/>
  <c r="L145" i="6"/>
  <c r="N145" i="6" s="1"/>
  <c r="F147" i="7" l="1"/>
  <c r="P147" i="7"/>
  <c r="G148" i="7"/>
  <c r="F147" i="6"/>
  <c r="G148" i="6"/>
  <c r="I148" i="6" s="1"/>
  <c r="N147" i="7"/>
  <c r="H149" i="7"/>
  <c r="L147" i="7"/>
  <c r="L146" i="6"/>
  <c r="N146" i="6" s="1"/>
  <c r="F148" i="7" l="1"/>
  <c r="P148" i="7"/>
  <c r="G149" i="7"/>
  <c r="F148" i="6"/>
  <c r="G149" i="6"/>
  <c r="I149" i="6" s="1"/>
  <c r="H150" i="7"/>
  <c r="L148" i="7"/>
  <c r="N148" i="7"/>
  <c r="L147" i="6"/>
  <c r="N147" i="6" s="1"/>
  <c r="G150" i="7" l="1"/>
  <c r="F149" i="7"/>
  <c r="P149" i="7"/>
  <c r="F149" i="6"/>
  <c r="G150" i="6"/>
  <c r="I150" i="6" s="1"/>
  <c r="H151" i="7"/>
  <c r="L149" i="7"/>
  <c r="N149" i="7"/>
  <c r="L148" i="6"/>
  <c r="N148" i="6" s="1"/>
  <c r="G151" i="7" l="1"/>
  <c r="F150" i="7"/>
  <c r="P150" i="7"/>
  <c r="F150" i="6"/>
  <c r="G151" i="6"/>
  <c r="I151" i="6" s="1"/>
  <c r="H152" i="7"/>
  <c r="N150" i="7"/>
  <c r="L150" i="7"/>
  <c r="L33" i="6"/>
  <c r="L149" i="6"/>
  <c r="N149" i="6" s="1"/>
  <c r="F151" i="7" l="1"/>
  <c r="P151" i="7"/>
  <c r="G152" i="7"/>
  <c r="F151" i="6"/>
  <c r="G152" i="6"/>
  <c r="I152" i="6" s="1"/>
  <c r="L41" i="6"/>
  <c r="L53" i="6" s="1"/>
  <c r="N151" i="7"/>
  <c r="L151" i="7"/>
  <c r="H153" i="7"/>
  <c r="N33" i="6"/>
  <c r="N150" i="6"/>
  <c r="L150" i="6"/>
  <c r="F152" i="7" l="1"/>
  <c r="P152" i="7"/>
  <c r="G153" i="7"/>
  <c r="F152" i="6"/>
  <c r="G153" i="6"/>
  <c r="I153" i="6" s="1"/>
  <c r="L42" i="6"/>
  <c r="L54" i="6" s="1"/>
  <c r="L65" i="6"/>
  <c r="L89" i="6" s="1"/>
  <c r="N41" i="6"/>
  <c r="N65" i="6" s="1"/>
  <c r="L152" i="7"/>
  <c r="N152" i="7"/>
  <c r="H154" i="7"/>
  <c r="L151" i="6"/>
  <c r="N151" i="6" s="1"/>
  <c r="G154" i="7" l="1"/>
  <c r="F153" i="7"/>
  <c r="P153" i="7"/>
  <c r="L66" i="6"/>
  <c r="F153" i="6"/>
  <c r="G154" i="6"/>
  <c r="I154" i="6" s="1"/>
  <c r="N42" i="6"/>
  <c r="N53" i="6"/>
  <c r="L76" i="6"/>
  <c r="N76" i="6" s="1"/>
  <c r="L91" i="6"/>
  <c r="L125" i="6" s="1"/>
  <c r="N89" i="6"/>
  <c r="N153" i="7"/>
  <c r="L153" i="7"/>
  <c r="H155" i="7"/>
  <c r="L152" i="6"/>
  <c r="N152" i="6" s="1"/>
  <c r="P154" i="7" l="1"/>
  <c r="F154" i="7"/>
  <c r="G155" i="7"/>
  <c r="N54" i="6"/>
  <c r="N66" i="6" s="1"/>
  <c r="F154" i="6"/>
  <c r="G155" i="6"/>
  <c r="I155" i="6" s="1"/>
  <c r="L77" i="6"/>
  <c r="N91" i="6"/>
  <c r="N125" i="6" s="1"/>
  <c r="N154" i="7"/>
  <c r="L154" i="7"/>
  <c r="H156" i="7"/>
  <c r="L153" i="6"/>
  <c r="N153" i="6" s="1"/>
  <c r="G156" i="7" l="1"/>
  <c r="F155" i="7"/>
  <c r="P155" i="7"/>
  <c r="F155" i="6"/>
  <c r="N77" i="6"/>
  <c r="N90" i="6" s="1"/>
  <c r="L90" i="6"/>
  <c r="L126" i="6" s="1"/>
  <c r="G156" i="6"/>
  <c r="I156" i="6" s="1"/>
  <c r="N155" i="7"/>
  <c r="L155" i="7"/>
  <c r="H157" i="7"/>
  <c r="L154" i="6"/>
  <c r="N154" i="6" s="1"/>
  <c r="F156" i="7" l="1"/>
  <c r="G157" i="7"/>
  <c r="P156" i="7"/>
  <c r="F156" i="6"/>
  <c r="N126" i="6"/>
  <c r="G157" i="6"/>
  <c r="I157" i="6" s="1"/>
  <c r="H158" i="7"/>
  <c r="L156" i="7"/>
  <c r="N156" i="7"/>
  <c r="L155" i="6"/>
  <c r="N155" i="6" s="1"/>
  <c r="F157" i="7" l="1"/>
  <c r="P157" i="7"/>
  <c r="G158" i="7"/>
  <c r="F157" i="6"/>
  <c r="G158" i="6"/>
  <c r="I158" i="6" s="1"/>
  <c r="N157" i="7"/>
  <c r="L157" i="7"/>
  <c r="H159" i="7"/>
  <c r="L156" i="6"/>
  <c r="N156" i="6" s="1"/>
  <c r="F158" i="7" l="1"/>
  <c r="P158" i="7"/>
  <c r="G159" i="7"/>
  <c r="F158" i="6"/>
  <c r="G159" i="6"/>
  <c r="I159" i="6" s="1"/>
  <c r="H160" i="7"/>
  <c r="N158" i="7"/>
  <c r="L158" i="7"/>
  <c r="L157" i="6"/>
  <c r="N157" i="6" s="1"/>
  <c r="G160" i="7" l="1"/>
  <c r="F159" i="7"/>
  <c r="P159" i="7"/>
  <c r="F159" i="6"/>
  <c r="G160" i="6"/>
  <c r="I160" i="6" s="1"/>
  <c r="N159" i="7"/>
  <c r="H161" i="7"/>
  <c r="L159" i="7"/>
  <c r="L158" i="6"/>
  <c r="N158" i="6" s="1"/>
  <c r="F160" i="7" l="1"/>
  <c r="G161" i="7"/>
  <c r="P160" i="7"/>
  <c r="F160" i="6"/>
  <c r="G161" i="6"/>
  <c r="I161" i="6" s="1"/>
  <c r="H162" i="7"/>
  <c r="L160" i="7"/>
  <c r="N160" i="7"/>
  <c r="L159" i="6"/>
  <c r="N159" i="6" s="1"/>
  <c r="F161" i="7" l="1"/>
  <c r="P161" i="7"/>
  <c r="G162" i="7"/>
  <c r="F161" i="6"/>
  <c r="G162" i="6"/>
  <c r="I162" i="6" s="1"/>
  <c r="N161" i="7"/>
  <c r="L161" i="7"/>
  <c r="H163" i="7"/>
  <c r="L160" i="6"/>
  <c r="N160" i="6" s="1"/>
  <c r="P162" i="7" l="1"/>
  <c r="G163" i="7"/>
  <c r="F162" i="7"/>
  <c r="F162" i="6"/>
  <c r="G163" i="6"/>
  <c r="I163" i="6" s="1"/>
  <c r="H164" i="7"/>
  <c r="N162" i="7"/>
  <c r="L162" i="7"/>
  <c r="N161" i="6"/>
  <c r="L161" i="6"/>
  <c r="F163" i="7" l="1"/>
  <c r="P163" i="7"/>
  <c r="G164" i="7"/>
  <c r="F163" i="6"/>
  <c r="G164" i="6"/>
  <c r="I164" i="6" s="1"/>
  <c r="N163" i="7"/>
  <c r="H165" i="7"/>
  <c r="L163" i="7"/>
  <c r="L162" i="6"/>
  <c r="N162" i="6" s="1"/>
  <c r="P164" i="7" l="1"/>
  <c r="F164" i="7"/>
  <c r="G165" i="7"/>
  <c r="F164" i="6"/>
  <c r="G165" i="6"/>
  <c r="I165" i="6" s="1"/>
  <c r="H166" i="7"/>
  <c r="N164" i="7"/>
  <c r="L164" i="7"/>
  <c r="L163" i="6"/>
  <c r="N163" i="6" s="1"/>
  <c r="F165" i="7" l="1"/>
  <c r="P165" i="7"/>
  <c r="G166" i="7"/>
  <c r="F165" i="6"/>
  <c r="G166" i="6"/>
  <c r="I166" i="6" s="1"/>
  <c r="N165" i="7"/>
  <c r="H167" i="7"/>
  <c r="L165" i="7"/>
  <c r="L164" i="6"/>
  <c r="N164" i="6" s="1"/>
  <c r="F166" i="7" l="1"/>
  <c r="G167" i="7"/>
  <c r="P166" i="7"/>
  <c r="F166" i="6"/>
  <c r="G167" i="6"/>
  <c r="I167" i="6" s="1"/>
  <c r="N166" i="7"/>
  <c r="H168" i="7"/>
  <c r="L166" i="7"/>
  <c r="L165" i="6"/>
  <c r="N165" i="6"/>
  <c r="F167" i="7" l="1"/>
  <c r="P167" i="7"/>
  <c r="G168" i="7"/>
  <c r="F167" i="6"/>
  <c r="G168" i="6"/>
  <c r="I168" i="6" s="1"/>
  <c r="H169" i="7"/>
  <c r="N167" i="7"/>
  <c r="L167" i="7"/>
  <c r="L166" i="6"/>
  <c r="N166" i="6" s="1"/>
  <c r="P168" i="7" l="1"/>
  <c r="F168" i="7"/>
  <c r="G169" i="7"/>
  <c r="F168" i="6"/>
  <c r="G169" i="6"/>
  <c r="I169" i="6" s="1"/>
  <c r="L168" i="7"/>
  <c r="H170" i="7"/>
  <c r="N168" i="7"/>
  <c r="L167" i="6"/>
  <c r="N167" i="6" s="1"/>
  <c r="F169" i="7" l="1"/>
  <c r="P169" i="7"/>
  <c r="G170" i="7"/>
  <c r="F169" i="6"/>
  <c r="G170" i="6"/>
  <c r="I170" i="6" s="1"/>
  <c r="H171" i="7"/>
  <c r="N169" i="7"/>
  <c r="L169" i="7"/>
  <c r="L168" i="6"/>
  <c r="N168" i="6" s="1"/>
  <c r="G171" i="7" l="1"/>
  <c r="F170" i="7"/>
  <c r="P170" i="7"/>
  <c r="F170" i="6"/>
  <c r="G171" i="6"/>
  <c r="I171" i="6" s="1"/>
  <c r="N170" i="7"/>
  <c r="H172" i="7"/>
  <c r="L170" i="7"/>
  <c r="L169" i="6"/>
  <c r="N169" i="6" s="1"/>
  <c r="F171" i="7" l="1"/>
  <c r="P171" i="7"/>
  <c r="G172" i="7"/>
  <c r="F171" i="6"/>
  <c r="G172" i="6"/>
  <c r="I172" i="6" s="1"/>
  <c r="H173" i="7"/>
  <c r="N171" i="7"/>
  <c r="L171" i="7"/>
  <c r="L170" i="6"/>
  <c r="N170" i="6" s="1"/>
  <c r="G173" i="7" l="1"/>
  <c r="F172" i="7"/>
  <c r="P172" i="7"/>
  <c r="F172" i="6"/>
  <c r="G173" i="6"/>
  <c r="I173" i="6" s="1"/>
  <c r="L172" i="7"/>
  <c r="H174" i="7"/>
  <c r="N172" i="7"/>
  <c r="L171" i="6"/>
  <c r="N171" i="6" s="1"/>
  <c r="F173" i="7" l="1"/>
  <c r="P173" i="7"/>
  <c r="G174" i="7"/>
  <c r="F173" i="6"/>
  <c r="G174" i="6"/>
  <c r="I174" i="6" s="1"/>
  <c r="H175" i="7"/>
  <c r="N173" i="7"/>
  <c r="L173" i="7"/>
  <c r="L172" i="6"/>
  <c r="N172" i="6" s="1"/>
  <c r="G175" i="7" l="1"/>
  <c r="F174" i="7"/>
  <c r="P174" i="7"/>
  <c r="F174" i="6"/>
  <c r="G175" i="6"/>
  <c r="I175" i="6" s="1"/>
  <c r="N174" i="7"/>
  <c r="H176" i="7"/>
  <c r="L174" i="7"/>
  <c r="L173" i="6"/>
  <c r="N173" i="6" s="1"/>
  <c r="F175" i="7" l="1"/>
  <c r="P175" i="7"/>
  <c r="G176" i="7"/>
  <c r="F175" i="6"/>
  <c r="G176" i="6"/>
  <c r="I176" i="6" s="1"/>
  <c r="N175" i="7"/>
  <c r="H177" i="7"/>
  <c r="L175" i="7"/>
  <c r="L174" i="6"/>
  <c r="N174" i="6"/>
  <c r="F176" i="7" l="1"/>
  <c r="G177" i="7"/>
  <c r="P176" i="7"/>
  <c r="F176" i="6"/>
  <c r="G177" i="6"/>
  <c r="I177" i="6" s="1"/>
  <c r="L176" i="7"/>
  <c r="H178" i="7"/>
  <c r="N176" i="7"/>
  <c r="L175" i="6"/>
  <c r="N175" i="6" s="1"/>
  <c r="F177" i="7" l="1"/>
  <c r="P177" i="7"/>
  <c r="G178" i="7"/>
  <c r="F177" i="6"/>
  <c r="G178" i="6"/>
  <c r="I178" i="6" s="1"/>
  <c r="N177" i="7"/>
  <c r="H179" i="7"/>
  <c r="L177" i="7"/>
  <c r="L176" i="6"/>
  <c r="N176" i="6" s="1"/>
  <c r="P178" i="7" l="1"/>
  <c r="F178" i="7"/>
  <c r="G179" i="7"/>
  <c r="F178" i="6"/>
  <c r="G179" i="6"/>
  <c r="I179" i="6" s="1"/>
  <c r="H180" i="7"/>
  <c r="N178" i="7"/>
  <c r="L178" i="7"/>
  <c r="N177" i="6"/>
  <c r="L177" i="6"/>
  <c r="G180" i="7" l="1"/>
  <c r="F179" i="7"/>
  <c r="P179" i="7"/>
  <c r="F179" i="6"/>
  <c r="G180" i="6"/>
  <c r="I180" i="6" s="1"/>
  <c r="N179" i="7"/>
  <c r="H181" i="7"/>
  <c r="L179" i="7"/>
  <c r="L178" i="6"/>
  <c r="N178" i="6" s="1"/>
  <c r="P180" i="7" l="1"/>
  <c r="F180" i="7"/>
  <c r="G181" i="7"/>
  <c r="F180" i="6"/>
  <c r="G181" i="6"/>
  <c r="I181" i="6" s="1"/>
  <c r="L180" i="7"/>
  <c r="H182" i="7"/>
  <c r="N180" i="7"/>
  <c r="L179" i="6"/>
  <c r="N179" i="6" s="1"/>
  <c r="G182" i="7" l="1"/>
  <c r="F181" i="7"/>
  <c r="P181" i="7"/>
  <c r="F181" i="6"/>
  <c r="G182" i="6"/>
  <c r="I182" i="6" s="1"/>
  <c r="H183" i="7"/>
  <c r="N181" i="7"/>
  <c r="L181" i="7"/>
  <c r="N180" i="6"/>
  <c r="L180" i="6"/>
  <c r="F182" i="7" l="1"/>
  <c r="G183" i="7"/>
  <c r="P182" i="7"/>
  <c r="F182" i="6"/>
  <c r="G183" i="6"/>
  <c r="I183" i="6" s="1"/>
  <c r="H184" i="7"/>
  <c r="L182" i="7"/>
  <c r="N182" i="7"/>
  <c r="L181" i="6"/>
  <c r="N181" i="6" s="1"/>
  <c r="F183" i="7" l="1"/>
  <c r="P183" i="7"/>
  <c r="G184" i="7"/>
  <c r="F183" i="6"/>
  <c r="G184" i="6"/>
  <c r="I184" i="6" s="1"/>
  <c r="H185" i="7"/>
  <c r="N183" i="7"/>
  <c r="L183" i="7"/>
  <c r="N182" i="6"/>
  <c r="L182" i="6"/>
  <c r="G185" i="7" l="1"/>
  <c r="F184" i="7"/>
  <c r="P184" i="7"/>
  <c r="F184" i="6"/>
  <c r="G185" i="6"/>
  <c r="I185" i="6" s="1"/>
  <c r="L184" i="7"/>
  <c r="N184" i="7"/>
  <c r="H186" i="7"/>
  <c r="N183" i="6"/>
  <c r="L183" i="6"/>
  <c r="F185" i="7" l="1"/>
  <c r="P185" i="7"/>
  <c r="G186" i="7"/>
  <c r="F185" i="6"/>
  <c r="G186" i="6"/>
  <c r="I186" i="6" s="1"/>
  <c r="N185" i="7"/>
  <c r="L185" i="7"/>
  <c r="H187" i="7"/>
  <c r="L184" i="6"/>
  <c r="N184" i="6" s="1"/>
  <c r="F186" i="7" l="1"/>
  <c r="P186" i="7"/>
  <c r="G187" i="7"/>
  <c r="F186" i="6"/>
  <c r="G187" i="6"/>
  <c r="I187" i="6" s="1"/>
  <c r="H188" i="7"/>
  <c r="L186" i="7"/>
  <c r="N186" i="7"/>
  <c r="L185" i="6"/>
  <c r="N185" i="6" s="1"/>
  <c r="G188" i="7" l="1"/>
  <c r="F187" i="7"/>
  <c r="P187" i="7"/>
  <c r="F187" i="6"/>
  <c r="G188" i="6"/>
  <c r="I188" i="6" s="1"/>
  <c r="H189" i="7"/>
  <c r="L187" i="7"/>
  <c r="N187" i="7"/>
  <c r="N186" i="6"/>
  <c r="L186" i="6"/>
  <c r="G189" i="7" l="1"/>
  <c r="P188" i="7"/>
  <c r="F188" i="7"/>
  <c r="F188" i="6"/>
  <c r="G189" i="6"/>
  <c r="I189" i="6" s="1"/>
  <c r="H190" i="7"/>
  <c r="N188" i="7"/>
  <c r="L188" i="7"/>
  <c r="L187" i="6"/>
  <c r="N187" i="6" s="1"/>
  <c r="G190" i="7" l="1"/>
  <c r="F189" i="7"/>
  <c r="P189" i="7"/>
  <c r="F189" i="6"/>
  <c r="G190" i="6"/>
  <c r="I190" i="6" s="1"/>
  <c r="H191" i="7"/>
  <c r="N189" i="7"/>
  <c r="L189" i="7"/>
  <c r="L188" i="6"/>
  <c r="N188" i="6" s="1"/>
  <c r="G191" i="7" l="1"/>
  <c r="F190" i="7"/>
  <c r="P190" i="7"/>
  <c r="F190" i="6"/>
  <c r="G191" i="6"/>
  <c r="I191" i="6" s="1"/>
  <c r="H192" i="7"/>
  <c r="L190" i="7"/>
  <c r="N190" i="7"/>
  <c r="N189" i="6"/>
  <c r="L189" i="6"/>
  <c r="G192" i="7" l="1"/>
  <c r="P191" i="7"/>
  <c r="F191" i="7"/>
  <c r="F191" i="6"/>
  <c r="G192" i="6"/>
  <c r="I192" i="6" s="1"/>
  <c r="H193" i="7"/>
  <c r="N191" i="7"/>
  <c r="L191" i="7"/>
  <c r="N190" i="6"/>
  <c r="L190" i="6"/>
  <c r="G193" i="7" l="1"/>
  <c r="F192" i="7"/>
  <c r="P192" i="7"/>
  <c r="F192" i="6"/>
  <c r="G193" i="6"/>
  <c r="I193" i="6" s="1"/>
  <c r="N192" i="7"/>
  <c r="H194" i="7"/>
  <c r="L192" i="7"/>
  <c r="N191" i="6"/>
  <c r="L191" i="6"/>
  <c r="G194" i="7" l="1"/>
  <c r="P193" i="7"/>
  <c r="F193" i="7"/>
  <c r="F193" i="6"/>
  <c r="G194" i="6"/>
  <c r="I194" i="6" s="1"/>
  <c r="N193" i="7"/>
  <c r="H195" i="7"/>
  <c r="L193" i="7"/>
  <c r="L192" i="6"/>
  <c r="N192" i="6" s="1"/>
  <c r="F194" i="7" l="1"/>
  <c r="P194" i="7"/>
  <c r="G195" i="7"/>
  <c r="F194" i="6"/>
  <c r="G195" i="6"/>
  <c r="I195" i="6" s="1"/>
  <c r="L194" i="7"/>
  <c r="H196" i="7"/>
  <c r="N194" i="7"/>
  <c r="L193" i="6"/>
  <c r="N193" i="6" s="1"/>
  <c r="F195" i="7" l="1"/>
  <c r="P195" i="7"/>
  <c r="G196" i="7"/>
  <c r="F195" i="6"/>
  <c r="G196" i="6"/>
  <c r="I196" i="6" s="1"/>
  <c r="N195" i="7"/>
  <c r="H197" i="7"/>
  <c r="L195" i="7"/>
  <c r="L194" i="6"/>
  <c r="N194" i="6" s="1"/>
  <c r="F196" i="7" l="1"/>
  <c r="P196" i="7"/>
  <c r="G197" i="7"/>
  <c r="F196" i="6"/>
  <c r="G197" i="6"/>
  <c r="I197" i="6" s="1"/>
  <c r="H198" i="7"/>
  <c r="N196" i="7"/>
  <c r="L196" i="7"/>
  <c r="L195" i="6"/>
  <c r="N195" i="6" s="1"/>
  <c r="F197" i="7" l="1"/>
  <c r="P197" i="7"/>
  <c r="G198" i="7"/>
  <c r="F197" i="6"/>
  <c r="G198" i="6"/>
  <c r="I198" i="6" s="1"/>
  <c r="H199" i="7"/>
  <c r="L197" i="7"/>
  <c r="N197" i="7"/>
  <c r="L196" i="6"/>
  <c r="N196" i="6" s="1"/>
  <c r="F198" i="7" l="1"/>
  <c r="P198" i="7"/>
  <c r="G199" i="7"/>
  <c r="F198" i="6"/>
  <c r="G199" i="6"/>
  <c r="I199" i="6" s="1"/>
  <c r="H200" i="7"/>
  <c r="L198" i="7"/>
  <c r="N198" i="7"/>
  <c r="L197" i="6"/>
  <c r="N197" i="6"/>
  <c r="F199" i="7" l="1"/>
  <c r="P199" i="7"/>
  <c r="G200" i="7"/>
  <c r="F199" i="6"/>
  <c r="G200" i="6"/>
  <c r="I200" i="6" s="1"/>
  <c r="N199" i="7"/>
  <c r="L199" i="7"/>
  <c r="H201" i="7"/>
  <c r="L198" i="6"/>
  <c r="N198" i="6"/>
  <c r="F200" i="7" l="1"/>
  <c r="P200" i="7"/>
  <c r="G201" i="7"/>
  <c r="F200" i="6"/>
  <c r="G201" i="6"/>
  <c r="I201" i="6" s="1"/>
  <c r="N200" i="7"/>
  <c r="L200" i="7"/>
  <c r="H202" i="7"/>
  <c r="L199" i="6"/>
  <c r="N199" i="6" s="1"/>
  <c r="P201" i="7" l="1"/>
  <c r="F201" i="7"/>
  <c r="G202" i="7"/>
  <c r="F201" i="6"/>
  <c r="G202" i="6"/>
  <c r="I202" i="6" s="1"/>
  <c r="H203" i="7"/>
  <c r="L201" i="7"/>
  <c r="N201" i="7"/>
  <c r="L200" i="6"/>
  <c r="N200" i="6" s="1"/>
  <c r="P202" i="7" l="1"/>
  <c r="F202" i="7"/>
  <c r="G203" i="7"/>
  <c r="F202" i="6"/>
  <c r="G203" i="6"/>
  <c r="I203" i="6" s="1"/>
  <c r="H204" i="7"/>
  <c r="L202" i="7"/>
  <c r="N202" i="7"/>
  <c r="L201" i="6"/>
  <c r="N201" i="6"/>
  <c r="F203" i="7" l="1"/>
  <c r="P203" i="7"/>
  <c r="G204" i="7"/>
  <c r="F203" i="6"/>
  <c r="G204" i="6"/>
  <c r="I204" i="6" s="1"/>
  <c r="H205" i="7"/>
  <c r="N203" i="7"/>
  <c r="L203" i="7"/>
  <c r="N202" i="6"/>
  <c r="L202" i="6"/>
  <c r="P204" i="7" l="1"/>
  <c r="F204" i="7"/>
  <c r="G205" i="7"/>
  <c r="F204" i="6"/>
  <c r="G205" i="6"/>
  <c r="I205" i="6" s="1"/>
  <c r="N204" i="7"/>
  <c r="H206" i="7"/>
  <c r="L204" i="7"/>
  <c r="L203" i="6"/>
  <c r="N203" i="6" s="1"/>
  <c r="F205" i="7" l="1"/>
  <c r="P205" i="7"/>
  <c r="G206" i="7"/>
  <c r="F205" i="6"/>
  <c r="G206" i="6"/>
  <c r="I206" i="6" s="1"/>
  <c r="L205" i="7"/>
  <c r="H207" i="7"/>
  <c r="N205" i="7"/>
  <c r="L204" i="6"/>
  <c r="N204" i="6" s="1"/>
  <c r="F206" i="7" l="1"/>
  <c r="P206" i="7"/>
  <c r="G207" i="7"/>
  <c r="F206" i="6"/>
  <c r="G207" i="6"/>
  <c r="I207" i="6" s="1"/>
  <c r="L206" i="7"/>
  <c r="H208" i="7"/>
  <c r="N206" i="7"/>
  <c r="L205" i="6"/>
  <c r="N205" i="6" s="1"/>
  <c r="F207" i="7" l="1"/>
  <c r="P207" i="7"/>
  <c r="G208" i="7"/>
  <c r="F207" i="6"/>
  <c r="G208" i="6"/>
  <c r="I208" i="6" s="1"/>
  <c r="L207" i="7"/>
  <c r="H209" i="7"/>
  <c r="N207" i="7"/>
  <c r="L206" i="6"/>
  <c r="N206" i="6"/>
  <c r="F208" i="7" l="1"/>
  <c r="P208" i="7"/>
  <c r="G209" i="7"/>
  <c r="F208" i="6"/>
  <c r="G209" i="6"/>
  <c r="I209" i="6" s="1"/>
  <c r="H210" i="7"/>
  <c r="L208" i="7"/>
  <c r="N208" i="7"/>
  <c r="L207" i="6"/>
  <c r="N207" i="6" s="1"/>
  <c r="F209" i="7" l="1"/>
  <c r="P209" i="7"/>
  <c r="G210" i="7"/>
  <c r="F209" i="6"/>
  <c r="G210" i="6"/>
  <c r="I210" i="6" s="1"/>
  <c r="H211" i="7"/>
  <c r="L209" i="7"/>
  <c r="N209" i="7"/>
  <c r="L208" i="6"/>
  <c r="N208" i="6" s="1"/>
  <c r="F210" i="7" l="1"/>
  <c r="P210" i="7"/>
  <c r="G211" i="7"/>
  <c r="F210" i="6"/>
  <c r="G211" i="6"/>
  <c r="I211" i="6" s="1"/>
  <c r="H212" i="7"/>
  <c r="L210" i="7"/>
  <c r="N210" i="7"/>
  <c r="L209" i="6"/>
  <c r="N209" i="6" s="1"/>
  <c r="P211" i="7" l="1"/>
  <c r="F211" i="7"/>
  <c r="G212" i="7"/>
  <c r="F211" i="6"/>
  <c r="G212" i="6"/>
  <c r="I212" i="6" s="1"/>
  <c r="H213" i="7"/>
  <c r="N211" i="7"/>
  <c r="L211" i="7"/>
  <c r="L210" i="6"/>
  <c r="N210" i="6"/>
  <c r="F212" i="7" l="1"/>
  <c r="P212" i="7"/>
  <c r="G213" i="7"/>
  <c r="F212" i="6"/>
  <c r="G213" i="6"/>
  <c r="I213" i="6" s="1"/>
  <c r="N212" i="7"/>
  <c r="H214" i="7"/>
  <c r="L212" i="7"/>
  <c r="L211" i="6"/>
  <c r="N211" i="6" s="1"/>
  <c r="F213" i="7" l="1"/>
  <c r="P213" i="7"/>
  <c r="G214" i="7"/>
  <c r="F213" i="6"/>
  <c r="G214" i="6"/>
  <c r="I214" i="6" s="1"/>
  <c r="L213" i="7"/>
  <c r="H215" i="7"/>
  <c r="N213" i="7"/>
  <c r="L212" i="6"/>
  <c r="N212" i="6" s="1"/>
  <c r="P214" i="7" l="1"/>
  <c r="G215" i="7"/>
  <c r="F214" i="7"/>
  <c r="F214" i="6"/>
  <c r="G215" i="6"/>
  <c r="I215" i="6" s="1"/>
  <c r="H216" i="7"/>
  <c r="L214" i="7"/>
  <c r="N214" i="7"/>
  <c r="N213" i="6"/>
  <c r="L213" i="6"/>
  <c r="F215" i="7" l="1"/>
  <c r="P215" i="7"/>
  <c r="G216" i="7"/>
  <c r="F215" i="6"/>
  <c r="G216" i="6"/>
  <c r="I216" i="6" s="1"/>
  <c r="L215" i="7"/>
  <c r="N215" i="7"/>
  <c r="H217" i="7"/>
  <c r="L214" i="6"/>
  <c r="N214" i="6" s="1"/>
  <c r="F216" i="7" l="1"/>
  <c r="P216" i="7"/>
  <c r="G217" i="7"/>
  <c r="F216" i="6"/>
  <c r="G217" i="6"/>
  <c r="I217" i="6" s="1"/>
  <c r="L216" i="7"/>
  <c r="N216" i="7"/>
  <c r="H218" i="7"/>
  <c r="L215" i="6"/>
  <c r="N215" i="6" s="1"/>
  <c r="F217" i="7" l="1"/>
  <c r="P217" i="7"/>
  <c r="G218" i="7"/>
  <c r="F217" i="6"/>
  <c r="G218" i="6"/>
  <c r="I218" i="6" s="1"/>
  <c r="H219" i="7"/>
  <c r="L217" i="7"/>
  <c r="N217" i="7"/>
  <c r="L216" i="6"/>
  <c r="N216" i="6" s="1"/>
  <c r="P218" i="7" l="1"/>
  <c r="F218" i="7"/>
  <c r="G219" i="7"/>
  <c r="F218" i="6"/>
  <c r="G219" i="6"/>
  <c r="I219" i="6" s="1"/>
  <c r="H220" i="7"/>
  <c r="L218" i="7"/>
  <c r="N218" i="7"/>
  <c r="L217" i="6"/>
  <c r="N217" i="6" s="1"/>
  <c r="P219" i="7" l="1"/>
  <c r="F219" i="7"/>
  <c r="G220" i="7"/>
  <c r="F219" i="6"/>
  <c r="G220" i="6"/>
  <c r="I220" i="6" s="1"/>
  <c r="H221" i="7"/>
  <c r="N219" i="7"/>
  <c r="L219" i="7"/>
  <c r="N218" i="6"/>
  <c r="L218" i="6"/>
  <c r="F220" i="7" l="1"/>
  <c r="P220" i="7"/>
  <c r="G221" i="7"/>
  <c r="F220" i="6"/>
  <c r="G221" i="6"/>
  <c r="I221" i="6" s="1"/>
  <c r="N220" i="7"/>
  <c r="H222" i="7"/>
  <c r="L220" i="7"/>
  <c r="L219" i="6"/>
  <c r="N219" i="6" s="1"/>
  <c r="P221" i="7" l="1"/>
  <c r="F221" i="7"/>
  <c r="G222" i="7"/>
  <c r="F221" i="6"/>
  <c r="G222" i="6"/>
  <c r="I222" i="6" s="1"/>
  <c r="H223" i="7"/>
  <c r="L221" i="7"/>
  <c r="N221" i="7"/>
  <c r="L220" i="6"/>
  <c r="N220" i="6" s="1"/>
  <c r="F222" i="7" l="1"/>
  <c r="G223" i="7"/>
  <c r="P222" i="7"/>
  <c r="F222" i="6"/>
  <c r="G223" i="6"/>
  <c r="I223" i="6" s="1"/>
  <c r="H224" i="7"/>
  <c r="L222" i="7"/>
  <c r="N222" i="7"/>
  <c r="L221" i="6"/>
  <c r="N221" i="6" s="1"/>
  <c r="F223" i="7" l="1"/>
  <c r="P223" i="7"/>
  <c r="G224" i="7"/>
  <c r="F223" i="6"/>
  <c r="G224" i="6"/>
  <c r="I224" i="6" s="1"/>
  <c r="H225" i="7"/>
  <c r="L223" i="7"/>
  <c r="N223" i="7"/>
  <c r="L222" i="6"/>
  <c r="N222" i="6" s="1"/>
  <c r="F224" i="7" l="1"/>
  <c r="P224" i="7"/>
  <c r="G225" i="7"/>
  <c r="F224" i="6"/>
  <c r="G225" i="6"/>
  <c r="I225" i="6" s="1"/>
  <c r="N224" i="7"/>
  <c r="H226" i="7"/>
  <c r="L224" i="7"/>
  <c r="L223" i="6"/>
  <c r="N223" i="6" s="1"/>
  <c r="F225" i="7" l="1"/>
  <c r="P225" i="7"/>
  <c r="G226" i="7"/>
  <c r="F225" i="6"/>
  <c r="G226" i="6"/>
  <c r="I226" i="6" s="1"/>
  <c r="H227" i="7"/>
  <c r="L225" i="7"/>
  <c r="N225" i="7"/>
  <c r="L224" i="6"/>
  <c r="N224" i="6" s="1"/>
  <c r="F226" i="7" l="1"/>
  <c r="P226" i="7"/>
  <c r="G227" i="7"/>
  <c r="F226" i="6"/>
  <c r="G227" i="6"/>
  <c r="I227" i="6" s="1"/>
  <c r="L226" i="7"/>
  <c r="H228" i="7"/>
  <c r="N226" i="7"/>
  <c r="L225" i="6"/>
  <c r="N225" i="6" s="1"/>
  <c r="P227" i="7" l="1"/>
  <c r="F227" i="7"/>
  <c r="G228" i="7"/>
  <c r="F227" i="6"/>
  <c r="G228" i="6"/>
  <c r="I228" i="6" s="1"/>
  <c r="H229" i="7"/>
  <c r="N227" i="7"/>
  <c r="L227" i="7"/>
  <c r="L226" i="6"/>
  <c r="N226" i="6" s="1"/>
  <c r="F228" i="7" l="1"/>
  <c r="P228" i="7"/>
  <c r="G229" i="7"/>
  <c r="F228" i="6"/>
  <c r="G229" i="6"/>
  <c r="I229" i="6" s="1"/>
  <c r="N228" i="7"/>
  <c r="L228" i="7"/>
  <c r="H230" i="7"/>
  <c r="L227" i="6"/>
  <c r="N227" i="6" s="1"/>
  <c r="G230" i="7" l="1"/>
  <c r="F229" i="7"/>
  <c r="P229" i="7"/>
  <c r="F229" i="6"/>
  <c r="G230" i="6"/>
  <c r="I230" i="6" s="1"/>
  <c r="N229" i="7"/>
  <c r="L229" i="7"/>
  <c r="H231" i="7"/>
  <c r="L228" i="6"/>
  <c r="N228" i="6" s="1"/>
  <c r="F230" i="7" l="1"/>
  <c r="P230" i="7"/>
  <c r="G231" i="7"/>
  <c r="F230" i="6"/>
  <c r="G231" i="6"/>
  <c r="I231" i="6" s="1"/>
  <c r="L230" i="7"/>
  <c r="N230" i="7"/>
  <c r="H232" i="7"/>
  <c r="N229" i="6"/>
  <c r="L229" i="6"/>
  <c r="F231" i="7" l="1"/>
  <c r="P231" i="7"/>
  <c r="G232" i="7"/>
  <c r="F231" i="6"/>
  <c r="G232" i="6"/>
  <c r="I232" i="6" s="1"/>
  <c r="N231" i="7"/>
  <c r="L231" i="7"/>
  <c r="H233" i="7"/>
  <c r="L230" i="6"/>
  <c r="N230" i="6"/>
  <c r="F232" i="7" l="1"/>
  <c r="P232" i="7"/>
  <c r="G233" i="7"/>
  <c r="F232" i="6"/>
  <c r="G233" i="6"/>
  <c r="I233" i="6" s="1"/>
  <c r="L232" i="7"/>
  <c r="N232" i="7"/>
  <c r="H234" i="7"/>
  <c r="L231" i="6"/>
  <c r="N231" i="6" s="1"/>
  <c r="F233" i="7" l="1"/>
  <c r="P233" i="7"/>
  <c r="G234" i="7"/>
  <c r="F233" i="6"/>
  <c r="G234" i="6"/>
  <c r="I234" i="6" s="1"/>
  <c r="H235" i="7"/>
  <c r="L233" i="7"/>
  <c r="N233" i="7"/>
  <c r="L232" i="6"/>
  <c r="N232" i="6" s="1"/>
  <c r="F234" i="7" l="1"/>
  <c r="P234" i="7"/>
  <c r="G235" i="7"/>
  <c r="F234" i="6"/>
  <c r="G235" i="6"/>
  <c r="I235" i="6" s="1"/>
  <c r="L234" i="7"/>
  <c r="H236" i="7"/>
  <c r="N234" i="7"/>
  <c r="L233" i="6"/>
  <c r="N233" i="6" s="1"/>
  <c r="F235" i="7" l="1"/>
  <c r="G236" i="7"/>
  <c r="P235" i="7"/>
  <c r="F235" i="6"/>
  <c r="G236" i="6"/>
  <c r="I236" i="6" s="1"/>
  <c r="N235" i="7"/>
  <c r="H237" i="7"/>
  <c r="L235" i="7"/>
  <c r="N234" i="6"/>
  <c r="L234" i="6"/>
  <c r="P236" i="7" l="1"/>
  <c r="F236" i="7"/>
  <c r="G237" i="7"/>
  <c r="F236" i="6"/>
  <c r="G237" i="6"/>
  <c r="I237" i="6" s="1"/>
  <c r="N236" i="7"/>
  <c r="H238" i="7"/>
  <c r="L236" i="7"/>
  <c r="L235" i="6"/>
  <c r="N235" i="6" s="1"/>
  <c r="F237" i="7" l="1"/>
  <c r="P237" i="7"/>
  <c r="G238" i="7"/>
  <c r="F237" i="6"/>
  <c r="G238" i="6"/>
  <c r="I238" i="6" s="1"/>
  <c r="L237" i="7"/>
  <c r="H239" i="7"/>
  <c r="N237" i="7"/>
  <c r="L236" i="6"/>
  <c r="N236" i="6" s="1"/>
  <c r="F238" i="7" l="1"/>
  <c r="P238" i="7"/>
  <c r="G239" i="7"/>
  <c r="F238" i="6"/>
  <c r="G239" i="6"/>
  <c r="I239" i="6" s="1"/>
  <c r="L238" i="7"/>
  <c r="H240" i="7"/>
  <c r="N238" i="7"/>
  <c r="N237" i="6"/>
  <c r="L237" i="6"/>
  <c r="G240" i="7" l="1"/>
  <c r="F239" i="7"/>
  <c r="P239" i="7"/>
  <c r="F239" i="6"/>
  <c r="G240" i="6"/>
  <c r="I240" i="6" s="1"/>
  <c r="N239" i="7"/>
  <c r="H241" i="7"/>
  <c r="L239" i="7"/>
  <c r="N238" i="6"/>
  <c r="L238" i="6"/>
  <c r="F240" i="7" l="1"/>
  <c r="P240" i="7"/>
  <c r="G241" i="7"/>
  <c r="F240" i="6"/>
  <c r="G241" i="6"/>
  <c r="I241" i="6" s="1"/>
  <c r="H242" i="7"/>
  <c r="N240" i="7"/>
  <c r="L240" i="7"/>
  <c r="L239" i="6"/>
  <c r="N239" i="6" s="1"/>
  <c r="G242" i="7" l="1"/>
  <c r="P241" i="7"/>
  <c r="F241" i="7"/>
  <c r="F241" i="6"/>
  <c r="G242" i="6"/>
  <c r="I242" i="6" s="1"/>
  <c r="H243" i="7"/>
  <c r="L241" i="7"/>
  <c r="N241" i="7"/>
  <c r="L240" i="6"/>
  <c r="N240" i="6" s="1"/>
  <c r="P242" i="7" l="1"/>
  <c r="F242" i="7"/>
  <c r="F242" i="6"/>
  <c r="G243" i="6"/>
  <c r="I243" i="6" s="1"/>
  <c r="G243" i="7"/>
  <c r="H244" i="7"/>
  <c r="L242" i="7"/>
  <c r="N242" i="7"/>
  <c r="L241" i="6"/>
  <c r="N241" i="6" s="1"/>
  <c r="P243" i="7" l="1"/>
  <c r="F243" i="7"/>
  <c r="F243" i="6"/>
  <c r="G244" i="6"/>
  <c r="I244" i="6" s="1"/>
  <c r="G244" i="7"/>
  <c r="H245" i="7"/>
  <c r="N243" i="7"/>
  <c r="L243" i="7"/>
  <c r="L242" i="6"/>
  <c r="N242" i="6" s="1"/>
  <c r="P244" i="7" l="1"/>
  <c r="F244" i="7"/>
  <c r="F244" i="6"/>
  <c r="G245" i="6"/>
  <c r="I245" i="6" s="1"/>
  <c r="G245" i="7"/>
  <c r="H246" i="7"/>
  <c r="N244" i="7"/>
  <c r="L244" i="7"/>
  <c r="N243" i="6"/>
  <c r="L243" i="6"/>
  <c r="P245" i="7" l="1"/>
  <c r="F245" i="7"/>
  <c r="F245" i="6"/>
  <c r="G246" i="6"/>
  <c r="I246" i="6" s="1"/>
  <c r="G246" i="7"/>
  <c r="L245" i="7"/>
  <c r="N245" i="7"/>
  <c r="H247" i="7"/>
  <c r="L244" i="6"/>
  <c r="N244" i="6" s="1"/>
  <c r="P246" i="7" l="1"/>
  <c r="F246" i="7"/>
  <c r="F246" i="6"/>
  <c r="G247" i="6"/>
  <c r="I247" i="6" s="1"/>
  <c r="G247" i="7"/>
  <c r="L246" i="7"/>
  <c r="N246" i="7"/>
  <c r="H248" i="7"/>
  <c r="L245" i="6"/>
  <c r="N245" i="6" s="1"/>
  <c r="N246" i="6" s="1"/>
  <c r="H248" i="6"/>
  <c r="F247" i="7" l="1"/>
  <c r="F247" i="6"/>
  <c r="K247" i="6"/>
  <c r="L247" i="7"/>
  <c r="N247" i="7"/>
  <c r="L246" i="6"/>
  <c r="L247" i="6"/>
  <c r="N247" i="6" s="1"/>
  <c r="F248" i="6" l="1"/>
  <c r="J248" i="6"/>
  <c r="L248" i="6"/>
  <c r="N248" i="6" s="1"/>
  <c r="K248" i="6" l="1"/>
  <c r="M248" i="6" s="1"/>
  <c r="J247" i="6" l="1"/>
  <c r="M247" i="6" l="1"/>
  <c r="J5" i="7" l="1"/>
  <c r="AM4" i="9" l="1"/>
  <c r="AS5" i="9" s="1"/>
  <c r="AD4" i="9"/>
  <c r="O5" i="7"/>
  <c r="M5" i="7"/>
  <c r="AQ4" i="9" l="1"/>
  <c r="AH4" i="9"/>
  <c r="K6" i="7"/>
  <c r="I6" i="7" s="1"/>
  <c r="Q6" i="7" l="1"/>
  <c r="AO5" i="9"/>
  <c r="AF5" i="9"/>
  <c r="J6" i="7" l="1"/>
  <c r="M6" i="7" l="1"/>
  <c r="AM5" i="9"/>
  <c r="AS6" i="9" s="1"/>
  <c r="AD5" i="9"/>
  <c r="O6" i="7"/>
  <c r="K7" i="7" l="1"/>
  <c r="I7" i="7" s="1"/>
  <c r="AH5" i="9"/>
  <c r="AQ5" i="9"/>
  <c r="J7" i="7" l="1"/>
  <c r="AO6" i="9"/>
  <c r="AF6" i="9"/>
  <c r="Q7" i="7" l="1"/>
  <c r="AM6" i="9"/>
  <c r="AS7" i="9" s="1"/>
  <c r="AD6" i="9"/>
  <c r="M7" i="7"/>
  <c r="O7" i="7"/>
  <c r="K8" i="7" l="1"/>
  <c r="I8" i="7" s="1"/>
  <c r="AH6" i="9"/>
  <c r="AQ6" i="9"/>
  <c r="Q8" i="7" l="1"/>
  <c r="AO7" i="9"/>
  <c r="AF7" i="9"/>
  <c r="J8" i="7" l="1"/>
  <c r="AD7" i="9" s="1"/>
  <c r="O8" i="7" l="1"/>
  <c r="K9" i="7" s="1"/>
  <c r="I9" i="7" s="1"/>
  <c r="M8" i="7"/>
  <c r="AQ7" i="9" s="1"/>
  <c r="AM7" i="9"/>
  <c r="AS8" i="9" s="1"/>
  <c r="AH7" i="9" l="1"/>
  <c r="AF8" i="9"/>
  <c r="Q9" i="7"/>
  <c r="AO8" i="9"/>
  <c r="J9" i="7" l="1"/>
  <c r="AD8" i="9" s="1"/>
  <c r="AM8" i="9" l="1"/>
  <c r="AS9" i="9" s="1"/>
  <c r="O9" i="7"/>
  <c r="K10" i="7" s="1"/>
  <c r="I10" i="7" s="1"/>
  <c r="M9" i="7"/>
  <c r="AH8" i="9" s="1"/>
  <c r="Q10" i="7" l="1"/>
  <c r="AO9" i="9"/>
  <c r="AQ8" i="9"/>
  <c r="AF9" i="9"/>
  <c r="J10" i="7" l="1"/>
  <c r="O10" i="7" s="1"/>
  <c r="K11" i="7" s="1"/>
  <c r="I11" i="7" s="1"/>
  <c r="M10" i="7" l="1"/>
  <c r="AQ9" i="9" s="1"/>
  <c r="AD9" i="9"/>
  <c r="AM9" i="9"/>
  <c r="AS10" i="9" s="1"/>
  <c r="Q11" i="7"/>
  <c r="AO10" i="9"/>
  <c r="AF10" i="9"/>
  <c r="AH9" i="9" l="1"/>
  <c r="J11" i="7"/>
  <c r="M11" i="7" s="1"/>
  <c r="O11" i="7" l="1"/>
  <c r="K12" i="7" s="1"/>
  <c r="I12" i="7" s="1"/>
  <c r="AD10" i="9"/>
  <c r="AM10" i="9"/>
  <c r="AS11" i="9" s="1"/>
  <c r="AQ10" i="9"/>
  <c r="AH10" i="9"/>
  <c r="J12" i="7" l="1"/>
  <c r="AM11" i="9" s="1"/>
  <c r="AS12" i="9" s="1"/>
  <c r="AF11" i="9"/>
  <c r="AO11" i="9"/>
  <c r="Q12" i="7" l="1"/>
  <c r="AD11" i="9"/>
  <c r="O12" i="7"/>
  <c r="K13" i="7" s="1"/>
  <c r="I13" i="7" s="1"/>
  <c r="M12" i="7"/>
  <c r="AH11" i="9" s="1"/>
  <c r="J13" i="7" l="1"/>
  <c r="AF12" i="9"/>
  <c r="AO12" i="9"/>
  <c r="AQ11" i="9"/>
  <c r="O13" i="7" l="1"/>
  <c r="K14" i="7" s="1"/>
  <c r="I14" i="7" s="1"/>
  <c r="M13" i="7"/>
  <c r="AQ12" i="9" s="1"/>
  <c r="AD12" i="9"/>
  <c r="AM12" i="9"/>
  <c r="AS13" i="9" s="1"/>
  <c r="Q13" i="7"/>
  <c r="Q14" i="7" l="1"/>
  <c r="AO13" i="9"/>
  <c r="AF13" i="9"/>
  <c r="AH12" i="9"/>
  <c r="J14" i="7" l="1"/>
  <c r="O14" i="7" s="1"/>
  <c r="K15" i="7" s="1"/>
  <c r="I15" i="7" s="1"/>
  <c r="M14" i="7" l="1"/>
  <c r="AH13" i="9" s="1"/>
  <c r="AD13" i="9"/>
  <c r="AM13" i="9"/>
  <c r="AS14" i="9" s="1"/>
  <c r="J15" i="7"/>
  <c r="O15" i="7" s="1"/>
  <c r="K16" i="7" s="1"/>
  <c r="I16" i="7" s="1"/>
  <c r="AF14" i="9"/>
  <c r="AO14" i="9"/>
  <c r="Q16" i="7" l="1"/>
  <c r="AQ13" i="9"/>
  <c r="Q15" i="7"/>
  <c r="AF15" i="9"/>
  <c r="AO15" i="9"/>
  <c r="AM14" i="9"/>
  <c r="AS15" i="9" s="1"/>
  <c r="AD14" i="9"/>
  <c r="M15" i="7"/>
  <c r="J16" i="7" l="1"/>
  <c r="AD15" i="9" s="1"/>
  <c r="AQ14" i="9"/>
  <c r="AH14" i="9"/>
  <c r="M16" i="7" l="1"/>
  <c r="AH15" i="9" s="1"/>
  <c r="O16" i="7"/>
  <c r="K17" i="7" s="1"/>
  <c r="I17" i="7" s="1"/>
  <c r="AM15" i="9"/>
  <c r="AS16" i="9" s="1"/>
  <c r="Q17" i="7" l="1"/>
  <c r="AF16" i="9"/>
  <c r="AO16" i="9"/>
  <c r="AQ15" i="9"/>
  <c r="J17" i="7" l="1"/>
  <c r="AD16" i="9" s="1"/>
  <c r="AM16" i="9" l="1"/>
  <c r="AS17" i="9" s="1"/>
  <c r="M17" i="7"/>
  <c r="AH16" i="9" s="1"/>
  <c r="O17" i="7"/>
  <c r="K18" i="7" s="1"/>
  <c r="I18" i="7" s="1"/>
  <c r="Q18" i="7" l="1"/>
  <c r="AQ16" i="9"/>
  <c r="AF17" i="9"/>
  <c r="AO17" i="9"/>
  <c r="J18" i="7" l="1"/>
  <c r="AM17" i="9" s="1"/>
  <c r="AS18" i="9" s="1"/>
  <c r="O18" i="7" l="1"/>
  <c r="K19" i="7" s="1"/>
  <c r="I19" i="7" s="1"/>
  <c r="AD17" i="9"/>
  <c r="M18" i="7"/>
  <c r="AH17" i="9" s="1"/>
  <c r="J19" i="7" l="1"/>
  <c r="AO18" i="9"/>
  <c r="AF18" i="9"/>
  <c r="AQ17" i="9"/>
  <c r="Q19" i="7"/>
  <c r="AD18" i="9" l="1"/>
  <c r="M19" i="7"/>
  <c r="AH18" i="9" s="1"/>
  <c r="AM18" i="9"/>
  <c r="AS19" i="9" s="1"/>
  <c r="O19" i="7"/>
  <c r="K20" i="7" s="1"/>
  <c r="I20" i="7" s="1"/>
  <c r="J20" i="7" l="1"/>
  <c r="AQ18" i="9"/>
  <c r="AO19" i="9"/>
  <c r="AF19" i="9"/>
  <c r="Q20" i="7" l="1"/>
  <c r="AD19" i="9"/>
  <c r="AM19" i="9"/>
  <c r="AS20" i="9" s="1"/>
  <c r="M20" i="7"/>
  <c r="AQ19" i="9" s="1"/>
  <c r="O20" i="7"/>
  <c r="K21" i="7" s="1"/>
  <c r="I21" i="7" s="1"/>
  <c r="Q21" i="7" l="1"/>
  <c r="AH19" i="9"/>
  <c r="AO20" i="9"/>
  <c r="AF20" i="9"/>
  <c r="J21" i="7" l="1"/>
  <c r="AD20" i="9" s="1"/>
  <c r="M21" i="7" l="1"/>
  <c r="AH20" i="9" s="1"/>
  <c r="AM20" i="9"/>
  <c r="AS21" i="9" s="1"/>
  <c r="O21" i="7"/>
  <c r="K22" i="7" s="1"/>
  <c r="I22" i="7" s="1"/>
  <c r="AQ20" i="9" l="1"/>
  <c r="AO21" i="9"/>
  <c r="AF21" i="9"/>
  <c r="J22" i="7" l="1"/>
  <c r="Q22" i="7"/>
  <c r="AM21" i="9" l="1"/>
  <c r="AS22" i="9" s="1"/>
  <c r="M22" i="7"/>
  <c r="AD21" i="9"/>
  <c r="O22" i="7"/>
  <c r="K23" i="7" l="1"/>
  <c r="I23" i="7" s="1"/>
  <c r="AH21" i="9"/>
  <c r="AQ21" i="9"/>
  <c r="AF22" i="9" l="1"/>
  <c r="AO22" i="9"/>
  <c r="J23" i="7" l="1"/>
  <c r="Q23" i="7"/>
  <c r="AM22" i="9" l="1"/>
  <c r="AS23" i="9" s="1"/>
  <c r="AD22" i="9"/>
  <c r="M23" i="7"/>
  <c r="O23" i="7"/>
  <c r="K24" i="7" l="1"/>
  <c r="I24" i="7" s="1"/>
  <c r="AQ22" i="9"/>
  <c r="AH22" i="9"/>
  <c r="AO23" i="9" l="1"/>
  <c r="AF23" i="9"/>
  <c r="J24" i="7" l="1"/>
  <c r="Q24" i="7"/>
  <c r="AD23" i="9" l="1"/>
  <c r="AM23" i="9"/>
  <c r="AS24" i="9" s="1"/>
  <c r="M24" i="7"/>
  <c r="O24" i="7"/>
  <c r="K25" i="7" l="1"/>
  <c r="I25" i="7" s="1"/>
  <c r="AH23" i="9"/>
  <c r="AQ23" i="9"/>
  <c r="AO24" i="9" l="1"/>
  <c r="AF24" i="9"/>
  <c r="J25" i="7" l="1"/>
  <c r="Q25" i="7"/>
  <c r="AM24" i="9" l="1"/>
  <c r="AS25" i="9" s="1"/>
  <c r="AD24" i="9"/>
  <c r="M25" i="7"/>
  <c r="O25" i="7"/>
  <c r="AH24" i="9" l="1"/>
  <c r="AQ24" i="9"/>
  <c r="K26" i="7"/>
  <c r="I26" i="7" s="1"/>
  <c r="AF25" i="9" l="1"/>
  <c r="AO25" i="9"/>
  <c r="J26" i="7" l="1"/>
  <c r="Q26" i="7"/>
  <c r="AM25" i="9" l="1"/>
  <c r="AS26" i="9" s="1"/>
  <c r="M26" i="7"/>
  <c r="AD25" i="9"/>
  <c r="O26" i="7"/>
  <c r="K27" i="7" l="1"/>
  <c r="I27" i="7" s="1"/>
  <c r="AH25" i="9"/>
  <c r="AQ25" i="9"/>
  <c r="AF26" i="9" l="1"/>
  <c r="AO26" i="9"/>
  <c r="J27" i="7" l="1"/>
  <c r="Q27" i="7"/>
  <c r="AD26" i="9" l="1"/>
  <c r="AM26" i="9"/>
  <c r="AS27" i="9" s="1"/>
  <c r="M27" i="7"/>
  <c r="O27" i="7"/>
  <c r="AQ26" i="9" l="1"/>
  <c r="AH26" i="9"/>
  <c r="K28" i="7"/>
  <c r="AO27" i="9" l="1"/>
  <c r="AF27" i="9"/>
  <c r="J28" i="7" l="1"/>
  <c r="Q28" i="7"/>
  <c r="AD27" i="9" l="1"/>
  <c r="AM27" i="9"/>
  <c r="AS28" i="9" s="1"/>
  <c r="M28" i="7"/>
  <c r="O28" i="7"/>
  <c r="K29" i="7" l="1"/>
  <c r="I29" i="7" s="1"/>
  <c r="AH27" i="9"/>
  <c r="AQ27" i="9"/>
  <c r="AO28" i="9" l="1"/>
  <c r="AF28" i="9"/>
  <c r="J29" i="7" l="1"/>
  <c r="Q29" i="7"/>
  <c r="M29" i="7" l="1"/>
  <c r="AM28" i="9"/>
  <c r="AS29" i="9" s="1"/>
  <c r="AD28" i="9"/>
  <c r="O29" i="7"/>
  <c r="K30" i="7" l="1"/>
  <c r="I30" i="7" s="1"/>
  <c r="AQ28" i="9"/>
  <c r="AH28" i="9"/>
  <c r="AF29" i="9" l="1"/>
  <c r="AO29" i="9"/>
  <c r="J30" i="7" l="1"/>
  <c r="Q30" i="7"/>
  <c r="AM29" i="9" l="1"/>
  <c r="AS30" i="9" s="1"/>
  <c r="M30" i="7"/>
  <c r="AD29" i="9"/>
  <c r="O30" i="7"/>
  <c r="K31" i="7" l="1"/>
  <c r="I31" i="7" s="1"/>
  <c r="AQ29" i="9"/>
  <c r="AH29" i="9"/>
  <c r="AO30" i="9" l="1"/>
  <c r="AF30" i="9"/>
  <c r="J31" i="7" l="1"/>
  <c r="Q31" i="7"/>
  <c r="AM30" i="9" l="1"/>
  <c r="AS31" i="9" s="1"/>
  <c r="AD30" i="9"/>
  <c r="M31" i="7"/>
  <c r="O31" i="7"/>
  <c r="K32" i="7" l="1"/>
  <c r="I32" i="7" s="1"/>
  <c r="AQ30" i="9"/>
  <c r="AH30" i="9"/>
  <c r="AO31" i="9" l="1"/>
  <c r="AF31" i="9"/>
  <c r="J32" i="7" l="1"/>
  <c r="Q32" i="7"/>
  <c r="AM31" i="9" l="1"/>
  <c r="AS32" i="9" s="1"/>
  <c r="AD31" i="9"/>
  <c r="M32" i="7"/>
  <c r="O32" i="7"/>
  <c r="K33" i="7" l="1"/>
  <c r="I33" i="7" s="1"/>
  <c r="AQ31" i="9"/>
  <c r="AH31" i="9"/>
  <c r="AF32" i="9" l="1"/>
  <c r="AO32" i="9"/>
  <c r="J33" i="7" l="1"/>
  <c r="Q33" i="7"/>
  <c r="AM32" i="9" l="1"/>
  <c r="AS33" i="9" s="1"/>
  <c r="AD32" i="9"/>
  <c r="M33" i="7"/>
  <c r="O33" i="7"/>
  <c r="K34" i="7" l="1"/>
  <c r="I34" i="7" s="1"/>
  <c r="AH32" i="9"/>
  <c r="AQ32" i="9"/>
  <c r="AF33" i="9" l="1"/>
  <c r="AO33" i="9"/>
  <c r="J34" i="7" l="1"/>
  <c r="Q34" i="7"/>
  <c r="AM33" i="9" l="1"/>
  <c r="AS34" i="9" s="1"/>
  <c r="AD33" i="9"/>
  <c r="M34" i="7"/>
  <c r="O34" i="7"/>
  <c r="K35" i="7" l="1"/>
  <c r="I35" i="7" s="1"/>
  <c r="AH33" i="9"/>
  <c r="AQ33" i="9"/>
  <c r="AO34" i="9" l="1"/>
  <c r="AF34" i="9"/>
  <c r="J35" i="7" l="1"/>
  <c r="Q35" i="7"/>
  <c r="AM34" i="9" l="1"/>
  <c r="AS35" i="9" s="1"/>
  <c r="AD34" i="9"/>
  <c r="M35" i="7"/>
  <c r="O35" i="7"/>
  <c r="K36" i="7" l="1"/>
  <c r="I36" i="7" s="1"/>
  <c r="AQ34" i="9"/>
  <c r="AH34" i="9"/>
  <c r="AO35" i="9" l="1"/>
  <c r="AF35" i="9"/>
  <c r="J36" i="7" l="1"/>
  <c r="Q36" i="7"/>
  <c r="AD35" i="9" l="1"/>
  <c r="AM35" i="9"/>
  <c r="AS36" i="9" s="1"/>
  <c r="M36" i="7"/>
  <c r="O36" i="7"/>
  <c r="AH35" i="9" l="1"/>
  <c r="AQ35" i="9"/>
  <c r="K37" i="7"/>
  <c r="I37" i="7" s="1"/>
  <c r="AO36" i="9" l="1"/>
  <c r="AF36" i="9"/>
  <c r="J37" i="7" l="1"/>
  <c r="Q37" i="7"/>
  <c r="AD36" i="9" l="1"/>
  <c r="M37" i="7"/>
  <c r="AM36" i="9"/>
  <c r="AS37" i="9" s="1"/>
  <c r="O37" i="7"/>
  <c r="K38" i="7" l="1"/>
  <c r="I38" i="7" s="1"/>
  <c r="AH36" i="9"/>
  <c r="AQ36" i="9"/>
  <c r="AO37" i="9" l="1"/>
  <c r="AF37" i="9"/>
  <c r="J38" i="7" l="1"/>
  <c r="Q38" i="7"/>
  <c r="AM37" i="9" l="1"/>
  <c r="AS38" i="9" s="1"/>
  <c r="M38" i="7"/>
  <c r="AD37" i="9"/>
  <c r="O38" i="7"/>
  <c r="K39" i="7" l="1"/>
  <c r="I39" i="7" s="1"/>
  <c r="AH37" i="9"/>
  <c r="AQ37" i="9"/>
  <c r="AF38" i="9" l="1"/>
  <c r="AO38" i="9"/>
  <c r="J39" i="7" l="1"/>
  <c r="Q39" i="7"/>
  <c r="AM38" i="9" l="1"/>
  <c r="AS39" i="9" s="1"/>
  <c r="AD38" i="9"/>
  <c r="M39" i="7"/>
  <c r="O39" i="7"/>
  <c r="K40" i="7" l="1"/>
  <c r="I40" i="7" s="1"/>
  <c r="AH38" i="9"/>
  <c r="AQ38" i="9"/>
  <c r="AO39" i="9" l="1"/>
  <c r="AF39" i="9"/>
  <c r="J40" i="7" l="1"/>
  <c r="Q40" i="7"/>
  <c r="AD39" i="9" l="1"/>
  <c r="M40" i="7"/>
  <c r="AM39" i="9"/>
  <c r="AS40" i="9" s="1"/>
  <c r="O40" i="7"/>
  <c r="K41" i="7" l="1"/>
  <c r="I41" i="7" s="1"/>
  <c r="AQ39" i="9"/>
  <c r="AH39" i="9"/>
  <c r="AF40" i="9" l="1"/>
  <c r="AO40" i="9"/>
  <c r="J41" i="7" l="1"/>
  <c r="Q41" i="7"/>
  <c r="AD40" i="9" l="1"/>
  <c r="M41" i="7"/>
  <c r="AM40" i="9"/>
  <c r="AS41" i="9" s="1"/>
  <c r="O41" i="7"/>
  <c r="K42" i="7" l="1"/>
  <c r="I42" i="7" s="1"/>
  <c r="AH40" i="9"/>
  <c r="AQ40" i="9"/>
  <c r="AF41" i="9" l="1"/>
  <c r="AO41" i="9"/>
  <c r="J42" i="7" l="1"/>
  <c r="Q42" i="7"/>
  <c r="AM41" i="9" l="1"/>
  <c r="AS42" i="9" s="1"/>
  <c r="AD41" i="9"/>
  <c r="M42" i="7"/>
  <c r="O42" i="7"/>
  <c r="K43" i="7" l="1"/>
  <c r="I43" i="7" s="1"/>
  <c r="AH41" i="9"/>
  <c r="AQ41" i="9"/>
  <c r="AO42" i="9" l="1"/>
  <c r="AF42" i="9"/>
  <c r="J43" i="7" l="1"/>
  <c r="Q43" i="7"/>
  <c r="AM42" i="9" l="1"/>
  <c r="AS43" i="9" s="1"/>
  <c r="M43" i="7"/>
  <c r="AD42" i="9"/>
  <c r="O43" i="7"/>
  <c r="K44" i="7" l="1"/>
  <c r="I44" i="7" s="1"/>
  <c r="AQ42" i="9"/>
  <c r="AH42" i="9"/>
  <c r="AO43" i="9" l="1"/>
  <c r="AF43" i="9"/>
  <c r="J44" i="7" l="1"/>
  <c r="Q44" i="7"/>
  <c r="AM43" i="9" l="1"/>
  <c r="AS44" i="9" s="1"/>
  <c r="AD43" i="9"/>
  <c r="M44" i="7"/>
  <c r="O44" i="7"/>
  <c r="K45" i="7" l="1"/>
  <c r="I45" i="7" s="1"/>
  <c r="AH43" i="9"/>
  <c r="AQ43" i="9"/>
  <c r="AO44" i="9" l="1"/>
  <c r="AF44" i="9"/>
  <c r="J45" i="7" l="1"/>
  <c r="Q45" i="7"/>
  <c r="AD44" i="9" l="1"/>
  <c r="AM44" i="9"/>
  <c r="AS45" i="9" s="1"/>
  <c r="M45" i="7"/>
  <c r="O45" i="7"/>
  <c r="K46" i="7" l="1"/>
  <c r="I46" i="7" s="1"/>
  <c r="AQ44" i="9"/>
  <c r="AH44" i="9"/>
  <c r="AF45" i="9" l="1"/>
  <c r="AO45" i="9"/>
  <c r="J46" i="7" l="1"/>
  <c r="Q46" i="7"/>
  <c r="AM45" i="9" l="1"/>
  <c r="AS46" i="9" s="1"/>
  <c r="AD45" i="9"/>
  <c r="M46" i="7"/>
  <c r="O46" i="7"/>
  <c r="AH45" i="9" l="1"/>
  <c r="AQ45" i="9"/>
  <c r="K47" i="7"/>
  <c r="I47" i="7" s="1"/>
  <c r="AF46" i="9" l="1"/>
  <c r="AO46" i="9"/>
  <c r="J47" i="7" l="1"/>
  <c r="Q47" i="7"/>
  <c r="AD46" i="9" l="1"/>
  <c r="AM46" i="9"/>
  <c r="AS47" i="9" s="1"/>
  <c r="M47" i="7"/>
  <c r="O47" i="7"/>
  <c r="AH46" i="9" l="1"/>
  <c r="AQ46" i="9"/>
  <c r="K48" i="7"/>
  <c r="I48" i="7" s="1"/>
  <c r="AF47" i="9" l="1"/>
  <c r="AO47" i="9"/>
  <c r="J48" i="7" l="1"/>
  <c r="Q48" i="7"/>
  <c r="AD47" i="9" l="1"/>
  <c r="AM47" i="9"/>
  <c r="AS48" i="9" s="1"/>
  <c r="M48" i="7"/>
  <c r="O48" i="7"/>
  <c r="AH47" i="9" l="1"/>
  <c r="AQ47" i="9"/>
  <c r="K49" i="7"/>
  <c r="I49" i="7" s="1"/>
  <c r="AF48" i="9" l="1"/>
  <c r="AO48" i="9"/>
  <c r="J49" i="7" l="1"/>
  <c r="Q49" i="7"/>
  <c r="M49" i="7" l="1"/>
  <c r="AD48" i="9"/>
  <c r="AM48" i="9"/>
  <c r="AS49" i="9" s="1"/>
  <c r="O49" i="7"/>
  <c r="K50" i="7" l="1"/>
  <c r="I50" i="7" s="1"/>
  <c r="AH48" i="9"/>
  <c r="AQ48" i="9"/>
  <c r="AF49" i="9" l="1"/>
  <c r="AO49" i="9"/>
  <c r="J50" i="7" l="1"/>
  <c r="Q50" i="7"/>
  <c r="M50" i="7" l="1"/>
  <c r="AM49" i="9"/>
  <c r="AS50" i="9" s="1"/>
  <c r="AD49" i="9"/>
  <c r="O50" i="7"/>
  <c r="K51" i="7" l="1"/>
  <c r="I51" i="7" s="1"/>
  <c r="AQ49" i="9"/>
  <c r="AH49" i="9"/>
  <c r="AF50" i="9" l="1"/>
  <c r="AO50" i="9"/>
  <c r="J51" i="7" l="1"/>
  <c r="Q51" i="7"/>
  <c r="AM50" i="9" l="1"/>
  <c r="AS51" i="9" s="1"/>
  <c r="AD50" i="9"/>
  <c r="M51" i="7"/>
  <c r="O51" i="7"/>
  <c r="K52" i="7" l="1"/>
  <c r="I52" i="7" s="1"/>
  <c r="AQ50" i="9"/>
  <c r="AH50" i="9"/>
  <c r="AF51" i="9" l="1"/>
  <c r="AO51" i="9"/>
  <c r="J52" i="7" l="1"/>
  <c r="Q52" i="7"/>
  <c r="AM51" i="9" l="1"/>
  <c r="AS52" i="9" s="1"/>
  <c r="AD51" i="9"/>
  <c r="M52" i="7"/>
  <c r="O52" i="7"/>
  <c r="K53" i="7" l="1"/>
  <c r="I53" i="7" s="1"/>
  <c r="AH51" i="9"/>
  <c r="AQ51" i="9"/>
  <c r="AO52" i="9" l="1"/>
  <c r="AF52" i="9"/>
  <c r="J53" i="7" l="1"/>
  <c r="Q53" i="7"/>
  <c r="AD52" i="9" l="1"/>
  <c r="AM52" i="9"/>
  <c r="AS53" i="9" s="1"/>
  <c r="M53" i="7"/>
  <c r="O53" i="7"/>
  <c r="AQ52" i="9" l="1"/>
  <c r="AH52" i="9"/>
  <c r="K54" i="7"/>
  <c r="I54" i="7" s="1"/>
  <c r="AO53" i="9" l="1"/>
  <c r="AF53" i="9"/>
  <c r="J54" i="7" l="1"/>
  <c r="Q54" i="7"/>
  <c r="AM53" i="9" l="1"/>
  <c r="AS54" i="9" s="1"/>
  <c r="AD53" i="9"/>
  <c r="M54" i="7"/>
  <c r="O54" i="7"/>
  <c r="K55" i="7" l="1"/>
  <c r="I55" i="7" s="1"/>
  <c r="AH53" i="9"/>
  <c r="AQ53" i="9"/>
  <c r="AF54" i="9" l="1"/>
  <c r="AO54" i="9"/>
  <c r="J55" i="7" l="1"/>
  <c r="Q55" i="7"/>
  <c r="AM54" i="9" l="1"/>
  <c r="AS55" i="9" s="1"/>
  <c r="AD54" i="9"/>
  <c r="M55" i="7"/>
  <c r="O55" i="7"/>
  <c r="AQ54" i="9" l="1"/>
  <c r="AH54" i="9"/>
  <c r="K56" i="7"/>
  <c r="I56" i="7" s="1"/>
  <c r="AO55" i="9" l="1"/>
  <c r="AF55" i="9"/>
  <c r="J56" i="7" l="1"/>
  <c r="Q56" i="7"/>
  <c r="AD55" i="9" l="1"/>
  <c r="M56" i="7"/>
  <c r="AM55" i="9"/>
  <c r="AS56" i="9" s="1"/>
  <c r="O56" i="7"/>
  <c r="K57" i="7" l="1"/>
  <c r="I57" i="7" s="1"/>
  <c r="AQ55" i="9"/>
  <c r="AH55" i="9"/>
  <c r="AF56" i="9" l="1"/>
  <c r="AO56" i="9"/>
  <c r="J57" i="7" l="1"/>
  <c r="Q57" i="7"/>
  <c r="AM56" i="9" l="1"/>
  <c r="AS57" i="9" s="1"/>
  <c r="AD56" i="9"/>
  <c r="M57" i="7"/>
  <c r="O57" i="7"/>
  <c r="AH56" i="9" l="1"/>
  <c r="AQ56" i="9"/>
  <c r="K58" i="7"/>
  <c r="I58" i="7" s="1"/>
  <c r="AO57" i="9" l="1"/>
  <c r="AF57" i="9"/>
  <c r="J58" i="7" l="1"/>
  <c r="Q58" i="7"/>
  <c r="AM57" i="9" l="1"/>
  <c r="AS58" i="9" s="1"/>
  <c r="M58" i="7"/>
  <c r="AD57" i="9"/>
  <c r="O58" i="7"/>
  <c r="K59" i="7" l="1"/>
  <c r="I59" i="7" s="1"/>
  <c r="AQ57" i="9"/>
  <c r="AH57" i="9"/>
  <c r="AF58" i="9" l="1"/>
  <c r="AO58" i="9"/>
  <c r="J59" i="7" l="1"/>
  <c r="Q59" i="7"/>
  <c r="AD58" i="9" l="1"/>
  <c r="AM58" i="9"/>
  <c r="AS59" i="9" s="1"/>
  <c r="M59" i="7"/>
  <c r="O59" i="7"/>
  <c r="K60" i="7" l="1"/>
  <c r="I60" i="7" s="1"/>
  <c r="AQ58" i="9"/>
  <c r="AH58" i="9"/>
  <c r="AO59" i="9" l="1"/>
  <c r="AF59" i="9"/>
  <c r="J60" i="7" l="1"/>
  <c r="Q60" i="7"/>
  <c r="AD59" i="9" l="1"/>
  <c r="M60" i="7"/>
  <c r="AM59" i="9"/>
  <c r="AS60" i="9" s="1"/>
  <c r="O60" i="7"/>
  <c r="K61" i="7" l="1"/>
  <c r="I61" i="7" s="1"/>
  <c r="AQ59" i="9"/>
  <c r="AH59" i="9"/>
  <c r="AF60" i="9" l="1"/>
  <c r="AO60" i="9"/>
  <c r="J61" i="7" l="1"/>
  <c r="Q61" i="7"/>
  <c r="AD60" i="9" l="1"/>
  <c r="AM60" i="9"/>
  <c r="AS61" i="9" s="1"/>
  <c r="M61" i="7"/>
  <c r="O61" i="7"/>
  <c r="AH60" i="9" l="1"/>
  <c r="AQ60" i="9"/>
  <c r="K62" i="7"/>
  <c r="I62" i="7" s="1"/>
  <c r="AO61" i="9" l="1"/>
  <c r="AF61" i="9"/>
  <c r="J62" i="7" l="1"/>
  <c r="Q62" i="7"/>
  <c r="AM61" i="9" l="1"/>
  <c r="AS62" i="9" s="1"/>
  <c r="AD61" i="9"/>
  <c r="M62" i="7"/>
  <c r="O62" i="7"/>
  <c r="AQ61" i="9" l="1"/>
  <c r="AH61" i="9"/>
  <c r="K63" i="7"/>
  <c r="I63" i="7" s="1"/>
  <c r="AO62" i="9" l="1"/>
  <c r="AF62" i="9"/>
  <c r="J63" i="7" l="1"/>
  <c r="Q63" i="7"/>
  <c r="AD62" i="9" l="1"/>
  <c r="AM62" i="9"/>
  <c r="AS63" i="9" s="1"/>
  <c r="M63" i="7"/>
  <c r="O63" i="7"/>
  <c r="AH62" i="9" l="1"/>
  <c r="AQ62" i="9"/>
  <c r="AC2" i="7"/>
  <c r="K64" i="7"/>
  <c r="I64" i="7" s="1"/>
  <c r="AO63" i="9" l="1"/>
  <c r="AF63" i="9"/>
  <c r="J64" i="7" l="1"/>
  <c r="Q64" i="7"/>
  <c r="AD63" i="9" l="1"/>
  <c r="M64" i="7"/>
  <c r="AM63" i="9"/>
  <c r="AS64" i="9" s="1"/>
  <c r="O64" i="7"/>
  <c r="AQ63" i="9" l="1"/>
  <c r="AH63" i="9"/>
  <c r="K65" i="7"/>
  <c r="I65" i="7" s="1"/>
  <c r="Q65" i="7" l="1"/>
  <c r="J65" i="7"/>
  <c r="AF64" i="9"/>
  <c r="AO64" i="9"/>
  <c r="O65" i="7" l="1"/>
  <c r="M65" i="7"/>
  <c r="AM64" i="9"/>
  <c r="AS65" i="9" s="1"/>
  <c r="AD64" i="9"/>
  <c r="AQ64" i="9" l="1"/>
  <c r="AH64" i="9"/>
  <c r="K66" i="7"/>
  <c r="I66" i="7" s="1"/>
  <c r="AF65" i="9" l="1"/>
  <c r="AO65" i="9"/>
  <c r="J66" i="7" l="1"/>
  <c r="Q66" i="7"/>
  <c r="AM65" i="9" l="1"/>
  <c r="AS66" i="9" s="1"/>
  <c r="AD65" i="9"/>
  <c r="M66" i="7"/>
  <c r="O66" i="7"/>
  <c r="AQ65" i="9" l="1"/>
  <c r="AH65" i="9"/>
  <c r="K67" i="7"/>
  <c r="I67" i="7" s="1"/>
  <c r="AF66" i="9" l="1"/>
  <c r="AO66" i="9"/>
  <c r="Q67" i="7" l="1"/>
  <c r="J67" i="7"/>
  <c r="AD66" i="9" l="1"/>
  <c r="M67" i="7"/>
  <c r="AM66" i="9"/>
  <c r="AS67" i="9" s="1"/>
  <c r="O67" i="7"/>
  <c r="AH66" i="9" l="1"/>
  <c r="AQ66" i="9"/>
  <c r="K68" i="7"/>
  <c r="I68" i="7" s="1"/>
  <c r="AO67" i="9" l="1"/>
  <c r="AF67" i="9"/>
  <c r="Q68" i="7" l="1"/>
  <c r="J68" i="7"/>
  <c r="AD67" i="9" l="1"/>
  <c r="AM67" i="9"/>
  <c r="AS68" i="9" s="1"/>
  <c r="M68" i="7"/>
  <c r="O68" i="7"/>
  <c r="AH67" i="9" l="1"/>
  <c r="AQ67" i="9"/>
  <c r="K69" i="7"/>
  <c r="I69" i="7" s="1"/>
  <c r="AF68" i="9" l="1"/>
  <c r="AO68" i="9"/>
  <c r="J69" i="7" l="1"/>
  <c r="Q69" i="7"/>
  <c r="AD68" i="9" l="1"/>
  <c r="AM68" i="9"/>
  <c r="AS69" i="9" s="1"/>
  <c r="M69" i="7"/>
  <c r="O69" i="7"/>
  <c r="AQ68" i="9" l="1"/>
  <c r="AH68" i="9"/>
  <c r="K70" i="7"/>
  <c r="I70" i="7" s="1"/>
  <c r="AF69" i="9" l="1"/>
  <c r="AO69" i="9"/>
  <c r="Q70" i="7" l="1"/>
  <c r="J70" i="7"/>
  <c r="AD69" i="9" l="1"/>
  <c r="M70" i="7"/>
  <c r="AM69" i="9"/>
  <c r="AS70" i="9" s="1"/>
  <c r="O70" i="7"/>
  <c r="AQ69" i="9" l="1"/>
  <c r="AH69" i="9"/>
  <c r="K71" i="7"/>
  <c r="I71" i="7" s="1"/>
  <c r="AO70" i="9" l="1"/>
  <c r="AF70" i="9"/>
  <c r="Q71" i="7" l="1"/>
  <c r="J71" i="7"/>
  <c r="AM70" i="9" l="1"/>
  <c r="AS71" i="9" s="1"/>
  <c r="M71" i="7"/>
  <c r="AD70" i="9"/>
  <c r="O71" i="7"/>
  <c r="K72" i="7" l="1"/>
  <c r="I72" i="7" s="1"/>
  <c r="AQ70" i="9"/>
  <c r="AH70" i="9"/>
  <c r="AO71" i="9" l="1"/>
  <c r="AF71" i="9"/>
  <c r="Q72" i="7" l="1"/>
  <c r="J72" i="7"/>
  <c r="M72" i="7" l="1"/>
  <c r="AD71" i="9"/>
  <c r="AM71" i="9"/>
  <c r="AS72" i="9" s="1"/>
  <c r="O72" i="7"/>
  <c r="K73" i="7" l="1"/>
  <c r="I73" i="7" s="1"/>
  <c r="AH71" i="9"/>
  <c r="AQ71" i="9"/>
  <c r="AO72" i="9" l="1"/>
  <c r="AF72" i="9"/>
  <c r="Q73" i="7" l="1"/>
  <c r="J73" i="7"/>
  <c r="AM72" i="9" l="1"/>
  <c r="AS73" i="9" s="1"/>
  <c r="AD72" i="9"/>
  <c r="M73" i="7"/>
  <c r="O73" i="7"/>
  <c r="AH72" i="9" l="1"/>
  <c r="AQ72" i="9"/>
  <c r="K74" i="7"/>
  <c r="I74" i="7" s="1"/>
  <c r="AF73" i="9" l="1"/>
  <c r="AO73" i="9"/>
  <c r="Q74" i="7" l="1"/>
  <c r="J74" i="7"/>
  <c r="AM73" i="9" l="1"/>
  <c r="AS74" i="9" s="1"/>
  <c r="M74" i="7"/>
  <c r="AD73" i="9"/>
  <c r="O74" i="7"/>
  <c r="K75" i="7" l="1"/>
  <c r="I75" i="7" s="1"/>
  <c r="AQ73" i="9"/>
  <c r="AH73" i="9"/>
  <c r="AO74" i="9" l="1"/>
  <c r="AF74" i="9"/>
  <c r="J75" i="7" l="1"/>
  <c r="Q75" i="7"/>
  <c r="M75" i="7" l="1"/>
  <c r="AD74" i="9"/>
  <c r="AM74" i="9"/>
  <c r="AS75" i="9" s="1"/>
  <c r="O75" i="7"/>
  <c r="K76" i="7" l="1"/>
  <c r="I76" i="7" s="1"/>
  <c r="AQ74" i="9"/>
  <c r="AH74" i="9"/>
  <c r="AF75" i="9" l="1"/>
  <c r="AO75" i="9"/>
  <c r="J76" i="7" l="1"/>
  <c r="Q76" i="7"/>
  <c r="M76" i="7" l="1"/>
  <c r="AM75" i="9"/>
  <c r="AS76" i="9" s="1"/>
  <c r="AD75" i="9"/>
  <c r="O76" i="7"/>
  <c r="K77" i="7" l="1"/>
  <c r="I77" i="7" s="1"/>
  <c r="AH75" i="9"/>
  <c r="AQ75" i="9"/>
  <c r="AO76" i="9" l="1"/>
  <c r="AF76" i="9"/>
  <c r="Q77" i="7" l="1"/>
  <c r="J77" i="7"/>
  <c r="AM76" i="9" l="1"/>
  <c r="AS77" i="9" s="1"/>
  <c r="M77" i="7"/>
  <c r="AD76" i="9"/>
  <c r="O77" i="7"/>
  <c r="K78" i="7" l="1"/>
  <c r="I78" i="7" s="1"/>
  <c r="AQ76" i="9"/>
  <c r="AH76" i="9"/>
  <c r="AF77" i="9" l="1"/>
  <c r="AO77" i="9"/>
  <c r="Q78" i="7" l="1"/>
  <c r="J78" i="7"/>
  <c r="AM77" i="9" l="1"/>
  <c r="AS78" i="9" s="1"/>
  <c r="M78" i="7"/>
  <c r="AD77" i="9"/>
  <c r="O78" i="7"/>
  <c r="AH77" i="9" l="1"/>
  <c r="AQ77" i="9"/>
  <c r="K79" i="7"/>
  <c r="I79" i="7" s="1"/>
  <c r="AO78" i="9" l="1"/>
  <c r="AF78" i="9"/>
  <c r="J79" i="7" l="1"/>
  <c r="Q79" i="7"/>
  <c r="AM78" i="9" l="1"/>
  <c r="AS79" i="9" s="1"/>
  <c r="AD78" i="9"/>
  <c r="M79" i="7"/>
  <c r="O79" i="7"/>
  <c r="AQ78" i="9" l="1"/>
  <c r="AH78" i="9"/>
  <c r="K80" i="7"/>
  <c r="I80" i="7" s="1"/>
  <c r="AO79" i="9" l="1"/>
  <c r="AF79" i="9"/>
  <c r="Q80" i="7" l="1"/>
  <c r="J80" i="7"/>
  <c r="AM79" i="9" l="1"/>
  <c r="AS80" i="9" s="1"/>
  <c r="AD79" i="9"/>
  <c r="M80" i="7"/>
  <c r="O80" i="7"/>
  <c r="AH79" i="9" l="1"/>
  <c r="AQ79" i="9"/>
  <c r="K81" i="7"/>
  <c r="I81" i="7" s="1"/>
  <c r="AF80" i="9" l="1"/>
  <c r="AO80" i="9"/>
  <c r="Q81" i="7" l="1"/>
  <c r="J81" i="7"/>
  <c r="AD80" i="9" l="1"/>
  <c r="AM80" i="9"/>
  <c r="AS81" i="9" s="1"/>
  <c r="M81" i="7"/>
  <c r="O81" i="7"/>
  <c r="K82" i="7" l="1"/>
  <c r="I82" i="7" s="1"/>
  <c r="AH80" i="9"/>
  <c r="AQ80" i="9"/>
  <c r="AO81" i="9" l="1"/>
  <c r="AF81" i="9"/>
  <c r="Q82" i="7" l="1"/>
  <c r="J82" i="7"/>
  <c r="AM81" i="9" l="1"/>
  <c r="AS82" i="9" s="1"/>
  <c r="AD81" i="9"/>
  <c r="M82" i="7"/>
  <c r="O82" i="7"/>
  <c r="K83" i="7" l="1"/>
  <c r="I83" i="7" s="1"/>
  <c r="AQ81" i="9"/>
  <c r="AH81" i="9"/>
  <c r="AO82" i="9" l="1"/>
  <c r="AF82" i="9"/>
  <c r="J83" i="7" l="1"/>
  <c r="Q83" i="7"/>
  <c r="AM82" i="9" l="1"/>
  <c r="AS83" i="9" s="1"/>
  <c r="AD82" i="9"/>
  <c r="M83" i="7"/>
  <c r="O83" i="7"/>
  <c r="K84" i="7" l="1"/>
  <c r="I84" i="7" s="1"/>
  <c r="AQ82" i="9"/>
  <c r="AH82" i="9"/>
  <c r="AO83" i="9" l="1"/>
  <c r="AF83" i="9"/>
  <c r="Q84" i="7" l="1"/>
  <c r="J84" i="7"/>
  <c r="AM83" i="9" l="1"/>
  <c r="AS84" i="9" s="1"/>
  <c r="AD83" i="9"/>
  <c r="M84" i="7"/>
  <c r="O84" i="7"/>
  <c r="K85" i="7" l="1"/>
  <c r="I85" i="7" s="1"/>
  <c r="AH83" i="9"/>
  <c r="AQ83" i="9"/>
  <c r="AO84" i="9" l="1"/>
  <c r="AF84" i="9"/>
  <c r="Q85" i="7" l="1"/>
  <c r="J85" i="7"/>
  <c r="AD84" i="9" l="1"/>
  <c r="AM84" i="9"/>
  <c r="AS85" i="9" s="1"/>
  <c r="M85" i="7"/>
  <c r="O85" i="7"/>
  <c r="K86" i="7" l="1"/>
  <c r="I86" i="7" s="1"/>
  <c r="AQ84" i="9"/>
  <c r="AH84" i="9"/>
  <c r="AO85" i="9" l="1"/>
  <c r="AF85" i="9"/>
  <c r="J86" i="7" l="1"/>
  <c r="Q86" i="7"/>
  <c r="AM85" i="9" l="1"/>
  <c r="AS86" i="9" s="1"/>
  <c r="AD85" i="9"/>
  <c r="M86" i="7"/>
  <c r="O86" i="7"/>
  <c r="AQ85" i="9" l="1"/>
  <c r="AH85" i="9"/>
  <c r="K87" i="7"/>
  <c r="I87" i="7" s="1"/>
  <c r="AO86" i="9" l="1"/>
  <c r="AF86" i="9"/>
  <c r="J87" i="7" l="1"/>
  <c r="Q87" i="7"/>
  <c r="AM86" i="9" l="1"/>
  <c r="AS87" i="9" s="1"/>
  <c r="M87" i="7"/>
  <c r="AD86" i="9"/>
  <c r="O87" i="7"/>
  <c r="K88" i="7" l="1"/>
  <c r="I88" i="7" s="1"/>
  <c r="AQ86" i="9"/>
  <c r="AH86" i="9"/>
  <c r="AO87" i="9" l="1"/>
  <c r="AF87" i="9"/>
  <c r="Q88" i="7" l="1"/>
  <c r="J88" i="7"/>
  <c r="Y10" i="7" l="1"/>
  <c r="AB3" i="7" s="1"/>
  <c r="AM87" i="9"/>
  <c r="AS88" i="9" s="1"/>
  <c r="AD87" i="9"/>
  <c r="M88" i="7"/>
  <c r="O88" i="7"/>
  <c r="K89" i="7" s="1"/>
  <c r="I89" i="7" s="1"/>
  <c r="F4" i="10" l="1"/>
  <c r="Y4" i="7"/>
  <c r="AF88" i="9"/>
  <c r="AO88" i="9"/>
  <c r="AH87" i="9"/>
  <c r="AQ87" i="9"/>
  <c r="Q89" i="7" l="1"/>
  <c r="J89" i="7"/>
  <c r="Y3" i="7"/>
  <c r="AB2" i="7"/>
  <c r="Y11" i="7" s="1"/>
  <c r="F2" i="10" s="1"/>
  <c r="Y2" i="7" l="1"/>
  <c r="O89" i="7"/>
  <c r="AD88" i="9"/>
  <c r="M89" i="7"/>
  <c r="AM88" i="9"/>
  <c r="AS89" i="9" s="1"/>
  <c r="F10" i="10"/>
  <c r="K90" i="7" l="1"/>
  <c r="I90" i="7" s="1"/>
  <c r="AQ88" i="9"/>
  <c r="AH88" i="9"/>
  <c r="O13" i="11"/>
  <c r="F12" i="10"/>
  <c r="AF89" i="9" l="1"/>
  <c r="AO89" i="9"/>
  <c r="Q90" i="7" l="1"/>
  <c r="J90" i="7"/>
  <c r="AM89" i="9" l="1"/>
  <c r="AD89" i="9"/>
  <c r="M90" i="7"/>
  <c r="O90" i="7"/>
  <c r="K91" i="7" l="1"/>
  <c r="I91" i="7" s="1"/>
  <c r="AQ89" i="9"/>
  <c r="AH89" i="9"/>
  <c r="AF90" i="9" l="1"/>
  <c r="AO90" i="9"/>
  <c r="J91" i="7" l="1"/>
  <c r="Q91" i="7"/>
  <c r="AM90" i="9" l="1"/>
  <c r="M91" i="7"/>
  <c r="AD90" i="9"/>
  <c r="O91" i="7"/>
  <c r="K92" i="7" l="1"/>
  <c r="I92" i="7" s="1"/>
  <c r="AH90" i="9"/>
  <c r="AQ90" i="9"/>
  <c r="Q92" i="7" l="1"/>
  <c r="J92" i="7"/>
  <c r="M92" i="7" l="1"/>
  <c r="O92" i="7"/>
  <c r="K93" i="7" l="1"/>
  <c r="I93" i="7" s="1"/>
  <c r="Q93" i="7" l="1"/>
  <c r="J93" i="7"/>
  <c r="M93" i="7" l="1"/>
  <c r="O93" i="7"/>
  <c r="K94" i="7" l="1"/>
  <c r="I94" i="7" s="1"/>
  <c r="Q94" i="7" l="1"/>
  <c r="J94" i="7"/>
  <c r="M94" i="7" l="1"/>
  <c r="O94" i="7"/>
  <c r="K95" i="7" l="1"/>
  <c r="I95" i="7" s="1"/>
  <c r="Q95" i="7" l="1"/>
  <c r="J95" i="7"/>
  <c r="M95" i="7" l="1"/>
  <c r="O95" i="7"/>
  <c r="K96" i="7" l="1"/>
  <c r="I96" i="7" s="1"/>
  <c r="Q96" i="7" l="1"/>
  <c r="J96" i="7"/>
  <c r="M96" i="7" l="1"/>
  <c r="O96" i="7"/>
  <c r="J5" i="6"/>
  <c r="M5" i="6" s="1"/>
  <c r="K97" i="7" l="1"/>
  <c r="I97" i="7" s="1"/>
  <c r="O5" i="6"/>
  <c r="K6" i="6" s="1"/>
  <c r="Q97" i="7" l="1"/>
  <c r="J97" i="7"/>
  <c r="J6" i="6"/>
  <c r="O6" i="6" s="1"/>
  <c r="K7" i="6" s="1"/>
  <c r="M97" i="7" l="1"/>
  <c r="O97" i="7"/>
  <c r="J7" i="6"/>
  <c r="M6" i="6"/>
  <c r="K98" i="7" l="1"/>
  <c r="I98" i="7" s="1"/>
  <c r="M7" i="6"/>
  <c r="O7" i="6"/>
  <c r="K8" i="6" s="1"/>
  <c r="J98" i="7" l="1"/>
  <c r="Q98" i="7"/>
  <c r="J8" i="6"/>
  <c r="M98" i="7" l="1"/>
  <c r="O98" i="7"/>
  <c r="M8" i="6"/>
  <c r="O8" i="6"/>
  <c r="K9" i="6" s="1"/>
  <c r="K99" i="7" l="1"/>
  <c r="I99" i="7" s="1"/>
  <c r="Q99" i="7" l="1"/>
  <c r="J99" i="7"/>
  <c r="J9" i="6"/>
  <c r="M99" i="7" l="1"/>
  <c r="O99" i="7"/>
  <c r="M9" i="6"/>
  <c r="O9" i="6"/>
  <c r="K10" i="6" s="1"/>
  <c r="K100" i="7" l="1"/>
  <c r="I100" i="7" s="1"/>
  <c r="Q100" i="7" l="1"/>
  <c r="J100" i="7"/>
  <c r="J10" i="6"/>
  <c r="M100" i="7" l="1"/>
  <c r="O100" i="7"/>
  <c r="M10" i="6"/>
  <c r="O10" i="6"/>
  <c r="K11" i="6" s="1"/>
  <c r="K101" i="7" l="1"/>
  <c r="I101" i="7" s="1"/>
  <c r="Q101" i="7" l="1"/>
  <c r="J101" i="7"/>
  <c r="J11" i="6"/>
  <c r="M101" i="7" l="1"/>
  <c r="O101" i="7"/>
  <c r="M11" i="6"/>
  <c r="O11" i="6"/>
  <c r="K12" i="6" s="1"/>
  <c r="K102" i="7" l="1"/>
  <c r="I102" i="7" s="1"/>
  <c r="J12" i="6"/>
  <c r="M12" i="6" s="1"/>
  <c r="Q102" i="7" l="1"/>
  <c r="J102" i="7"/>
  <c r="O12" i="6"/>
  <c r="K13" i="6" s="1"/>
  <c r="M102" i="7" l="1"/>
  <c r="O102" i="7"/>
  <c r="J13" i="6"/>
  <c r="M13" i="6" s="1"/>
  <c r="K103" i="7" l="1"/>
  <c r="I103" i="7" s="1"/>
  <c r="O13" i="6"/>
  <c r="K14" i="6" s="1"/>
  <c r="Q103" i="7" l="1"/>
  <c r="J103" i="7"/>
  <c r="J14" i="6"/>
  <c r="M14" i="6" s="1"/>
  <c r="M103" i="7" l="1"/>
  <c r="O103" i="7"/>
  <c r="O14" i="6"/>
  <c r="K15" i="6" s="1"/>
  <c r="K104" i="7" l="1"/>
  <c r="I104" i="7" s="1"/>
  <c r="Q104" i="7" l="1"/>
  <c r="J104" i="7"/>
  <c r="J15" i="6"/>
  <c r="M104" i="7" l="1"/>
  <c r="O104" i="7"/>
  <c r="M15" i="6"/>
  <c r="O15" i="6"/>
  <c r="K16" i="6" s="1"/>
  <c r="K105" i="7" l="1"/>
  <c r="I105" i="7" s="1"/>
  <c r="J16" i="6"/>
  <c r="Q105" i="7" l="1"/>
  <c r="J105" i="7"/>
  <c r="M16" i="6"/>
  <c r="O16" i="6"/>
  <c r="K17" i="6" s="1"/>
  <c r="M105" i="7" l="1"/>
  <c r="O105" i="7"/>
  <c r="J17" i="6"/>
  <c r="K106" i="7" l="1"/>
  <c r="I106" i="7" s="1"/>
  <c r="M17" i="6"/>
  <c r="O17" i="6"/>
  <c r="K18" i="6" s="1"/>
  <c r="J106" i="7" l="1"/>
  <c r="Q106" i="7"/>
  <c r="M106" i="7" l="1"/>
  <c r="O106" i="7"/>
  <c r="J18" i="6"/>
  <c r="K107" i="7" l="1"/>
  <c r="I107" i="7" s="1"/>
  <c r="M18" i="6"/>
  <c r="O18" i="6"/>
  <c r="K19" i="6" s="1"/>
  <c r="J107" i="7" l="1"/>
  <c r="Q107" i="7"/>
  <c r="M107" i="7" l="1"/>
  <c r="O107" i="7"/>
  <c r="J19" i="6"/>
  <c r="K108" i="7" l="1"/>
  <c r="I108" i="7" s="1"/>
  <c r="M19" i="6"/>
  <c r="O19" i="6"/>
  <c r="K20" i="6" s="1"/>
  <c r="Q108" i="7" l="1"/>
  <c r="J108" i="7"/>
  <c r="M108" i="7" l="1"/>
  <c r="O108" i="7"/>
  <c r="J20" i="6"/>
  <c r="K109" i="7" l="1"/>
  <c r="I109" i="7" s="1"/>
  <c r="M20" i="6"/>
  <c r="O20" i="6"/>
  <c r="K21" i="6" s="1"/>
  <c r="Q109" i="7" l="1"/>
  <c r="J109" i="7"/>
  <c r="M109" i="7" l="1"/>
  <c r="O109" i="7"/>
  <c r="J21" i="6"/>
  <c r="K110" i="7" l="1"/>
  <c r="I110" i="7" s="1"/>
  <c r="M21" i="6"/>
  <c r="O21" i="6"/>
  <c r="K22" i="6" s="1"/>
  <c r="Q110" i="7" l="1"/>
  <c r="J110" i="7"/>
  <c r="J22" i="6"/>
  <c r="M110" i="7" l="1"/>
  <c r="O110" i="7"/>
  <c r="M22" i="6"/>
  <c r="O22" i="6"/>
  <c r="K23" i="6" s="1"/>
  <c r="K111" i="7" l="1"/>
  <c r="I111" i="7" s="1"/>
  <c r="Q111" i="7" l="1"/>
  <c r="J111" i="7"/>
  <c r="J23" i="6"/>
  <c r="M111" i="7" l="1"/>
  <c r="O111" i="7"/>
  <c r="M23" i="6"/>
  <c r="O23" i="6"/>
  <c r="K24" i="6" s="1"/>
  <c r="K112" i="7" l="1"/>
  <c r="I112" i="7" s="1"/>
  <c r="Q112" i="7" l="1"/>
  <c r="J112" i="7"/>
  <c r="J24" i="6"/>
  <c r="M112" i="7" l="1"/>
  <c r="O112" i="7"/>
  <c r="M24" i="6"/>
  <c r="O24" i="6"/>
  <c r="K25" i="6" s="1"/>
  <c r="K113" i="7" l="1"/>
  <c r="I113" i="7" s="1"/>
  <c r="J113" i="7" l="1"/>
  <c r="Q113" i="7"/>
  <c r="J25" i="6"/>
  <c r="M113" i="7" l="1"/>
  <c r="O113" i="7"/>
  <c r="M25" i="6"/>
  <c r="O25" i="6"/>
  <c r="K26" i="6" s="1"/>
  <c r="K114" i="7" l="1"/>
  <c r="I114" i="7" s="1"/>
  <c r="Q114" i="7" l="1"/>
  <c r="J114" i="7"/>
  <c r="J26" i="6"/>
  <c r="M114" i="7" l="1"/>
  <c r="O114" i="7"/>
  <c r="M26" i="6"/>
  <c r="O26" i="6"/>
  <c r="K27" i="6" s="1"/>
  <c r="K115" i="7" l="1"/>
  <c r="I115" i="7" s="1"/>
  <c r="J115" i="7" l="1"/>
  <c r="Q115" i="7"/>
  <c r="J27" i="6"/>
  <c r="M115" i="7" l="1"/>
  <c r="O115" i="7"/>
  <c r="M27" i="6"/>
  <c r="O27" i="6"/>
  <c r="K28" i="6" s="1"/>
  <c r="K116" i="7" l="1"/>
  <c r="I116" i="7" s="1"/>
  <c r="Q116" i="7" l="1"/>
  <c r="J116" i="7"/>
  <c r="J28" i="6"/>
  <c r="M116" i="7" l="1"/>
  <c r="O116" i="7"/>
  <c r="M28" i="6"/>
  <c r="O28" i="6"/>
  <c r="K29" i="6" s="1"/>
  <c r="K117" i="7" l="1"/>
  <c r="I117" i="7" s="1"/>
  <c r="Q117" i="7" l="1"/>
  <c r="J117" i="7"/>
  <c r="J29" i="6"/>
  <c r="M117" i="7" l="1"/>
  <c r="O117" i="7"/>
  <c r="M29" i="6"/>
  <c r="O29" i="6"/>
  <c r="K30" i="6" s="1"/>
  <c r="K118" i="7" l="1"/>
  <c r="I118" i="7" s="1"/>
  <c r="J118" i="7" l="1"/>
  <c r="Q118" i="7"/>
  <c r="J30" i="6"/>
  <c r="M118" i="7" l="1"/>
  <c r="O118" i="7"/>
  <c r="M30" i="6"/>
  <c r="O30" i="6"/>
  <c r="K31" i="6" s="1"/>
  <c r="K119" i="7" l="1"/>
  <c r="I119" i="7" s="1"/>
  <c r="J119" i="7" l="1"/>
  <c r="Q119" i="7"/>
  <c r="J31" i="6"/>
  <c r="M119" i="7" l="1"/>
  <c r="O119" i="7"/>
  <c r="M31" i="6"/>
  <c r="O31" i="6"/>
  <c r="K32" i="6" s="1"/>
  <c r="K120" i="7" l="1"/>
  <c r="I120" i="7" s="1"/>
  <c r="Q120" i="7" l="1"/>
  <c r="J120" i="7"/>
  <c r="J32" i="6"/>
  <c r="M120" i="7" l="1"/>
  <c r="O120" i="7"/>
  <c r="M32" i="6"/>
  <c r="O32" i="6"/>
  <c r="K33" i="6" s="1"/>
  <c r="K121" i="7" l="1"/>
  <c r="I121" i="7" s="1"/>
  <c r="Q121" i="7" l="1"/>
  <c r="J121" i="7"/>
  <c r="J33" i="6"/>
  <c r="M121" i="7" l="1"/>
  <c r="O121" i="7"/>
  <c r="M33" i="6"/>
  <c r="O33" i="6"/>
  <c r="K34" i="6" s="1"/>
  <c r="K122" i="7" l="1"/>
  <c r="I122" i="7" s="1"/>
  <c r="Q122" i="7" l="1"/>
  <c r="J122" i="7"/>
  <c r="J34" i="6"/>
  <c r="M122" i="7" l="1"/>
  <c r="O122" i="7"/>
  <c r="M34" i="6"/>
  <c r="O34" i="6"/>
  <c r="K35" i="6" s="1"/>
  <c r="K123" i="7" l="1"/>
  <c r="I123" i="7" s="1"/>
  <c r="Q123" i="7" l="1"/>
  <c r="J123" i="7"/>
  <c r="J35" i="6"/>
  <c r="M123" i="7" l="1"/>
  <c r="O123" i="7"/>
  <c r="M35" i="6"/>
  <c r="O35" i="6"/>
  <c r="K36" i="6" s="1"/>
  <c r="K124" i="7" l="1"/>
  <c r="I124" i="7" s="1"/>
  <c r="Q124" i="7" l="1"/>
  <c r="J124" i="7"/>
  <c r="J36" i="6"/>
  <c r="M124" i="7" l="1"/>
  <c r="O124" i="7"/>
  <c r="M36" i="6"/>
  <c r="O36" i="6"/>
  <c r="K37" i="6" s="1"/>
  <c r="K125" i="7" l="1"/>
  <c r="I125" i="7" s="1"/>
  <c r="Q125" i="7" l="1"/>
  <c r="J125" i="7"/>
  <c r="J37" i="6"/>
  <c r="M125" i="7" l="1"/>
  <c r="O125" i="7"/>
  <c r="M37" i="6"/>
  <c r="O37" i="6"/>
  <c r="K38" i="6" s="1"/>
  <c r="K126" i="7" l="1"/>
  <c r="I126" i="7" s="1"/>
  <c r="J38" i="6"/>
  <c r="Q126" i="7" l="1"/>
  <c r="J126" i="7"/>
  <c r="M38" i="6"/>
  <c r="O38" i="6"/>
  <c r="K39" i="6" s="1"/>
  <c r="M126" i="7" l="1"/>
  <c r="O126" i="7"/>
  <c r="K127" i="7" l="1"/>
  <c r="I127" i="7" s="1"/>
  <c r="J39" i="6"/>
  <c r="Q127" i="7" l="1"/>
  <c r="J127" i="7"/>
  <c r="M39" i="6"/>
  <c r="O39" i="6"/>
  <c r="K40" i="6" s="1"/>
  <c r="M127" i="7" l="1"/>
  <c r="O127" i="7"/>
  <c r="K128" i="7" l="1"/>
  <c r="I128" i="7" s="1"/>
  <c r="J40" i="6"/>
  <c r="Q128" i="7" l="1"/>
  <c r="J128" i="7"/>
  <c r="M40" i="6"/>
  <c r="O40" i="6"/>
  <c r="K41" i="6" s="1"/>
  <c r="M128" i="7" l="1"/>
  <c r="O128" i="7"/>
  <c r="J41" i="6"/>
  <c r="K129" i="7" l="1"/>
  <c r="I129" i="7" s="1"/>
  <c r="M41" i="6"/>
  <c r="O41" i="6"/>
  <c r="K42" i="6" s="1"/>
  <c r="Q129" i="7" l="1"/>
  <c r="J129" i="7"/>
  <c r="J42" i="6"/>
  <c r="M129" i="7" l="1"/>
  <c r="O129" i="7"/>
  <c r="M42" i="6"/>
  <c r="O42" i="6"/>
  <c r="K43" i="6" s="1"/>
  <c r="K130" i="7" l="1"/>
  <c r="I130" i="7" s="1"/>
  <c r="Q130" i="7" l="1"/>
  <c r="J130" i="7"/>
  <c r="J43" i="6"/>
  <c r="M130" i="7" l="1"/>
  <c r="O130" i="7"/>
  <c r="M43" i="6"/>
  <c r="O43" i="6"/>
  <c r="K44" i="6" s="1"/>
  <c r="K131" i="7" l="1"/>
  <c r="I131" i="7" s="1"/>
  <c r="Q131" i="7" l="1"/>
  <c r="J131" i="7"/>
  <c r="J44" i="6"/>
  <c r="M131" i="7" l="1"/>
  <c r="O131" i="7"/>
  <c r="M44" i="6"/>
  <c r="O44" i="6"/>
  <c r="K45" i="6" s="1"/>
  <c r="K132" i="7" l="1"/>
  <c r="I132" i="7" s="1"/>
  <c r="J45" i="6"/>
  <c r="Q132" i="7" l="1"/>
  <c r="J132" i="7"/>
  <c r="M45" i="6"/>
  <c r="O45" i="6"/>
  <c r="K46" i="6" s="1"/>
  <c r="M132" i="7" l="1"/>
  <c r="O132" i="7"/>
  <c r="K133" i="7" l="1"/>
  <c r="I133" i="7" s="1"/>
  <c r="J46" i="6"/>
  <c r="J133" i="7" l="1"/>
  <c r="Q133" i="7"/>
  <c r="M46" i="6"/>
  <c r="O46" i="6"/>
  <c r="K47" i="6" s="1"/>
  <c r="M133" i="7" l="1"/>
  <c r="O133" i="7"/>
  <c r="K134" i="7" l="1"/>
  <c r="I134" i="7" s="1"/>
  <c r="J47" i="6"/>
  <c r="Q134" i="7" l="1"/>
  <c r="J134" i="7"/>
  <c r="M47" i="6"/>
  <c r="O47" i="6"/>
  <c r="K48" i="6" s="1"/>
  <c r="M134" i="7" l="1"/>
  <c r="O134" i="7"/>
  <c r="K135" i="7" l="1"/>
  <c r="I135" i="7" s="1"/>
  <c r="J48" i="6"/>
  <c r="Q135" i="7" l="1"/>
  <c r="J135" i="7"/>
  <c r="M48" i="6"/>
  <c r="O48" i="6"/>
  <c r="K49" i="6" s="1"/>
  <c r="M135" i="7" l="1"/>
  <c r="O135" i="7"/>
  <c r="J49" i="6"/>
  <c r="K136" i="7" l="1"/>
  <c r="I136" i="7" s="1"/>
  <c r="M49" i="6"/>
  <c r="O49" i="6"/>
  <c r="K50" i="6" s="1"/>
  <c r="Q136" i="7" l="1"/>
  <c r="J136" i="7"/>
  <c r="J50" i="6"/>
  <c r="M136" i="7" l="1"/>
  <c r="O136" i="7"/>
  <c r="M50" i="6"/>
  <c r="O50" i="6"/>
  <c r="K51" i="6" s="1"/>
  <c r="K137" i="7" l="1"/>
  <c r="I137" i="7" s="1"/>
  <c r="Q137" i="7" l="1"/>
  <c r="J137" i="7"/>
  <c r="J51" i="6"/>
  <c r="M137" i="7" l="1"/>
  <c r="O137" i="7"/>
  <c r="M51" i="6"/>
  <c r="O51" i="6"/>
  <c r="K52" i="6" s="1"/>
  <c r="K138" i="7" l="1"/>
  <c r="I138" i="7" s="1"/>
  <c r="Q138" i="7" l="1"/>
  <c r="J138" i="7"/>
  <c r="J52" i="6"/>
  <c r="M138" i="7" l="1"/>
  <c r="O138" i="7"/>
  <c r="M52" i="6"/>
  <c r="O52" i="6"/>
  <c r="K53" i="6" s="1"/>
  <c r="K139" i="7" l="1"/>
  <c r="I139" i="7" s="1"/>
  <c r="Q139" i="7" l="1"/>
  <c r="J139" i="7"/>
  <c r="J53" i="6"/>
  <c r="M139" i="7" l="1"/>
  <c r="O139" i="7"/>
  <c r="M53" i="6"/>
  <c r="O53" i="6"/>
  <c r="K54" i="6" s="1"/>
  <c r="K140" i="7" l="1"/>
  <c r="I140" i="7" s="1"/>
  <c r="J54" i="6"/>
  <c r="Q140" i="7" l="1"/>
  <c r="J140" i="7"/>
  <c r="M54" i="6"/>
  <c r="O54" i="6"/>
  <c r="K55" i="6" s="1"/>
  <c r="M140" i="7" l="1"/>
  <c r="O140" i="7"/>
  <c r="J55" i="6"/>
  <c r="K141" i="7" l="1"/>
  <c r="I141" i="7" s="1"/>
  <c r="M55" i="6"/>
  <c r="O55" i="6"/>
  <c r="K56" i="6" s="1"/>
  <c r="Q141" i="7" l="1"/>
  <c r="J141" i="7"/>
  <c r="J56" i="6"/>
  <c r="M141" i="7" l="1"/>
  <c r="O141" i="7"/>
  <c r="M56" i="6"/>
  <c r="O56" i="6"/>
  <c r="K57" i="6" s="1"/>
  <c r="K142" i="7" l="1"/>
  <c r="I142" i="7" s="1"/>
  <c r="J57" i="6"/>
  <c r="Q142" i="7" l="1"/>
  <c r="J142" i="7"/>
  <c r="M57" i="6"/>
  <c r="O57" i="6"/>
  <c r="K58" i="6" s="1"/>
  <c r="M142" i="7" l="1"/>
  <c r="O142" i="7"/>
  <c r="J58" i="6"/>
  <c r="K143" i="7" l="1"/>
  <c r="I143" i="7" s="1"/>
  <c r="M58" i="6"/>
  <c r="O58" i="6"/>
  <c r="K59" i="6" s="1"/>
  <c r="Q143" i="7" l="1"/>
  <c r="J143" i="7"/>
  <c r="J59" i="6"/>
  <c r="M143" i="7" l="1"/>
  <c r="O143" i="7"/>
  <c r="M59" i="6"/>
  <c r="O59" i="6"/>
  <c r="K60" i="6" s="1"/>
  <c r="K144" i="7" l="1"/>
  <c r="I144" i="7" s="1"/>
  <c r="J60" i="6"/>
  <c r="Q144" i="7" l="1"/>
  <c r="J144" i="7"/>
  <c r="O60" i="6"/>
  <c r="K61" i="6" s="1"/>
  <c r="M60" i="6"/>
  <c r="M144" i="7" l="1"/>
  <c r="O144" i="7"/>
  <c r="J61" i="6"/>
  <c r="K145" i="7" l="1"/>
  <c r="I145" i="7" s="1"/>
  <c r="M61" i="6"/>
  <c r="O61" i="6"/>
  <c r="K62" i="6" s="1"/>
  <c r="Q145" i="7" l="1"/>
  <c r="J145" i="7"/>
  <c r="M145" i="7" l="1"/>
  <c r="O145" i="7"/>
  <c r="J62" i="6"/>
  <c r="K146" i="7" l="1"/>
  <c r="I146" i="7" s="1"/>
  <c r="M62" i="6"/>
  <c r="O62" i="6"/>
  <c r="K63" i="6" s="1"/>
  <c r="Q146" i="7" l="1"/>
  <c r="J146" i="7"/>
  <c r="M146" i="7" l="1"/>
  <c r="O146" i="7"/>
  <c r="J63" i="6"/>
  <c r="K147" i="7" l="1"/>
  <c r="I147" i="7" s="1"/>
  <c r="M63" i="6"/>
  <c r="O63" i="6"/>
  <c r="K64" i="6" s="1"/>
  <c r="Q147" i="7" l="1"/>
  <c r="J147" i="7"/>
  <c r="M147" i="7" l="1"/>
  <c r="O147" i="7"/>
  <c r="J64" i="6"/>
  <c r="K148" i="7" l="1"/>
  <c r="I148" i="7" s="1"/>
  <c r="M64" i="6"/>
  <c r="O64" i="6"/>
  <c r="K65" i="6" s="1"/>
  <c r="Q148" i="7" l="1"/>
  <c r="J148" i="7"/>
  <c r="M148" i="7" l="1"/>
  <c r="O148" i="7"/>
  <c r="J65" i="6"/>
  <c r="K149" i="7" l="1"/>
  <c r="I149" i="7" s="1"/>
  <c r="M65" i="6"/>
  <c r="O65" i="6"/>
  <c r="K66" i="6" s="1"/>
  <c r="Q149" i="7" l="1"/>
  <c r="J149" i="7"/>
  <c r="M149" i="7" l="1"/>
  <c r="O149" i="7"/>
  <c r="J66" i="6"/>
  <c r="K150" i="7" l="1"/>
  <c r="I150" i="7" s="1"/>
  <c r="M66" i="6"/>
  <c r="O66" i="6"/>
  <c r="K67" i="6" s="1"/>
  <c r="Q150" i="7" l="1"/>
  <c r="J150" i="7"/>
  <c r="M150" i="7" l="1"/>
  <c r="O150" i="7"/>
  <c r="J67" i="6"/>
  <c r="K151" i="7" l="1"/>
  <c r="I151" i="7" s="1"/>
  <c r="M67" i="6"/>
  <c r="O67" i="6"/>
  <c r="K68" i="6" s="1"/>
  <c r="Q151" i="7" l="1"/>
  <c r="J151" i="7"/>
  <c r="M151" i="7" l="1"/>
  <c r="O151" i="7"/>
  <c r="J68" i="6"/>
  <c r="K152" i="7" l="1"/>
  <c r="I152" i="7" s="1"/>
  <c r="M68" i="6"/>
  <c r="O68" i="6"/>
  <c r="K69" i="6" s="1"/>
  <c r="Q152" i="7" l="1"/>
  <c r="J152" i="7"/>
  <c r="M152" i="7" l="1"/>
  <c r="O152" i="7"/>
  <c r="J69" i="6"/>
  <c r="K153" i="7" l="1"/>
  <c r="I153" i="7" s="1"/>
  <c r="M69" i="6"/>
  <c r="O69" i="6"/>
  <c r="K70" i="6" s="1"/>
  <c r="Q153" i="7" l="1"/>
  <c r="J153" i="7"/>
  <c r="M153" i="7" l="1"/>
  <c r="O153" i="7"/>
  <c r="J70" i="6"/>
  <c r="K154" i="7" l="1"/>
  <c r="I154" i="7" s="1"/>
  <c r="M70" i="6"/>
  <c r="O70" i="6"/>
  <c r="K71" i="6" s="1"/>
  <c r="Q154" i="7" l="1"/>
  <c r="J154" i="7"/>
  <c r="M154" i="7" l="1"/>
  <c r="O154" i="7"/>
  <c r="J71" i="6"/>
  <c r="K155" i="7" l="1"/>
  <c r="I155" i="7" s="1"/>
  <c r="M71" i="6"/>
  <c r="O71" i="6"/>
  <c r="K72" i="6" s="1"/>
  <c r="Q155" i="7" l="1"/>
  <c r="J155" i="7"/>
  <c r="M155" i="7" l="1"/>
  <c r="O155" i="7"/>
  <c r="J72" i="6"/>
  <c r="K156" i="7" l="1"/>
  <c r="I156" i="7" s="1"/>
  <c r="M72" i="6"/>
  <c r="O72" i="6"/>
  <c r="K73" i="6" s="1"/>
  <c r="Q156" i="7" l="1"/>
  <c r="J156" i="7"/>
  <c r="M156" i="7" l="1"/>
  <c r="O156" i="7"/>
  <c r="J73" i="6"/>
  <c r="K157" i="7" l="1"/>
  <c r="I157" i="7" s="1"/>
  <c r="M73" i="6"/>
  <c r="O73" i="6"/>
  <c r="K74" i="6" s="1"/>
  <c r="Q157" i="7" l="1"/>
  <c r="J157" i="7"/>
  <c r="M157" i="7" l="1"/>
  <c r="O157" i="7"/>
  <c r="J74" i="6"/>
  <c r="K158" i="7" l="1"/>
  <c r="I158" i="7" s="1"/>
  <c r="M74" i="6"/>
  <c r="O74" i="6"/>
  <c r="K75" i="6" s="1"/>
  <c r="Q158" i="7" l="1"/>
  <c r="J158" i="7"/>
  <c r="M158" i="7" l="1"/>
  <c r="O158" i="7"/>
  <c r="J75" i="6"/>
  <c r="K159" i="7" l="1"/>
  <c r="I159" i="7" s="1"/>
  <c r="M75" i="6"/>
  <c r="O75" i="6"/>
  <c r="K76" i="6" s="1"/>
  <c r="J159" i="7" l="1"/>
  <c r="Q159" i="7"/>
  <c r="M159" i="7" l="1"/>
  <c r="O159" i="7"/>
  <c r="J76" i="6"/>
  <c r="K160" i="7" l="1"/>
  <c r="I160" i="7" s="1"/>
  <c r="M76" i="6"/>
  <c r="O76" i="6"/>
  <c r="K77" i="6" s="1"/>
  <c r="Q160" i="7" l="1"/>
  <c r="J160" i="7"/>
  <c r="M160" i="7" l="1"/>
  <c r="O160" i="7"/>
  <c r="J77" i="6"/>
  <c r="K161" i="7" l="1"/>
  <c r="I161" i="7" s="1"/>
  <c r="M77" i="6"/>
  <c r="O77" i="6"/>
  <c r="K78" i="6" s="1"/>
  <c r="Q161" i="7" l="1"/>
  <c r="J161" i="7"/>
  <c r="M161" i="7" l="1"/>
  <c r="O161" i="7"/>
  <c r="J78" i="6"/>
  <c r="K162" i="7" l="1"/>
  <c r="I162" i="7" s="1"/>
  <c r="M78" i="6"/>
  <c r="O78" i="6"/>
  <c r="K79" i="6" s="1"/>
  <c r="J162" i="7" l="1"/>
  <c r="Q162" i="7"/>
  <c r="M162" i="7" l="1"/>
  <c r="O162" i="7"/>
  <c r="J79" i="6"/>
  <c r="K163" i="7" l="1"/>
  <c r="I163" i="7" s="1"/>
  <c r="M79" i="6"/>
  <c r="O79" i="6"/>
  <c r="K80" i="6" s="1"/>
  <c r="Q163" i="7" l="1"/>
  <c r="J163" i="7"/>
  <c r="M163" i="7" l="1"/>
  <c r="O163" i="7"/>
  <c r="J80" i="6"/>
  <c r="K164" i="7" l="1"/>
  <c r="I164" i="7" s="1"/>
  <c r="M80" i="6"/>
  <c r="O80" i="6"/>
  <c r="K81" i="6" s="1"/>
  <c r="Q164" i="7" l="1"/>
  <c r="J164" i="7"/>
  <c r="M164" i="7" l="1"/>
  <c r="O164" i="7"/>
  <c r="J81" i="6"/>
  <c r="K165" i="7" l="1"/>
  <c r="I165" i="7" s="1"/>
  <c r="M81" i="6"/>
  <c r="O81" i="6"/>
  <c r="K82" i="6" s="1"/>
  <c r="Q165" i="7" l="1"/>
  <c r="J165" i="7"/>
  <c r="M165" i="7" l="1"/>
  <c r="O165" i="7"/>
  <c r="J82" i="6"/>
  <c r="K166" i="7" l="1"/>
  <c r="I166" i="7" s="1"/>
  <c r="M82" i="6"/>
  <c r="O82" i="6"/>
  <c r="K83" i="6" s="1"/>
  <c r="Q166" i="7" l="1"/>
  <c r="J166" i="7"/>
  <c r="M166" i="7" l="1"/>
  <c r="O166" i="7"/>
  <c r="J83" i="6"/>
  <c r="K167" i="7" l="1"/>
  <c r="I167" i="7" s="1"/>
  <c r="M83" i="6"/>
  <c r="O83" i="6"/>
  <c r="K84" i="6" s="1"/>
  <c r="Q167" i="7" l="1"/>
  <c r="J167" i="7"/>
  <c r="M167" i="7" l="1"/>
  <c r="O167" i="7"/>
  <c r="J84" i="6"/>
  <c r="K168" i="7" l="1"/>
  <c r="I168" i="7" s="1"/>
  <c r="M84" i="6"/>
  <c r="O84" i="6"/>
  <c r="K85" i="6" s="1"/>
  <c r="Q168" i="7" l="1"/>
  <c r="J168" i="7"/>
  <c r="M168" i="7" l="1"/>
  <c r="O168" i="7"/>
  <c r="J85" i="6"/>
  <c r="K169" i="7" l="1"/>
  <c r="I169" i="7" s="1"/>
  <c r="M85" i="6"/>
  <c r="O85" i="6"/>
  <c r="K86" i="6" s="1"/>
  <c r="Q169" i="7" l="1"/>
  <c r="J169" i="7"/>
  <c r="M169" i="7" l="1"/>
  <c r="O169" i="7"/>
  <c r="J86" i="6"/>
  <c r="K170" i="7" l="1"/>
  <c r="I170" i="7" s="1"/>
  <c r="M86" i="6"/>
  <c r="O86" i="6"/>
  <c r="K87" i="6" s="1"/>
  <c r="J170" i="7" l="1"/>
  <c r="Q170" i="7"/>
  <c r="M170" i="7" l="1"/>
  <c r="O170" i="7"/>
  <c r="J87" i="6"/>
  <c r="K171" i="7" l="1"/>
  <c r="I171" i="7" s="1"/>
  <c r="M87" i="6"/>
  <c r="O87" i="6"/>
  <c r="K88" i="6" s="1"/>
  <c r="Q171" i="7" l="1"/>
  <c r="J171" i="7"/>
  <c r="M171" i="7" l="1"/>
  <c r="O171" i="7"/>
  <c r="J88" i="6"/>
  <c r="K172" i="7" l="1"/>
  <c r="I172" i="7" s="1"/>
  <c r="M88" i="6"/>
  <c r="O88" i="6"/>
  <c r="K89" i="6" s="1"/>
  <c r="Q172" i="7" l="1"/>
  <c r="J172" i="7"/>
  <c r="M172" i="7" l="1"/>
  <c r="O172" i="7"/>
  <c r="J89" i="6"/>
  <c r="K173" i="7" l="1"/>
  <c r="I173" i="7" s="1"/>
  <c r="M89" i="6"/>
  <c r="O89" i="6"/>
  <c r="K90" i="6" s="1"/>
  <c r="Q173" i="7" l="1"/>
  <c r="J173" i="7"/>
  <c r="M173" i="7" l="1"/>
  <c r="O173" i="7"/>
  <c r="J90" i="6"/>
  <c r="K174" i="7" l="1"/>
  <c r="I174" i="7" s="1"/>
  <c r="M90" i="6"/>
  <c r="O90" i="6"/>
  <c r="K91" i="6" s="1"/>
  <c r="J174" i="7" l="1"/>
  <c r="Q174" i="7"/>
  <c r="M174" i="7" l="1"/>
  <c r="O174" i="7"/>
  <c r="J91" i="6"/>
  <c r="K175" i="7" l="1"/>
  <c r="I175" i="7" s="1"/>
  <c r="M91" i="6"/>
  <c r="O91" i="6"/>
  <c r="K92" i="6" s="1"/>
  <c r="Q175" i="7" l="1"/>
  <c r="J175" i="7"/>
  <c r="M175" i="7" l="1"/>
  <c r="O175" i="7"/>
  <c r="J92" i="6"/>
  <c r="K176" i="7" l="1"/>
  <c r="I176" i="7" s="1"/>
  <c r="M92" i="6"/>
  <c r="O92" i="6"/>
  <c r="K93" i="6" s="1"/>
  <c r="J176" i="7" l="1"/>
  <c r="Q176" i="7"/>
  <c r="M176" i="7" l="1"/>
  <c r="O176" i="7"/>
  <c r="J93" i="6"/>
  <c r="K177" i="7" l="1"/>
  <c r="I177" i="7" s="1"/>
  <c r="M93" i="6"/>
  <c r="O93" i="6"/>
  <c r="K94" i="6" s="1"/>
  <c r="J177" i="7" l="1"/>
  <c r="Q177" i="7"/>
  <c r="M177" i="7" l="1"/>
  <c r="O177" i="7"/>
  <c r="J94" i="6"/>
  <c r="K178" i="7" l="1"/>
  <c r="I178" i="7" s="1"/>
  <c r="M94" i="6"/>
  <c r="O94" i="6"/>
  <c r="K95" i="6" s="1"/>
  <c r="J178" i="7" l="1"/>
  <c r="Q178" i="7"/>
  <c r="M178" i="7" l="1"/>
  <c r="O178" i="7"/>
  <c r="J95" i="6"/>
  <c r="K179" i="7" l="1"/>
  <c r="I179" i="7" s="1"/>
  <c r="M95" i="6"/>
  <c r="O95" i="6"/>
  <c r="K96" i="6" s="1"/>
  <c r="Q179" i="7" l="1"/>
  <c r="J179" i="7"/>
  <c r="M179" i="7" l="1"/>
  <c r="O179" i="7"/>
  <c r="J96" i="6"/>
  <c r="K180" i="7" l="1"/>
  <c r="I180" i="7" s="1"/>
  <c r="M96" i="6"/>
  <c r="O96" i="6"/>
  <c r="K97" i="6" s="1"/>
  <c r="J180" i="7" l="1"/>
  <c r="Q180" i="7"/>
  <c r="M180" i="7" l="1"/>
  <c r="O180" i="7"/>
  <c r="J97" i="6"/>
  <c r="K181" i="7" l="1"/>
  <c r="I181" i="7" s="1"/>
  <c r="M97" i="6"/>
  <c r="O97" i="6"/>
  <c r="K98" i="6" s="1"/>
  <c r="Q181" i="7" l="1"/>
  <c r="J181" i="7"/>
  <c r="M181" i="7" l="1"/>
  <c r="O181" i="7"/>
  <c r="J98" i="6"/>
  <c r="K182" i="7" l="1"/>
  <c r="I182" i="7" s="1"/>
  <c r="M98" i="6"/>
  <c r="O98" i="6"/>
  <c r="K99" i="6" s="1"/>
  <c r="Q182" i="7" l="1"/>
  <c r="J182" i="7"/>
  <c r="J99" i="6"/>
  <c r="M182" i="7" l="1"/>
  <c r="O182" i="7"/>
  <c r="M99" i="6"/>
  <c r="O99" i="6"/>
  <c r="K100" i="6" s="1"/>
  <c r="K183" i="7" l="1"/>
  <c r="I183" i="7" s="1"/>
  <c r="J100" i="6"/>
  <c r="Q183" i="7" l="1"/>
  <c r="J183" i="7"/>
  <c r="M100" i="6"/>
  <c r="O100" i="6"/>
  <c r="K101" i="6" s="1"/>
  <c r="M183" i="7" l="1"/>
  <c r="O183" i="7"/>
  <c r="J101" i="6"/>
  <c r="K184" i="7" l="1"/>
  <c r="I184" i="7" s="1"/>
  <c r="M101" i="6"/>
  <c r="O101" i="6"/>
  <c r="K102" i="6" s="1"/>
  <c r="Q184" i="7" l="1"/>
  <c r="J184" i="7"/>
  <c r="J102" i="6"/>
  <c r="M184" i="7" l="1"/>
  <c r="O184" i="7"/>
  <c r="M102" i="6"/>
  <c r="O102" i="6"/>
  <c r="K103" i="6" s="1"/>
  <c r="K185" i="7" l="1"/>
  <c r="I185" i="7" s="1"/>
  <c r="J103" i="6"/>
  <c r="Q185" i="7" l="1"/>
  <c r="J185" i="7"/>
  <c r="M103" i="6"/>
  <c r="O103" i="6"/>
  <c r="K104" i="6" s="1"/>
  <c r="M185" i="7" l="1"/>
  <c r="O185" i="7"/>
  <c r="J104" i="6"/>
  <c r="K186" i="7" l="1"/>
  <c r="I186" i="7" s="1"/>
  <c r="M104" i="6"/>
  <c r="O104" i="6"/>
  <c r="K105" i="6" s="1"/>
  <c r="Q186" i="7" l="1"/>
  <c r="J186" i="7"/>
  <c r="J105" i="6"/>
  <c r="M186" i="7" l="1"/>
  <c r="O186" i="7"/>
  <c r="M105" i="6"/>
  <c r="O105" i="6"/>
  <c r="K106" i="6" s="1"/>
  <c r="K187" i="7" l="1"/>
  <c r="I187" i="7" s="1"/>
  <c r="J106" i="6"/>
  <c r="Q187" i="7" l="1"/>
  <c r="J187" i="7"/>
  <c r="M106" i="6"/>
  <c r="O106" i="6"/>
  <c r="K107" i="6" s="1"/>
  <c r="M187" i="7" l="1"/>
  <c r="O187" i="7"/>
  <c r="J107" i="6"/>
  <c r="K188" i="7" l="1"/>
  <c r="I188" i="7" s="1"/>
  <c r="M107" i="6"/>
  <c r="O107" i="6"/>
  <c r="K108" i="6" s="1"/>
  <c r="J188" i="7" l="1"/>
  <c r="Q188" i="7"/>
  <c r="J108" i="6"/>
  <c r="M188" i="7" l="1"/>
  <c r="O188" i="7"/>
  <c r="M108" i="6"/>
  <c r="O108" i="6"/>
  <c r="K109" i="6" s="1"/>
  <c r="K189" i="7" l="1"/>
  <c r="I189" i="7" s="1"/>
  <c r="J109" i="6"/>
  <c r="J189" i="7" l="1"/>
  <c r="Q189" i="7"/>
  <c r="M109" i="6"/>
  <c r="O109" i="6"/>
  <c r="K110" i="6" s="1"/>
  <c r="M189" i="7" l="1"/>
  <c r="O189" i="7"/>
  <c r="J110" i="6"/>
  <c r="K190" i="7" l="1"/>
  <c r="I190" i="7" s="1"/>
  <c r="M110" i="6"/>
  <c r="O110" i="6"/>
  <c r="K111" i="6" s="1"/>
  <c r="Q190" i="7" l="1"/>
  <c r="J190" i="7"/>
  <c r="J111" i="6"/>
  <c r="M190" i="7" l="1"/>
  <c r="O190" i="7"/>
  <c r="M111" i="6"/>
  <c r="O111" i="6"/>
  <c r="K112" i="6" s="1"/>
  <c r="K191" i="7" l="1"/>
  <c r="I191" i="7" s="1"/>
  <c r="J112" i="6"/>
  <c r="J191" i="7" l="1"/>
  <c r="Q191" i="7"/>
  <c r="M112" i="6"/>
  <c r="O112" i="6"/>
  <c r="K113" i="6" s="1"/>
  <c r="M191" i="7" l="1"/>
  <c r="O191" i="7"/>
  <c r="J113" i="6"/>
  <c r="K192" i="7" l="1"/>
  <c r="I192" i="7" s="1"/>
  <c r="M113" i="6"/>
  <c r="O113" i="6"/>
  <c r="K114" i="6" s="1"/>
  <c r="J192" i="7" l="1"/>
  <c r="Q192" i="7"/>
  <c r="J114" i="6"/>
  <c r="M192" i="7" l="1"/>
  <c r="O192" i="7"/>
  <c r="M114" i="6"/>
  <c r="O114" i="6"/>
  <c r="K115" i="6" s="1"/>
  <c r="K193" i="7" l="1"/>
  <c r="I193" i="7" s="1"/>
  <c r="J115" i="6"/>
  <c r="J193" i="7" l="1"/>
  <c r="Q193" i="7"/>
  <c r="M115" i="6"/>
  <c r="O115" i="6"/>
  <c r="K116" i="6" s="1"/>
  <c r="M193" i="7" l="1"/>
  <c r="O193" i="7"/>
  <c r="J116" i="6"/>
  <c r="K194" i="7" l="1"/>
  <c r="I194" i="7" s="1"/>
  <c r="M116" i="6"/>
  <c r="O116" i="6"/>
  <c r="K117" i="6" s="1"/>
  <c r="Q194" i="7" l="1"/>
  <c r="J194" i="7"/>
  <c r="J117" i="6"/>
  <c r="M194" i="7" l="1"/>
  <c r="O194" i="7"/>
  <c r="M117" i="6"/>
  <c r="O117" i="6"/>
  <c r="K118" i="6" s="1"/>
  <c r="K195" i="7" l="1"/>
  <c r="I195" i="7" s="1"/>
  <c r="J118" i="6"/>
  <c r="Q195" i="7" l="1"/>
  <c r="J195" i="7"/>
  <c r="M118" i="6"/>
  <c r="O118" i="6"/>
  <c r="K119" i="6" s="1"/>
  <c r="M195" i="7" l="1"/>
  <c r="O195" i="7"/>
  <c r="J119" i="6"/>
  <c r="K196" i="7" l="1"/>
  <c r="I196" i="7" s="1"/>
  <c r="M119" i="6"/>
  <c r="O119" i="6"/>
  <c r="K120" i="6" s="1"/>
  <c r="J196" i="7" l="1"/>
  <c r="Q196" i="7"/>
  <c r="J120" i="6"/>
  <c r="M196" i="7" l="1"/>
  <c r="O196" i="7"/>
  <c r="M120" i="6"/>
  <c r="O120" i="6"/>
  <c r="K121" i="6" s="1"/>
  <c r="K197" i="7" l="1"/>
  <c r="I197" i="7" s="1"/>
  <c r="J121" i="6"/>
  <c r="Q197" i="7" l="1"/>
  <c r="J197" i="7"/>
  <c r="M121" i="6"/>
  <c r="O121" i="6"/>
  <c r="K122" i="6" s="1"/>
  <c r="M197" i="7" l="1"/>
  <c r="O197" i="7"/>
  <c r="J122" i="6"/>
  <c r="K198" i="7" l="1"/>
  <c r="I198" i="7" s="1"/>
  <c r="M122" i="6"/>
  <c r="O122" i="6"/>
  <c r="K123" i="6" s="1"/>
  <c r="J198" i="7" l="1"/>
  <c r="Q198" i="7"/>
  <c r="J123" i="6"/>
  <c r="M198" i="7" l="1"/>
  <c r="O198" i="7"/>
  <c r="M123" i="6"/>
  <c r="O123" i="6"/>
  <c r="K124" i="6" s="1"/>
  <c r="K199" i="7" l="1"/>
  <c r="I199" i="7" s="1"/>
  <c r="J124" i="6"/>
  <c r="Q199" i="7" l="1"/>
  <c r="J199" i="7"/>
  <c r="M124" i="6"/>
  <c r="O124" i="6"/>
  <c r="K125" i="6" s="1"/>
  <c r="M199" i="7" l="1"/>
  <c r="O199" i="7"/>
  <c r="J125" i="6"/>
  <c r="K200" i="7" l="1"/>
  <c r="I200" i="7" s="1"/>
  <c r="M125" i="6"/>
  <c r="O125" i="6"/>
  <c r="K126" i="6" s="1"/>
  <c r="J200" i="7" l="1"/>
  <c r="Q200" i="7"/>
  <c r="J126" i="6"/>
  <c r="M200" i="7" l="1"/>
  <c r="O200" i="7"/>
  <c r="M126" i="6"/>
  <c r="O126" i="6"/>
  <c r="K127" i="6" s="1"/>
  <c r="K201" i="7" l="1"/>
  <c r="I201" i="7" s="1"/>
  <c r="J127" i="6"/>
  <c r="Q201" i="7" l="1"/>
  <c r="J201" i="7"/>
  <c r="M127" i="6"/>
  <c r="O127" i="6"/>
  <c r="K128" i="6" s="1"/>
  <c r="M201" i="7" l="1"/>
  <c r="O201" i="7"/>
  <c r="J128" i="6"/>
  <c r="K202" i="7" l="1"/>
  <c r="I202" i="7" s="1"/>
  <c r="M128" i="6"/>
  <c r="O128" i="6"/>
  <c r="K129" i="6" s="1"/>
  <c r="J202" i="7" l="1"/>
  <c r="Q202" i="7"/>
  <c r="J129" i="6"/>
  <c r="M202" i="7" l="1"/>
  <c r="O202" i="7"/>
  <c r="M129" i="6"/>
  <c r="O129" i="6"/>
  <c r="K130" i="6" s="1"/>
  <c r="K203" i="7" l="1"/>
  <c r="I203" i="7" s="1"/>
  <c r="J130" i="6"/>
  <c r="Q203" i="7" l="1"/>
  <c r="J203" i="7"/>
  <c r="M130" i="6"/>
  <c r="O130" i="6"/>
  <c r="K131" i="6" s="1"/>
  <c r="M203" i="7" l="1"/>
  <c r="O203" i="7"/>
  <c r="J131" i="6"/>
  <c r="K204" i="7" l="1"/>
  <c r="I204" i="7" s="1"/>
  <c r="M131" i="6"/>
  <c r="O131" i="6"/>
  <c r="K132" i="6" s="1"/>
  <c r="Q204" i="7" l="1"/>
  <c r="J204" i="7"/>
  <c r="J132" i="6"/>
  <c r="M204" i="7" l="1"/>
  <c r="O204" i="7"/>
  <c r="M132" i="6"/>
  <c r="O132" i="6"/>
  <c r="K133" i="6" s="1"/>
  <c r="K205" i="7" l="1"/>
  <c r="I205" i="7" s="1"/>
  <c r="J133" i="6"/>
  <c r="Q205" i="7" l="1"/>
  <c r="J205" i="7"/>
  <c r="M133" i="6"/>
  <c r="O133" i="6"/>
  <c r="K134" i="6" s="1"/>
  <c r="M205" i="7" l="1"/>
  <c r="O205" i="7"/>
  <c r="J134" i="6"/>
  <c r="K206" i="7" l="1"/>
  <c r="I206" i="7" s="1"/>
  <c r="M134" i="6"/>
  <c r="O134" i="6"/>
  <c r="K135" i="6" s="1"/>
  <c r="Q206" i="7" l="1"/>
  <c r="J206" i="7"/>
  <c r="J135" i="6"/>
  <c r="M206" i="7" l="1"/>
  <c r="O206" i="7"/>
  <c r="M135" i="6"/>
  <c r="O135" i="6"/>
  <c r="K136" i="6" s="1"/>
  <c r="K207" i="7" l="1"/>
  <c r="I207" i="7" s="1"/>
  <c r="J136" i="6"/>
  <c r="J207" i="7" l="1"/>
  <c r="Q207" i="7"/>
  <c r="M136" i="6"/>
  <c r="O136" i="6"/>
  <c r="K137" i="6" s="1"/>
  <c r="M207" i="7" l="1"/>
  <c r="O207" i="7"/>
  <c r="J137" i="6"/>
  <c r="K208" i="7" l="1"/>
  <c r="I208" i="7" s="1"/>
  <c r="M137" i="6"/>
  <c r="O137" i="6"/>
  <c r="K138" i="6" s="1"/>
  <c r="J208" i="7" l="1"/>
  <c r="Q208" i="7"/>
  <c r="J138" i="6"/>
  <c r="M208" i="7" l="1"/>
  <c r="O208" i="7"/>
  <c r="M138" i="6"/>
  <c r="O138" i="6"/>
  <c r="K139" i="6" s="1"/>
  <c r="K209" i="7" l="1"/>
  <c r="I209" i="7" s="1"/>
  <c r="J139" i="6"/>
  <c r="J209" i="7" l="1"/>
  <c r="Q209" i="7"/>
  <c r="M139" i="6"/>
  <c r="O139" i="6"/>
  <c r="K140" i="6" s="1"/>
  <c r="M209" i="7" l="1"/>
  <c r="O209" i="7"/>
  <c r="J140" i="6"/>
  <c r="K210" i="7" l="1"/>
  <c r="I210" i="7" s="1"/>
  <c r="M140" i="6"/>
  <c r="O140" i="6"/>
  <c r="K141" i="6" s="1"/>
  <c r="J210" i="7" l="1"/>
  <c r="Q210" i="7"/>
  <c r="J141" i="6"/>
  <c r="M210" i="7" l="1"/>
  <c r="O210" i="7"/>
  <c r="M141" i="6"/>
  <c r="O141" i="6"/>
  <c r="K142" i="6" s="1"/>
  <c r="K211" i="7" l="1"/>
  <c r="I211" i="7" s="1"/>
  <c r="J142" i="6"/>
  <c r="J211" i="7" l="1"/>
  <c r="Q211" i="7"/>
  <c r="M142" i="6"/>
  <c r="O142" i="6"/>
  <c r="K143" i="6" s="1"/>
  <c r="M211" i="7" l="1"/>
  <c r="O211" i="7"/>
  <c r="J143" i="6"/>
  <c r="K212" i="7" l="1"/>
  <c r="I212" i="7" s="1"/>
  <c r="M143" i="6"/>
  <c r="O143" i="6"/>
  <c r="K144" i="6" s="1"/>
  <c r="Q212" i="7" l="1"/>
  <c r="J212" i="7"/>
  <c r="J144" i="6"/>
  <c r="M212" i="7" l="1"/>
  <c r="O212" i="7"/>
  <c r="M144" i="6"/>
  <c r="O144" i="6"/>
  <c r="K145" i="6" s="1"/>
  <c r="K213" i="7" l="1"/>
  <c r="I213" i="7" s="1"/>
  <c r="J145" i="6"/>
  <c r="Q213" i="7" l="1"/>
  <c r="J213" i="7"/>
  <c r="M145" i="6"/>
  <c r="O145" i="6"/>
  <c r="K146" i="6" s="1"/>
  <c r="M213" i="7" l="1"/>
  <c r="O213" i="7"/>
  <c r="J146" i="6"/>
  <c r="K214" i="7" l="1"/>
  <c r="I214" i="7" s="1"/>
  <c r="M146" i="6"/>
  <c r="O146" i="6"/>
  <c r="K147" i="6" s="1"/>
  <c r="Q214" i="7" l="1"/>
  <c r="J214" i="7"/>
  <c r="J147" i="6"/>
  <c r="M214" i="7" l="1"/>
  <c r="O214" i="7"/>
  <c r="M147" i="6"/>
  <c r="O147" i="6"/>
  <c r="K148" i="6" s="1"/>
  <c r="K215" i="7" l="1"/>
  <c r="I215" i="7" s="1"/>
  <c r="J148" i="6"/>
  <c r="Q215" i="7" l="1"/>
  <c r="J215" i="7"/>
  <c r="M148" i="6"/>
  <c r="O148" i="6"/>
  <c r="K149" i="6" s="1"/>
  <c r="M215" i="7" l="1"/>
  <c r="O215" i="7"/>
  <c r="J149" i="6"/>
  <c r="K216" i="7" l="1"/>
  <c r="I216" i="7" s="1"/>
  <c r="M149" i="6"/>
  <c r="O149" i="6"/>
  <c r="K150" i="6" s="1"/>
  <c r="J216" i="7" l="1"/>
  <c r="Q216" i="7"/>
  <c r="J150" i="6"/>
  <c r="M216" i="7" l="1"/>
  <c r="O216" i="7"/>
  <c r="M150" i="6"/>
  <c r="O150" i="6"/>
  <c r="K151" i="6" s="1"/>
  <c r="K217" i="7" l="1"/>
  <c r="I217" i="7" s="1"/>
  <c r="J151" i="6"/>
  <c r="Q217" i="7" l="1"/>
  <c r="J217" i="7"/>
  <c r="M151" i="6"/>
  <c r="O151" i="6"/>
  <c r="K152" i="6" s="1"/>
  <c r="M217" i="7" l="1"/>
  <c r="O217" i="7"/>
  <c r="J152" i="6"/>
  <c r="K218" i="7" l="1"/>
  <c r="I218" i="7" s="1"/>
  <c r="M152" i="6"/>
  <c r="O152" i="6"/>
  <c r="K153" i="6" s="1"/>
  <c r="Q218" i="7" l="1"/>
  <c r="J218" i="7"/>
  <c r="J153" i="6"/>
  <c r="M218" i="7" l="1"/>
  <c r="O218" i="7"/>
  <c r="M153" i="6"/>
  <c r="O153" i="6"/>
  <c r="K154" i="6" s="1"/>
  <c r="K219" i="7" l="1"/>
  <c r="I219" i="7" s="1"/>
  <c r="J154" i="6"/>
  <c r="Q219" i="7" l="1"/>
  <c r="J219" i="7"/>
  <c r="M154" i="6"/>
  <c r="O154" i="6"/>
  <c r="K155" i="6" s="1"/>
  <c r="M219" i="7" l="1"/>
  <c r="O219" i="7"/>
  <c r="J155" i="6"/>
  <c r="K220" i="7" l="1"/>
  <c r="I220" i="7" s="1"/>
  <c r="M155" i="6"/>
  <c r="O155" i="6"/>
  <c r="K156" i="6" s="1"/>
  <c r="Q220" i="7" l="1"/>
  <c r="J220" i="7"/>
  <c r="J156" i="6"/>
  <c r="M220" i="7" l="1"/>
  <c r="O220" i="7"/>
  <c r="M156" i="6"/>
  <c r="O156" i="6"/>
  <c r="K157" i="6" s="1"/>
  <c r="K221" i="7" l="1"/>
  <c r="I221" i="7" s="1"/>
  <c r="J157" i="6"/>
  <c r="Q221" i="7" l="1"/>
  <c r="J221" i="7"/>
  <c r="M157" i="6"/>
  <c r="O157" i="6"/>
  <c r="K158" i="6" s="1"/>
  <c r="M221" i="7" l="1"/>
  <c r="O221" i="7"/>
  <c r="J158" i="6"/>
  <c r="K222" i="7" l="1"/>
  <c r="I222" i="7" s="1"/>
  <c r="M158" i="6"/>
  <c r="O158" i="6"/>
  <c r="K159" i="6" s="1"/>
  <c r="Q222" i="7" l="1"/>
  <c r="J222" i="7"/>
  <c r="J159" i="6"/>
  <c r="M222" i="7" l="1"/>
  <c r="O222" i="7"/>
  <c r="M159" i="6"/>
  <c r="O159" i="6"/>
  <c r="K160" i="6" s="1"/>
  <c r="K223" i="7" l="1"/>
  <c r="I223" i="7" s="1"/>
  <c r="J160" i="6"/>
  <c r="Q223" i="7" l="1"/>
  <c r="J223" i="7"/>
  <c r="M160" i="6"/>
  <c r="O160" i="6"/>
  <c r="K161" i="6" s="1"/>
  <c r="M223" i="7" l="1"/>
  <c r="O223" i="7"/>
  <c r="J161" i="6"/>
  <c r="K224" i="7" l="1"/>
  <c r="I224" i="7" s="1"/>
  <c r="M161" i="6"/>
  <c r="O161" i="6"/>
  <c r="K162" i="6" s="1"/>
  <c r="Q224" i="7" l="1"/>
  <c r="J224" i="7"/>
  <c r="J162" i="6"/>
  <c r="M224" i="7" l="1"/>
  <c r="O224" i="7"/>
  <c r="M162" i="6"/>
  <c r="O162" i="6"/>
  <c r="K163" i="6" s="1"/>
  <c r="K225" i="7" l="1"/>
  <c r="I225" i="7" s="1"/>
  <c r="J163" i="6"/>
  <c r="Q225" i="7" l="1"/>
  <c r="J225" i="7"/>
  <c r="M163" i="6"/>
  <c r="O163" i="6"/>
  <c r="K164" i="6" s="1"/>
  <c r="M225" i="7" l="1"/>
  <c r="O225" i="7"/>
  <c r="J164" i="6"/>
  <c r="K226" i="7" l="1"/>
  <c r="I226" i="7" s="1"/>
  <c r="M164" i="6"/>
  <c r="O164" i="6"/>
  <c r="K165" i="6" s="1"/>
  <c r="Q226" i="7" l="1"/>
  <c r="J226" i="7"/>
  <c r="J165" i="6"/>
  <c r="M226" i="7" l="1"/>
  <c r="O226" i="7"/>
  <c r="M165" i="6"/>
  <c r="O165" i="6"/>
  <c r="K166" i="6" s="1"/>
  <c r="K227" i="7" l="1"/>
  <c r="I227" i="7" s="1"/>
  <c r="J166" i="6"/>
  <c r="Q227" i="7" l="1"/>
  <c r="J227" i="7"/>
  <c r="M166" i="6"/>
  <c r="O166" i="6"/>
  <c r="K167" i="6" s="1"/>
  <c r="M227" i="7" l="1"/>
  <c r="O227" i="7"/>
  <c r="J167" i="6"/>
  <c r="K228" i="7" l="1"/>
  <c r="I228" i="7" s="1"/>
  <c r="M167" i="6"/>
  <c r="O167" i="6"/>
  <c r="K168" i="6" s="1"/>
  <c r="Q228" i="7" l="1"/>
  <c r="J228" i="7"/>
  <c r="J168" i="6"/>
  <c r="M228" i="7" l="1"/>
  <c r="O228" i="7"/>
  <c r="M168" i="6"/>
  <c r="O168" i="6"/>
  <c r="K169" i="6" s="1"/>
  <c r="K229" i="7" l="1"/>
  <c r="I229" i="7" s="1"/>
  <c r="J169" i="6"/>
  <c r="J229" i="7" l="1"/>
  <c r="Q229" i="7"/>
  <c r="M169" i="6"/>
  <c r="O169" i="6"/>
  <c r="K170" i="6" s="1"/>
  <c r="M229" i="7" l="1"/>
  <c r="O229" i="7"/>
  <c r="J170" i="6"/>
  <c r="K230" i="7" l="1"/>
  <c r="I230" i="7" s="1"/>
  <c r="M170" i="6"/>
  <c r="O170" i="6"/>
  <c r="K171" i="6" s="1"/>
  <c r="J230" i="7" l="1"/>
  <c r="Q230" i="7"/>
  <c r="J171" i="6"/>
  <c r="M230" i="7" l="1"/>
  <c r="O230" i="7"/>
  <c r="M171" i="6"/>
  <c r="O171" i="6"/>
  <c r="K172" i="6" s="1"/>
  <c r="K231" i="7" l="1"/>
  <c r="I231" i="7" s="1"/>
  <c r="J172" i="6"/>
  <c r="Q231" i="7" l="1"/>
  <c r="J231" i="7"/>
  <c r="M172" i="6"/>
  <c r="O172" i="6"/>
  <c r="K173" i="6" s="1"/>
  <c r="M231" i="7" l="1"/>
  <c r="O231" i="7"/>
  <c r="J173" i="6"/>
  <c r="K232" i="7" l="1"/>
  <c r="I232" i="7" s="1"/>
  <c r="M173" i="6"/>
  <c r="O173" i="6"/>
  <c r="K174" i="6" s="1"/>
  <c r="J232" i="7" l="1"/>
  <c r="Q232" i="7"/>
  <c r="J174" i="6"/>
  <c r="M232" i="7" l="1"/>
  <c r="O232" i="7"/>
  <c r="M174" i="6"/>
  <c r="O174" i="6"/>
  <c r="K175" i="6" s="1"/>
  <c r="K233" i="7" l="1"/>
  <c r="I233" i="7" s="1"/>
  <c r="J175" i="6"/>
  <c r="J233" i="7" l="1"/>
  <c r="Q233" i="7"/>
  <c r="M175" i="6"/>
  <c r="O175" i="6"/>
  <c r="K176" i="6" s="1"/>
  <c r="M233" i="7" l="1"/>
  <c r="O233" i="7"/>
  <c r="J176" i="6"/>
  <c r="K234" i="7" l="1"/>
  <c r="I234" i="7" s="1"/>
  <c r="M176" i="6"/>
  <c r="O176" i="6"/>
  <c r="K177" i="6" s="1"/>
  <c r="J234" i="7" l="1"/>
  <c r="Q234" i="7"/>
  <c r="J177" i="6"/>
  <c r="M234" i="7" l="1"/>
  <c r="O234" i="7"/>
  <c r="M177" i="6"/>
  <c r="O177" i="6"/>
  <c r="K178" i="6" s="1"/>
  <c r="K235" i="7" l="1"/>
  <c r="I235" i="7" s="1"/>
  <c r="J178" i="6"/>
  <c r="J235" i="7" l="1"/>
  <c r="Q235" i="7"/>
  <c r="M178" i="6"/>
  <c r="O178" i="6"/>
  <c r="K179" i="6" s="1"/>
  <c r="M235" i="7" l="1"/>
  <c r="O235" i="7"/>
  <c r="J179" i="6"/>
  <c r="K236" i="7" l="1"/>
  <c r="I236" i="7" s="1"/>
  <c r="M179" i="6"/>
  <c r="O179" i="6"/>
  <c r="K180" i="6" s="1"/>
  <c r="J236" i="7" l="1"/>
  <c r="Q236" i="7"/>
  <c r="J180" i="6"/>
  <c r="M236" i="7" l="1"/>
  <c r="O236" i="7"/>
  <c r="M180" i="6"/>
  <c r="O180" i="6"/>
  <c r="K181" i="6" s="1"/>
  <c r="K237" i="7" l="1"/>
  <c r="I237" i="7" s="1"/>
  <c r="J181" i="6"/>
  <c r="Q237" i="7" l="1"/>
  <c r="J237" i="7"/>
  <c r="M181" i="6"/>
  <c r="O181" i="6"/>
  <c r="K182" i="6" s="1"/>
  <c r="M237" i="7" l="1"/>
  <c r="O237" i="7"/>
  <c r="J182" i="6"/>
  <c r="K238" i="7" l="1"/>
  <c r="I238" i="7" s="1"/>
  <c r="M182" i="6"/>
  <c r="O182" i="6"/>
  <c r="K183" i="6" s="1"/>
  <c r="J238" i="7" l="1"/>
  <c r="Q238" i="7"/>
  <c r="J183" i="6"/>
  <c r="M238" i="7" l="1"/>
  <c r="O238" i="7"/>
  <c r="M183" i="6"/>
  <c r="O183" i="6"/>
  <c r="K184" i="6" s="1"/>
  <c r="K239" i="7" l="1"/>
  <c r="I239" i="7" s="1"/>
  <c r="J184" i="6"/>
  <c r="Q239" i="7" l="1"/>
  <c r="J239" i="7"/>
  <c r="M184" i="6"/>
  <c r="O184" i="6"/>
  <c r="K185" i="6" s="1"/>
  <c r="M239" i="7" l="1"/>
  <c r="O239" i="7"/>
  <c r="J185" i="6"/>
  <c r="K240" i="7" l="1"/>
  <c r="I240" i="7" s="1"/>
  <c r="M185" i="6"/>
  <c r="O185" i="6"/>
  <c r="K186" i="6" s="1"/>
  <c r="J240" i="7" l="1"/>
  <c r="Q240" i="7"/>
  <c r="J186" i="6"/>
  <c r="M240" i="7" l="1"/>
  <c r="O240" i="7"/>
  <c r="M186" i="6"/>
  <c r="O186" i="6"/>
  <c r="K187" i="6" s="1"/>
  <c r="K241" i="7" l="1"/>
  <c r="I241" i="7" s="1"/>
  <c r="J187" i="6"/>
  <c r="J241" i="7" l="1"/>
  <c r="Q241" i="7"/>
  <c r="M187" i="6"/>
  <c r="O187" i="6"/>
  <c r="K188" i="6" s="1"/>
  <c r="M241" i="7" l="1"/>
  <c r="O241" i="7"/>
  <c r="J188" i="6"/>
  <c r="K242" i="7" l="1"/>
  <c r="I242" i="7" s="1"/>
  <c r="M188" i="6"/>
  <c r="O188" i="6"/>
  <c r="K189" i="6" s="1"/>
  <c r="J242" i="7" l="1"/>
  <c r="Q242" i="7"/>
  <c r="J189" i="6"/>
  <c r="M242" i="7" l="1"/>
  <c r="O242" i="7"/>
  <c r="M189" i="6"/>
  <c r="O189" i="6"/>
  <c r="K190" i="6" s="1"/>
  <c r="K243" i="7" l="1"/>
  <c r="I243" i="7" s="1"/>
  <c r="J190" i="6"/>
  <c r="Q243" i="7" l="1"/>
  <c r="J243" i="7"/>
  <c r="M190" i="6"/>
  <c r="O190" i="6"/>
  <c r="K191" i="6" s="1"/>
  <c r="M243" i="7" l="1"/>
  <c r="O243" i="7"/>
  <c r="J191" i="6"/>
  <c r="K244" i="7" l="1"/>
  <c r="I244" i="7" s="1"/>
  <c r="M191" i="6"/>
  <c r="O191" i="6"/>
  <c r="K192" i="6" s="1"/>
  <c r="J244" i="7" l="1"/>
  <c r="Q244" i="7"/>
  <c r="J192" i="6"/>
  <c r="M244" i="7" l="1"/>
  <c r="O244" i="7"/>
  <c r="M192" i="6"/>
  <c r="O192" i="6"/>
  <c r="K193" i="6" s="1"/>
  <c r="K245" i="7" l="1"/>
  <c r="I245" i="7" s="1"/>
  <c r="J193" i="6"/>
  <c r="Q245" i="7" l="1"/>
  <c r="J245" i="7"/>
  <c r="M193" i="6"/>
  <c r="O193" i="6"/>
  <c r="K194" i="6" s="1"/>
  <c r="M245" i="7" l="1"/>
  <c r="O245" i="7"/>
  <c r="J194" i="6"/>
  <c r="K246" i="7" l="1"/>
  <c r="I246" i="7" s="1"/>
  <c r="M194" i="6"/>
  <c r="O194" i="6"/>
  <c r="K195" i="6" s="1"/>
  <c r="J246" i="7" l="1"/>
  <c r="Q246" i="7"/>
  <c r="J195" i="6"/>
  <c r="M246" i="7" l="1"/>
  <c r="O246" i="7"/>
  <c r="M195" i="6"/>
  <c r="O195" i="6"/>
  <c r="K196" i="6" s="1"/>
  <c r="K247" i="7" l="1"/>
  <c r="I247" i="7" s="1"/>
  <c r="J196" i="6"/>
  <c r="J247" i="7" l="1"/>
  <c r="M196" i="6"/>
  <c r="O196" i="6"/>
  <c r="K197" i="6" s="1"/>
  <c r="M247" i="7" l="1"/>
  <c r="O247" i="7"/>
  <c r="O248" i="7" s="1"/>
  <c r="J197" i="6"/>
  <c r="M197" i="6" l="1"/>
  <c r="O197" i="6"/>
  <c r="K198" i="6" s="1"/>
  <c r="J198" i="6" l="1"/>
  <c r="M198" i="6" l="1"/>
  <c r="O198" i="6"/>
  <c r="K199" i="6" s="1"/>
  <c r="J199" i="6" l="1"/>
  <c r="M199" i="6" l="1"/>
  <c r="O199" i="6"/>
  <c r="K200" i="6" s="1"/>
  <c r="J200" i="6" l="1"/>
  <c r="M200" i="6" l="1"/>
  <c r="O200" i="6"/>
  <c r="K201" i="6" s="1"/>
  <c r="J201" i="6" l="1"/>
  <c r="M201" i="6" l="1"/>
  <c r="O201" i="6"/>
  <c r="K202" i="6" s="1"/>
  <c r="J202" i="6" l="1"/>
  <c r="M202" i="6" l="1"/>
  <c r="O202" i="6"/>
  <c r="K203" i="6" s="1"/>
  <c r="J203" i="6" l="1"/>
  <c r="M203" i="6" l="1"/>
  <c r="O203" i="6"/>
  <c r="K204" i="6" s="1"/>
  <c r="J204" i="6" l="1"/>
  <c r="M204" i="6" l="1"/>
  <c r="O204" i="6"/>
  <c r="K205" i="6" s="1"/>
  <c r="J205" i="6" l="1"/>
  <c r="M205" i="6" l="1"/>
  <c r="O205" i="6"/>
  <c r="K206" i="6" s="1"/>
  <c r="J206" i="6" l="1"/>
  <c r="M206" i="6" l="1"/>
  <c r="O206" i="6"/>
  <c r="K207" i="6" s="1"/>
  <c r="J207" i="6" l="1"/>
  <c r="M207" i="6" l="1"/>
  <c r="O207" i="6"/>
  <c r="K208" i="6" s="1"/>
  <c r="J208" i="6" l="1"/>
  <c r="M208" i="6" l="1"/>
  <c r="O208" i="6"/>
  <c r="K209" i="6" s="1"/>
  <c r="J209" i="6" l="1"/>
  <c r="M209" i="6" l="1"/>
  <c r="O209" i="6"/>
  <c r="K210" i="6" s="1"/>
  <c r="J210" i="6" l="1"/>
  <c r="M210" i="6" l="1"/>
  <c r="O210" i="6"/>
  <c r="K211" i="6" s="1"/>
  <c r="J211" i="6" l="1"/>
  <c r="M211" i="6" l="1"/>
  <c r="O211" i="6"/>
  <c r="K212" i="6" s="1"/>
  <c r="J212" i="6" l="1"/>
  <c r="M212" i="6" l="1"/>
  <c r="O212" i="6"/>
  <c r="K213" i="6" s="1"/>
  <c r="J213" i="6" l="1"/>
  <c r="M213" i="6" l="1"/>
  <c r="O213" i="6"/>
  <c r="K214" i="6" s="1"/>
  <c r="J214" i="6" l="1"/>
  <c r="M214" i="6" l="1"/>
  <c r="O214" i="6"/>
  <c r="K215" i="6" s="1"/>
  <c r="J215" i="6" l="1"/>
  <c r="M215" i="6" l="1"/>
  <c r="O215" i="6"/>
  <c r="K216" i="6" s="1"/>
  <c r="J216" i="6" l="1"/>
  <c r="M216" i="6" l="1"/>
  <c r="O216" i="6"/>
  <c r="K217" i="6" s="1"/>
  <c r="J217" i="6" l="1"/>
  <c r="M217" i="6" l="1"/>
  <c r="O217" i="6"/>
  <c r="K218" i="6" s="1"/>
  <c r="J218" i="6" l="1"/>
  <c r="M218" i="6" l="1"/>
  <c r="O218" i="6"/>
  <c r="K219" i="6" s="1"/>
  <c r="J219" i="6" l="1"/>
  <c r="M219" i="6" l="1"/>
  <c r="O219" i="6"/>
  <c r="K220" i="6" s="1"/>
  <c r="J220" i="6" l="1"/>
  <c r="M220" i="6" l="1"/>
  <c r="O220" i="6"/>
  <c r="K221" i="6" s="1"/>
  <c r="J221" i="6" l="1"/>
  <c r="M221" i="6" l="1"/>
  <c r="O221" i="6"/>
  <c r="K222" i="6" s="1"/>
  <c r="J222" i="6" l="1"/>
  <c r="M222" i="6" l="1"/>
  <c r="O222" i="6"/>
  <c r="K223" i="6" s="1"/>
  <c r="J223" i="6" l="1"/>
  <c r="M223" i="6" l="1"/>
  <c r="O223" i="6"/>
  <c r="K224" i="6" s="1"/>
  <c r="J224" i="6" l="1"/>
  <c r="M224" i="6" l="1"/>
  <c r="O224" i="6"/>
  <c r="K225" i="6" s="1"/>
  <c r="J225" i="6" l="1"/>
  <c r="M225" i="6" l="1"/>
  <c r="O225" i="6"/>
  <c r="K226" i="6" s="1"/>
  <c r="J226" i="6" l="1"/>
  <c r="M226" i="6" l="1"/>
  <c r="O226" i="6"/>
  <c r="K227" i="6" s="1"/>
  <c r="J227" i="6" l="1"/>
  <c r="M227" i="6" l="1"/>
  <c r="O227" i="6"/>
  <c r="K228" i="6" s="1"/>
  <c r="J228" i="6" l="1"/>
  <c r="M228" i="6" l="1"/>
  <c r="O228" i="6"/>
  <c r="K229" i="6" s="1"/>
  <c r="J229" i="6" l="1"/>
  <c r="M229" i="6" l="1"/>
  <c r="O229" i="6"/>
  <c r="K230" i="6" s="1"/>
  <c r="J230" i="6" l="1"/>
  <c r="M230" i="6" l="1"/>
  <c r="O230" i="6"/>
  <c r="K231" i="6" s="1"/>
  <c r="J231" i="6" l="1"/>
  <c r="M231" i="6" l="1"/>
  <c r="O231" i="6"/>
  <c r="K232" i="6" s="1"/>
  <c r="J232" i="6" l="1"/>
  <c r="M232" i="6" l="1"/>
  <c r="O232" i="6"/>
  <c r="K233" i="6" s="1"/>
  <c r="J233" i="6" l="1"/>
  <c r="M233" i="6" l="1"/>
  <c r="O233" i="6"/>
  <c r="K234" i="6" s="1"/>
  <c r="J234" i="6" l="1"/>
  <c r="M234" i="6" l="1"/>
  <c r="O234" i="6"/>
  <c r="K235" i="6" s="1"/>
  <c r="J235" i="6" l="1"/>
  <c r="M235" i="6" l="1"/>
  <c r="O235" i="6"/>
  <c r="K236" i="6" s="1"/>
  <c r="J236" i="6" l="1"/>
  <c r="M236" i="6" l="1"/>
  <c r="O236" i="6"/>
  <c r="K237" i="6" s="1"/>
  <c r="J237" i="6" l="1"/>
  <c r="M237" i="6" l="1"/>
  <c r="O237" i="6"/>
  <c r="K238" i="6" s="1"/>
  <c r="J238" i="6" l="1"/>
  <c r="M238" i="6" l="1"/>
  <c r="O238" i="6"/>
  <c r="K239" i="6" s="1"/>
  <c r="J239" i="6" l="1"/>
  <c r="M239" i="6" l="1"/>
  <c r="O239" i="6"/>
  <c r="K240" i="6" s="1"/>
  <c r="J240" i="6" l="1"/>
  <c r="M240" i="6" l="1"/>
  <c r="O240" i="6"/>
  <c r="K241" i="6" s="1"/>
  <c r="J241" i="6" l="1"/>
  <c r="M241" i="6" l="1"/>
  <c r="O241" i="6"/>
  <c r="K242" i="6" s="1"/>
  <c r="J242" i="6" l="1"/>
  <c r="M242" i="6" l="1"/>
  <c r="O242" i="6"/>
  <c r="K243" i="6" s="1"/>
  <c r="J243" i="6" l="1"/>
  <c r="M243" i="6" l="1"/>
  <c r="O243" i="6"/>
  <c r="K244" i="6" s="1"/>
  <c r="J244" i="6" l="1"/>
  <c r="M244" i="6" l="1"/>
  <c r="O244" i="6"/>
  <c r="K245" i="6" s="1"/>
  <c r="K246" i="6" s="1"/>
  <c r="J245" i="6" l="1"/>
  <c r="M245" i="6" l="1"/>
  <c r="M246" i="6" s="1"/>
  <c r="J246" i="6"/>
  <c r="O245" i="6"/>
  <c r="O246" i="6" l="1"/>
  <c r="O247" i="6" s="1"/>
  <c r="O24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Білокриницька Марія Станіславівна</author>
  </authors>
  <commentList>
    <comment ref="X2" authorId="0" shapeId="0" xr:uid="{5EAB5B54-CEA2-4308-9E6F-FF7BCF792A0A}">
      <text>
        <r>
          <rPr>
            <b/>
            <sz val="9"/>
            <color indexed="81"/>
            <rFont val="Tahoma"/>
            <family val="2"/>
            <charset val="204"/>
          </rPr>
          <t>умова заповнення решти параметрів</t>
        </r>
      </text>
    </comment>
  </commentList>
</comments>
</file>

<file path=xl/sharedStrings.xml><?xml version="1.0" encoding="utf-8"?>
<sst xmlns="http://schemas.openxmlformats.org/spreadsheetml/2006/main" count="813" uniqueCount="511">
  <si>
    <t>Вид підприємницької діяльності</t>
  </si>
  <si>
    <t>ВФЗД - витрати за діючими кредитами</t>
  </si>
  <si>
    <t>ПВЗ - потенційні витрати за відкритими кредитними заявками в Банку</t>
  </si>
  <si>
    <t>А - аліменти за відповідний період</t>
  </si>
  <si>
    <t>n - фактична к-сть місяців, впродовж яких боржник отримував доходи у вигляді з/п (від 3-ьох до 6-ти міс)</t>
  </si>
  <si>
    <t>ДП - сума доходу боржника у вигляді пенсії за останній міс</t>
  </si>
  <si>
    <t>СД - сума вкладу</t>
  </si>
  <si>
    <t>Схема погашення</t>
  </si>
  <si>
    <t>сімейний стан</t>
  </si>
  <si>
    <t>к-сть дітей</t>
  </si>
  <si>
    <t>Місце проживання</t>
  </si>
  <si>
    <t>Місце реєстрації</t>
  </si>
  <si>
    <t>Місце знаходження нерухомості, яка придбавається</t>
  </si>
  <si>
    <t>№</t>
  </si>
  <si>
    <t>Місто</t>
  </si>
  <si>
    <t>Область ,АРК, міськрада</t>
  </si>
  <si>
    <t>Група</t>
  </si>
  <si>
    <t>МП</t>
  </si>
  <si>
    <t>Примітка</t>
  </si>
  <si>
    <t>м. Київ</t>
  </si>
  <si>
    <t>Київська</t>
  </si>
  <si>
    <t>Київ</t>
  </si>
  <si>
    <t>м. Харків</t>
  </si>
  <si>
    <t>Харківська</t>
  </si>
  <si>
    <t>Великі міста</t>
  </si>
  <si>
    <t>міста і міськради із чисельністю населення 100 тис. осіб і більше</t>
  </si>
  <si>
    <t>м. Одеса</t>
  </si>
  <si>
    <t>Одеська</t>
  </si>
  <si>
    <t>м. Дніпро</t>
  </si>
  <si>
    <t>Дніпропетровська</t>
  </si>
  <si>
    <t>м. Донецьк</t>
  </si>
  <si>
    <t>Донецька</t>
  </si>
  <si>
    <t>м. Запоріжжя</t>
  </si>
  <si>
    <t>Запорізька</t>
  </si>
  <si>
    <t>м. Львів</t>
  </si>
  <si>
    <t>Львівська</t>
  </si>
  <si>
    <t>м. Кривий Ріг</t>
  </si>
  <si>
    <t>м. Миколаїв</t>
  </si>
  <si>
    <t>Миколаївська</t>
  </si>
  <si>
    <t>м. Маріуполь</t>
  </si>
  <si>
    <t>м. Севастополь</t>
  </si>
  <si>
    <t>Севастополь</t>
  </si>
  <si>
    <t>м. Луганськ</t>
  </si>
  <si>
    <t>Луганська</t>
  </si>
  <si>
    <t>м. Вінниця</t>
  </si>
  <si>
    <t>Вінницька</t>
  </si>
  <si>
    <t>м. Сімферополь</t>
  </si>
  <si>
    <t>АР Крим</t>
  </si>
  <si>
    <t>м. Макіївка</t>
  </si>
  <si>
    <t>м. Херсон</t>
  </si>
  <si>
    <t>Херсонська</t>
  </si>
  <si>
    <t>м. Чернігів</t>
  </si>
  <si>
    <t>Чернігівська</t>
  </si>
  <si>
    <t>м. Полтава</t>
  </si>
  <si>
    <t>Полтавська</t>
  </si>
  <si>
    <t>м. Черкаси</t>
  </si>
  <si>
    <t>Черкаська</t>
  </si>
  <si>
    <t>м. Хмельницький</t>
  </si>
  <si>
    <t>Хмельницька</t>
  </si>
  <si>
    <t>м. Чернівці</t>
  </si>
  <si>
    <t>Чернівецька</t>
  </si>
  <si>
    <t>м. Житомир</t>
  </si>
  <si>
    <t>Житомирська</t>
  </si>
  <si>
    <t>м. Суми</t>
  </si>
  <si>
    <t>Сумська</t>
  </si>
  <si>
    <t>м. Рівне</t>
  </si>
  <si>
    <t>Рівненська</t>
  </si>
  <si>
    <t>м. Горлівка</t>
  </si>
  <si>
    <t>м. Івано-Франківськ</t>
  </si>
  <si>
    <t>Івано-Франківська</t>
  </si>
  <si>
    <t>м. Кам'янське</t>
  </si>
  <si>
    <t>м. Кропивницький</t>
  </si>
  <si>
    <t>Кіровоградська</t>
  </si>
  <si>
    <t>м. Тернопіль</t>
  </si>
  <si>
    <t>Тернопільська</t>
  </si>
  <si>
    <t>м. Кременчук</t>
  </si>
  <si>
    <t>м. Луцьк</t>
  </si>
  <si>
    <t>Волинська</t>
  </si>
  <si>
    <t>м. Біла Церква</t>
  </si>
  <si>
    <t>м. Краматорськ</t>
  </si>
  <si>
    <t>м. Мелітополь</t>
  </si>
  <si>
    <t>м. Керч</t>
  </si>
  <si>
    <t>м. Ужгород</t>
  </si>
  <si>
    <t>Закарпатська</t>
  </si>
  <si>
    <t>м. Бердянськ</t>
  </si>
  <si>
    <t>м. Нікополь</t>
  </si>
  <si>
    <t>м. Слов'янськ</t>
  </si>
  <si>
    <t>м. Бровари</t>
  </si>
  <si>
    <t>м. Євпаторія</t>
  </si>
  <si>
    <t>м. Алчевськ</t>
  </si>
  <si>
    <t>м. Павлоград</t>
  </si>
  <si>
    <t>м. Сєвєродонецьк</t>
  </si>
  <si>
    <t>Інші (малі міста, сільська місцевість)</t>
  </si>
  <si>
    <t>-</t>
  </si>
  <si>
    <t>Інші</t>
  </si>
  <si>
    <t>міста, селища міського типу, міськради і селищні ради із чисельністю населення менше 100 тис. осіб</t>
  </si>
  <si>
    <t>дата народження</t>
  </si>
  <si>
    <t>Дохід у вигляді з/п</t>
  </si>
  <si>
    <t>Дохід у вигляді пенсії</t>
  </si>
  <si>
    <t>Дохід у вигляді підприємницького доходу</t>
  </si>
  <si>
    <t>Дохід у вигляді вкладу</t>
  </si>
  <si>
    <t>Дохід у вигляді дивідендів</t>
  </si>
  <si>
    <t xml:space="preserve">Дохід у вигляді оренди, незалежної професійної діяльності, ін доходів </t>
  </si>
  <si>
    <t>Витрати</t>
  </si>
  <si>
    <t>Боржник</t>
  </si>
  <si>
    <t>Подружжя</t>
  </si>
  <si>
    <t>Загальна сума заборгованості за усіма діючими кредитами в АТ "КРЕДОБАНК"</t>
  </si>
  <si>
    <r>
      <t xml:space="preserve">Б1КРЕДО - сукупна заборгованість </t>
    </r>
    <r>
      <rPr>
        <sz val="11"/>
        <color rgb="FFFF0000"/>
        <rFont val="Calibri"/>
        <family val="2"/>
        <charset val="204"/>
        <scheme val="minor"/>
      </rPr>
      <t>клієнта</t>
    </r>
    <r>
      <rPr>
        <sz val="11"/>
        <rFont val="Calibri"/>
        <family val="2"/>
        <scheme val="minor"/>
      </rPr>
      <t xml:space="preserve"> за </t>
    </r>
    <r>
      <rPr>
        <sz val="11"/>
        <color rgb="FF00B0F0"/>
        <rFont val="Calibri"/>
        <family val="2"/>
        <charset val="204"/>
        <scheme val="minor"/>
      </rPr>
      <t>усіма кредитами</t>
    </r>
    <r>
      <rPr>
        <sz val="11"/>
        <rFont val="Calibri"/>
        <family val="2"/>
        <scheme val="minor"/>
      </rPr>
      <t xml:space="preserve"> в АТ «КРЕДОБАНК» з урахуванням усієї суми встановлених кредитних лімітів</t>
    </r>
  </si>
  <si>
    <r>
      <t xml:space="preserve">Б1ПО - сукупна заборгованість </t>
    </r>
    <r>
      <rPr>
        <sz val="11"/>
        <color rgb="FFFF0000"/>
        <rFont val="Calibri"/>
        <family val="2"/>
        <charset val="204"/>
        <scheme val="minor"/>
      </rPr>
      <t>усіх пов’язаних</t>
    </r>
    <r>
      <rPr>
        <sz val="11"/>
        <rFont val="Calibri"/>
        <family val="2"/>
        <scheme val="minor"/>
      </rPr>
      <t xml:space="preserve"> з клієнтом фізичних осіб за </t>
    </r>
    <r>
      <rPr>
        <sz val="11"/>
        <color rgb="FF00B0F0"/>
        <rFont val="Calibri"/>
        <family val="2"/>
        <charset val="204"/>
        <scheme val="minor"/>
      </rPr>
      <t>усіма кредитами</t>
    </r>
    <r>
      <rPr>
        <sz val="11"/>
        <rFont val="Calibri"/>
        <family val="2"/>
        <scheme val="minor"/>
      </rPr>
      <t xml:space="preserve"> в АТ «КРЕДОБАНК» з урахуванням усієї суми встановлених кредитних лімітів</t>
    </r>
  </si>
  <si>
    <r>
      <t xml:space="preserve">Б1ЗА - сукупна заборгованість, яку </t>
    </r>
    <r>
      <rPr>
        <sz val="11"/>
        <color rgb="FFFF0000"/>
        <rFont val="Calibri"/>
        <family val="2"/>
        <charset val="204"/>
        <scheme val="minor"/>
      </rPr>
      <t>може отримати клієнт</t>
    </r>
    <r>
      <rPr>
        <sz val="11"/>
        <color theme="1"/>
        <rFont val="Calibri"/>
        <family val="2"/>
        <scheme val="minor"/>
      </rPr>
      <t xml:space="preserve"> за </t>
    </r>
    <r>
      <rPr>
        <sz val="11"/>
        <color rgb="FF00B0F0"/>
        <rFont val="Calibri"/>
        <family val="2"/>
        <charset val="204"/>
        <scheme val="minor"/>
      </rPr>
      <t>усіма відкритими (незавершеними) заявками</t>
    </r>
    <r>
      <rPr>
        <sz val="11"/>
        <color theme="1"/>
        <rFont val="Calibri"/>
        <family val="2"/>
        <scheme val="minor"/>
      </rPr>
      <t xml:space="preserve"> на отримання кредитів/встановлення кредитних лімітів в АТ «КРЕДОБАНК»</t>
    </r>
  </si>
  <si>
    <r>
      <t xml:space="preserve">Б1ЗАПО - сукупна заборгованість, яку </t>
    </r>
    <r>
      <rPr>
        <sz val="11"/>
        <color rgb="FFFF0000"/>
        <rFont val="Calibri"/>
        <family val="2"/>
        <charset val="204"/>
        <scheme val="minor"/>
      </rPr>
      <t>можуть отримати пов’язані</t>
    </r>
    <r>
      <rPr>
        <sz val="11"/>
        <color theme="1"/>
        <rFont val="Calibri"/>
        <family val="2"/>
        <scheme val="minor"/>
      </rPr>
      <t xml:space="preserve"> з клієнтом фізичні особи за </t>
    </r>
    <r>
      <rPr>
        <sz val="11"/>
        <color rgb="FF00B0F0"/>
        <rFont val="Calibri"/>
        <family val="2"/>
        <charset val="204"/>
        <scheme val="minor"/>
      </rPr>
      <t>усіма відкритими (незавершеними) заявками</t>
    </r>
    <r>
      <rPr>
        <sz val="11"/>
        <color theme="1"/>
        <rFont val="Calibri"/>
        <family val="2"/>
        <scheme val="minor"/>
      </rPr>
      <t xml:space="preserve"> на отримання кредитів/встановлення кредитних лімітів в АТ «КРЕДОБАНК»</t>
    </r>
  </si>
  <si>
    <t>L1</t>
  </si>
  <si>
    <t>ММСК</t>
  </si>
  <si>
    <t>ЗКП</t>
  </si>
  <si>
    <t>L2</t>
  </si>
  <si>
    <t>СМД зарплата</t>
  </si>
  <si>
    <t>СМД пенсія</t>
  </si>
  <si>
    <t>СМД підприємницький дохід</t>
  </si>
  <si>
    <t>СМД вклад</t>
  </si>
  <si>
    <t>СМД дивіденди</t>
  </si>
  <si>
    <t>СМД оренда</t>
  </si>
  <si>
    <t>КВ - коефіцієнт витрат</t>
  </si>
  <si>
    <t>Виробництво</t>
  </si>
  <si>
    <t>Надання інтелектуальних послуг</t>
  </si>
  <si>
    <t>Надання послуг з розробки програмного забезпечення та інформатизації</t>
  </si>
  <si>
    <t>Торгівельна, торгово-посередницька діяльність, надання інших послуг</t>
  </si>
  <si>
    <t>Надання в оренду власних житлових та нежитлових приміщень/власних ТЗ</t>
  </si>
  <si>
    <t>СМД боржника/СМД подружжя</t>
  </si>
  <si>
    <t>СМДС</t>
  </si>
  <si>
    <t>L3</t>
  </si>
  <si>
    <t>УВК ПР (%)</t>
  </si>
  <si>
    <t>УВК (%)</t>
  </si>
  <si>
    <t>L4</t>
  </si>
  <si>
    <t>PTI</t>
  </si>
  <si>
    <t>ОПК</t>
  </si>
  <si>
    <t>ОПК ануїтет</t>
  </si>
  <si>
    <t>ОПК класика</t>
  </si>
  <si>
    <t>L5</t>
  </si>
  <si>
    <t>КФН</t>
  </si>
  <si>
    <t>I</t>
  </si>
  <si>
    <t>МП1</t>
  </si>
  <si>
    <t>МП2</t>
  </si>
  <si>
    <t>МП3</t>
  </si>
  <si>
    <t>m</t>
  </si>
  <si>
    <t>ФВ</t>
  </si>
  <si>
    <t>ОПК =  (r/1200*(1 + r/1200)^T) / (((1 + r/1200)^T) - 1) + j/100 - ануїтет</t>
  </si>
  <si>
    <t>ОПК= 1/Т+r/100*31/360+j/100 - класична</t>
  </si>
  <si>
    <t>L6</t>
  </si>
  <si>
    <t>не застосовується</t>
  </si>
  <si>
    <t>L7</t>
  </si>
  <si>
    <t>МЛскз</t>
  </si>
  <si>
    <t>ЗКЗ</t>
  </si>
  <si>
    <t>L8</t>
  </si>
  <si>
    <t>L9</t>
  </si>
  <si>
    <t>L10</t>
  </si>
  <si>
    <t>L11</t>
  </si>
  <si>
    <t>L12</t>
  </si>
  <si>
    <t>L13</t>
  </si>
  <si>
    <t>LTV</t>
  </si>
  <si>
    <t>Коефіцієнт витрат, пов’язаних з веденням підприємницької діяльності (у % до суми валового доходу)</t>
  </si>
  <si>
    <t>L</t>
  </si>
  <si>
    <t>Доступна сума кредиту L</t>
  </si>
  <si>
    <t>Константи</t>
  </si>
  <si>
    <t>Не зазначено</t>
  </si>
  <si>
    <t>Розрахунок суми</t>
  </si>
  <si>
    <t>Розрахунок класу</t>
  </si>
  <si>
    <t>СЧД</t>
  </si>
  <si>
    <t>КПП</t>
  </si>
  <si>
    <t>КВБ</t>
  </si>
  <si>
    <t>КЗ</t>
  </si>
  <si>
    <t>Д</t>
  </si>
  <si>
    <t>Квартал в якому клієнт звернувся за отриманням кредиту</t>
  </si>
  <si>
    <t>Річна сума доходу, отримана позичальником від п.д. за звітний рік, що передує поточному</t>
  </si>
  <si>
    <t>Визначення динаміки доходів від підприємницької діяльності</t>
  </si>
  <si>
    <t>Дпоточ</t>
  </si>
  <si>
    <t>Дмин</t>
  </si>
  <si>
    <t>макс міс платіж</t>
  </si>
  <si>
    <t>сер сук чистий дохід</t>
  </si>
  <si>
    <t>коеф платоспром</t>
  </si>
  <si>
    <t>коеф витрат на обсл боргу</t>
  </si>
  <si>
    <t>коеф забезп</t>
  </si>
  <si>
    <t>динаміка доходів від підприємницької діяльності</t>
  </si>
  <si>
    <t>Кількісні</t>
  </si>
  <si>
    <t>Якісні</t>
  </si>
  <si>
    <t>Трудовий стаж за основним місцем праці</t>
  </si>
  <si>
    <t>Майновий стан</t>
  </si>
  <si>
    <t>Вік</t>
  </si>
  <si>
    <t>Сімейний стан &amp; Діти</t>
  </si>
  <si>
    <t>Динаміка доходів</t>
  </si>
  <si>
    <t>для фізичних осіб, що здійснюють підприємницьку діяльність та незалежну професійну діяльність</t>
  </si>
  <si>
    <t>Д ≥ 10 %</t>
  </si>
  <si>
    <t>0 ≤ Д &lt; 10%</t>
  </si>
  <si>
    <t>Дмин. ≤ 0, Дпоточ. &gt; 0, або</t>
  </si>
  <si>
    <t>Дмин-1 &lt; 0, Дмин &gt; 0</t>
  </si>
  <si>
    <t>-10%  ≤ Д &lt; 0</t>
  </si>
  <si>
    <t>Д &lt; -10%, або</t>
  </si>
  <si>
    <t>Дмин ≤ 0, Дпоточ ≤ 0 (Дмин-1 ≤ 0, Дмин ≤ 0), або</t>
  </si>
  <si>
    <t>Дмин &gt; 0 Дпоточ ≤ 0 (Дмин-1 &gt; 0, Дмин ≤ 0)</t>
  </si>
  <si>
    <t>Дмин-1 = 0, Дмин &gt; 0</t>
  </si>
  <si>
    <t>Дмин = 0, Дпоточ &gt; 0</t>
  </si>
  <si>
    <t>Трудовий стаж за основним місцем праці, міс</t>
  </si>
  <si>
    <t>Автомобіль</t>
  </si>
  <si>
    <t>Будинок</t>
  </si>
  <si>
    <t>Земельна ділянка</t>
  </si>
  <si>
    <t>Квартира</t>
  </si>
  <si>
    <t>Інша власність</t>
  </si>
  <si>
    <t>Кількість днів прострочки</t>
  </si>
  <si>
    <t>1)</t>
  </si>
  <si>
    <t>2)</t>
  </si>
  <si>
    <t>3)</t>
  </si>
  <si>
    <t>4)</t>
  </si>
  <si>
    <t>Обов'язкові до заповнення всі клітинки (так/ні)</t>
  </si>
  <si>
    <t>КД - кількість днів прострочки на момент розрахунку</t>
  </si>
  <si>
    <t>Дмин-1</t>
  </si>
  <si>
    <t>ММП</t>
  </si>
  <si>
    <t>S</t>
  </si>
  <si>
    <t>Інтегральна оцінка</t>
  </si>
  <si>
    <t>Показник 1</t>
  </si>
  <si>
    <t>Показник 2</t>
  </si>
  <si>
    <t>Показник 3</t>
  </si>
  <si>
    <t xml:space="preserve">Показник 1 </t>
  </si>
  <si>
    <t>3 000 ≤ S &lt; 3 500</t>
  </si>
  <si>
    <t>2 000 ≤ S &lt;3 000</t>
  </si>
  <si>
    <t>1 250 ≤  S &lt; 2 000</t>
  </si>
  <si>
    <t>S &lt; 1 250</t>
  </si>
  <si>
    <t>Сукупний розмір внесків боржника на погашення боргу (Показник 2 )</t>
  </si>
  <si>
    <t>Кофіцієнт витрат на обслуговування боргу</t>
  </si>
  <si>
    <t xml:space="preserve">Показник 2 </t>
  </si>
  <si>
    <t>КВБ ≤ 0,5</t>
  </si>
  <si>
    <t>0,5 &lt; КВБ ≤ 0,6</t>
  </si>
  <si>
    <t>0,6 &lt; КВБ ≤ 0,7</t>
  </si>
  <si>
    <t>0,7 &lt; КВБ ≤ 0,8</t>
  </si>
  <si>
    <t>КВБ &gt; 0,8</t>
  </si>
  <si>
    <t>Кількість календарних днів прострочення погашення боргу (Показник 3)</t>
  </si>
  <si>
    <t>Кількість календарних днів прострочення погашення боргу</t>
  </si>
  <si>
    <t>Кількість днів ≤ 7 днів</t>
  </si>
  <si>
    <t>8≤ Кількість днів ≤30</t>
  </si>
  <si>
    <t>31≤ Кількість днів ≤ 60</t>
  </si>
  <si>
    <t>61≤ Кількість днів ≤ 90</t>
  </si>
  <si>
    <t>Кількість днів ≥ 91</t>
  </si>
  <si>
    <t>Інтегральна оцінки боржника (Показник 1 )</t>
  </si>
  <si>
    <r>
      <t>Інтегральна оцінка</t>
    </r>
    <r>
      <rPr>
        <sz val="11"/>
        <color theme="1"/>
        <rFont val="Times New Roman"/>
        <family val="1"/>
        <charset val="204"/>
      </rPr>
      <t xml:space="preserve"> б</t>
    </r>
    <r>
      <rPr>
        <b/>
        <sz val="11"/>
        <color theme="1"/>
        <rFont val="Times New Roman"/>
        <family val="1"/>
        <charset val="204"/>
      </rPr>
      <t>оржника</t>
    </r>
  </si>
  <si>
    <r>
      <t xml:space="preserve">S </t>
    </r>
    <r>
      <rPr>
        <sz val="11"/>
        <color theme="1"/>
        <rFont val="Symbol"/>
        <family val="1"/>
        <charset val="2"/>
      </rPr>
      <t>³</t>
    </r>
    <r>
      <rPr>
        <sz val="11"/>
        <color theme="1"/>
        <rFont val="Times New Roman"/>
        <family val="1"/>
        <charset val="204"/>
      </rPr>
      <t xml:space="preserve"> 3 500</t>
    </r>
  </si>
  <si>
    <t>Таблиця балів</t>
  </si>
  <si>
    <t>Кількісні показники</t>
  </si>
  <si>
    <t>Коефіцієнт плато-спроможності позичальника
(КПП)</t>
  </si>
  <si>
    <t>КПП &gt; 1,15</t>
  </si>
  <si>
    <t>1,1&lt; КПП ≤ 1,15</t>
  </si>
  <si>
    <t>1,05 &lt; КПП ≤ 1,1</t>
  </si>
  <si>
    <t>1 &lt; КПП ≤ 1,05</t>
  </si>
  <si>
    <t>0,5 &lt; КПП ≤ 1</t>
  </si>
  <si>
    <t>КПП ≤ 0,5</t>
  </si>
  <si>
    <t xml:space="preserve">Коефіцієнт забезпечення </t>
  </si>
  <si>
    <t>КЗ &lt; 0,5</t>
  </si>
  <si>
    <t>КЗ ≥  1,3</t>
  </si>
  <si>
    <t>Коефіцієнт витрат на обслуговування боргу
(КВБ)</t>
  </si>
  <si>
    <t>КВБ &lt; 0,85</t>
  </si>
  <si>
    <t>Сукупні чисті надходження (СЧД)</t>
  </si>
  <si>
    <t>СЧД ≥ ММП</t>
  </si>
  <si>
    <t>СЧД &lt; ММП</t>
  </si>
  <si>
    <t>Якісні показники</t>
  </si>
  <si>
    <t>менший або рівний 35 місяців</t>
  </si>
  <si>
    <t>більший 35 місяців, але менший або рівний 83 місяців</t>
  </si>
  <si>
    <t>більший 83 місяців, але менший або рівний 195 місяців</t>
  </si>
  <si>
    <t>більший 195 місяців</t>
  </si>
  <si>
    <t>автомобіль, будинок; 
автомобіль, будинок, інша власність; 
автомобіль, інша власність; 
земельна ділянка, автомобіль; 
квартира, автомобіль, будинок; 
квартира, будинок; 
квартира, будинок, земельна ділянка; 
квартира, будинок, інша власність;</t>
  </si>
  <si>
    <t>автомобіль, будинок, земельна ділянка; 
будинок; 
будинок, автомобіль, земельна ділянка, інша власність; 
будинок, інша власність; 
земельна ділянка, інша власність; 
квартира,; 
квартира, автомобіль, земельна ділянка, інша власність</t>
  </si>
  <si>
    <t>автомобіль; 
квартира, автомобіль, будинок, земельна ділянка; 
квартира, автомобіль, земельна ділянка; 
квартира, автомобіль, інша власність; 
квартира, земельна ділянка; 
квартира, інша власність; 
Не має жодного майна у власності; 
квартира, автомобіль; 
земельна ділянка;</t>
  </si>
  <si>
    <t>автомобіль, земельна ділянка, інша власність; 
будинок, земельна ділянка; 
будинок, земельна ділянка, інша власність; 
інша власність; 
квартира, автомобіль, будинок, земельна ділянка, інша власність; 
квартира, будинок, земельна ділянка, інша власність; 
квартира, земельна ділянка, інша власність;</t>
  </si>
  <si>
    <t>менший або рівний 25 років</t>
  </si>
  <si>
    <t>більший 25 років, але менший або рівний 40 років</t>
  </si>
  <si>
    <t>більший 40 років, але менший або рівний 48 років</t>
  </si>
  <si>
    <t>більший 48 років, але менший або рівний 55 років</t>
  </si>
  <si>
    <t>більший 55 років</t>
  </si>
  <si>
    <t>не одружений(на) і має дітей;
не одружений(на) і не має дітей;
розлучений(на) і має дітей;
не зареєстрований шлюб і не має дітей;</t>
  </si>
  <si>
    <t>вдова/вдівець і не має дітей;
зареєстрований шлюб і має дітей;
не зареєстрований шлюб і має дітей</t>
  </si>
  <si>
    <t>вдова/вдівець і має дітей;
зареєстрований шлюб і не має дітей;
розлучений(на) і не має дітей</t>
  </si>
  <si>
    <t>Кредитна історія боржника
КД - кількість днів прострочки на момент розрахунку</t>
  </si>
  <si>
    <t>КД ≤ 7 днів</t>
  </si>
  <si>
    <t>8≤ КД ≤30</t>
  </si>
  <si>
    <t>31≤ КД ≤ 60</t>
  </si>
  <si>
    <t>61≤ КД ≤ 90</t>
  </si>
  <si>
    <t>КД ≥ 91</t>
  </si>
  <si>
    <t>для фізичних осіб, що не здійснюють підприємницької діяльності/ незалежної професійної діяльності</t>
  </si>
  <si>
    <t>0,5 &lt;= КЗ &lt; 0,7</t>
  </si>
  <si>
    <t>0,7 &lt;= КЗ &lt; 0,8</t>
  </si>
  <si>
    <t>0,8 &lt;= КЗ &lt; 1</t>
  </si>
  <si>
    <t>1 &lt;= КЗ &lt; 1,3</t>
  </si>
  <si>
    <t>0,95 &lt;= КВБ &lt; 1</t>
  </si>
  <si>
    <t>1 &lt;= КВБ &lt; 2</t>
  </si>
  <si>
    <t>0,9 &lt;= КВБ &lt; 0,95</t>
  </si>
  <si>
    <t>0,85 &lt;= КВБ &lt; 0,9</t>
  </si>
  <si>
    <t>Клас</t>
  </si>
  <si>
    <t>ПЗВ</t>
  </si>
  <si>
    <t>БВС</t>
  </si>
  <si>
    <t>Таблиця МП</t>
  </si>
  <si>
    <t>Таблиця БВС</t>
  </si>
  <si>
    <t>Кількість членів сім'ї</t>
  </si>
  <si>
    <t>&gt;=5</t>
  </si>
  <si>
    <t>розрахунок</t>
  </si>
  <si>
    <t>Д - середньомісячна сума доходу у вигляді з/п</t>
  </si>
  <si>
    <t>Д - середньомісячна сума доходу від дивідендів</t>
  </si>
  <si>
    <t>П - середньомісячні податки повязані із виплатою дивідендів</t>
  </si>
  <si>
    <t>ВОД - середньомісячні витрати, пов’язані з отриманням доходів від оренди, незалежної професійної діяльності, інших доходів</t>
  </si>
  <si>
    <t>Іс</t>
  </si>
  <si>
    <t>ВФЗС</t>
  </si>
  <si>
    <t>В - задекларовані витрати на проживання</t>
  </si>
  <si>
    <t>витрати на проживання</t>
  </si>
  <si>
    <t>ФВкпп</t>
  </si>
  <si>
    <t>СДР</t>
  </si>
  <si>
    <t>Поручитель</t>
  </si>
  <si>
    <t>Подружжя поручителя</t>
  </si>
  <si>
    <t>Сума ануїтету</t>
  </si>
  <si>
    <t>Сума кредиту</t>
  </si>
  <si>
    <t>Дата формування:</t>
  </si>
  <si>
    <t xml:space="preserve">Процентний платіж </t>
  </si>
  <si>
    <t>Ставка кредиту</t>
  </si>
  <si>
    <t>Відсоткові ставки на різні періоди</t>
  </si>
  <si>
    <t>Графік погашення кредиту</t>
  </si>
  <si>
    <t>Платіж по основній сумі</t>
  </si>
  <si>
    <t>Строк кредиту</t>
  </si>
  <si>
    <t>№ платежу</t>
  </si>
  <si>
    <t>Розмір ануїтету</t>
  </si>
  <si>
    <t>Погашення суми кредиту</t>
  </si>
  <si>
    <t>Сплата відсотків</t>
  </si>
  <si>
    <t>Сплата щомісячної комісії</t>
  </si>
  <si>
    <t>Всього платежів</t>
  </si>
  <si>
    <t>Залишок заборгованості</t>
  </si>
  <si>
    <t>Дата розрахунку</t>
  </si>
  <si>
    <t>Комісія за управління</t>
  </si>
  <si>
    <t>%</t>
  </si>
  <si>
    <t>грн.</t>
  </si>
  <si>
    <t xml:space="preserve">Періодичність сплати (міс.) </t>
  </si>
  <si>
    <t>Валюта</t>
  </si>
  <si>
    <t>Сума ануїтету (грн.)</t>
  </si>
  <si>
    <t>Дата погашення кредиту</t>
  </si>
  <si>
    <t>min</t>
  </si>
  <si>
    <t>max</t>
  </si>
  <si>
    <t>UAH</t>
  </si>
  <si>
    <t>% ставки</t>
  </si>
  <si>
    <t>термін кредиту</t>
  </si>
  <si>
    <t>День оплати</t>
  </si>
  <si>
    <t>% комісії за управління</t>
  </si>
  <si>
    <t>Строк кредиту після 15 числа</t>
  </si>
  <si>
    <t>Останній платіж</t>
  </si>
  <si>
    <t>Ануїтет</t>
  </si>
  <si>
    <t>Категорія продукту</t>
  </si>
  <si>
    <t>ОПК(1)</t>
  </si>
  <si>
    <t>ОПК(2)</t>
  </si>
  <si>
    <t>ОПК(3)</t>
  </si>
  <si>
    <t>ОПК(4)</t>
  </si>
  <si>
    <t>Класика</t>
  </si>
  <si>
    <t>залежить від категорії продукту і вартості забезпечення</t>
  </si>
  <si>
    <t>Дата сплати</t>
  </si>
  <si>
    <t>Дата початку дії ставки 1</t>
  </si>
  <si>
    <t>Дата початку дії ставки 2</t>
  </si>
  <si>
    <t>Дата початку дії ставки 3</t>
  </si>
  <si>
    <t>Дата початку дії ставки 4</t>
  </si>
  <si>
    <t>Інші члени родини</t>
  </si>
  <si>
    <t>Максимальна сума</t>
  </si>
  <si>
    <t>БЗКРЕДО - сукупна сума кредитів боржника в АТ «КРЕДОБАНК» за продуктом</t>
  </si>
  <si>
    <t>БЗКРЕДО - сукупна сума кредитів поручителя в АТ «КРЕДОБАНК» за продуктом</t>
  </si>
  <si>
    <t>БЗЗА - сукупна заборгованість за усіма відкритими (незавершеними) заявками боржника за продуктом</t>
  </si>
  <si>
    <t>АВТОКРЕДИТ</t>
  </si>
  <si>
    <t>ІПОТЕКА</t>
  </si>
  <si>
    <t>БЗЗА - сукупна заборгованість за усіма відкритими (незавершеними) заявками почучителя за продуктом</t>
  </si>
  <si>
    <t>СМД поручителя/СМД подружжя поручителя</t>
  </si>
  <si>
    <t>ПЛАТОСПРОМОЖНІСТЬ ПОРУЧИТЕЛЯ</t>
  </si>
  <si>
    <t>Вартість об'єкту кредитування, грн</t>
  </si>
  <si>
    <t>Участь власними коштами, грн</t>
  </si>
  <si>
    <t>Сукупна заставна вартість об’єктів застави, грн</t>
  </si>
  <si>
    <t>Бажана сума кредиту, грн</t>
  </si>
  <si>
    <t>Буфер ризику % ставки</t>
  </si>
  <si>
    <t>Строк кредитного договору</t>
  </si>
  <si>
    <t>Коректа процентного ризику (буфер)</t>
  </si>
  <si>
    <t>&lt; = 24 місяців</t>
  </si>
  <si>
    <t>&gt; 24 та  ≤ 60 місяців</t>
  </si>
  <si>
    <t>&gt; 60 місяців</t>
  </si>
  <si>
    <t>тип % ставки</t>
  </si>
  <si>
    <t>- обов'язкові поля</t>
  </si>
  <si>
    <t>Д - середньомісячний дохід від вкладу (після оподаткування)</t>
  </si>
  <si>
    <t>Д - середньомісячна сума доходу від діяльності ФОП</t>
  </si>
  <si>
    <t>П - середньомісячні податки повязані із діяльностю ФОП</t>
  </si>
  <si>
    <t>ЗВП - середньомісячні задекларовані витрати фізичної особи підприємця, пов'язані із веденням госп дія-сті</t>
  </si>
  <si>
    <t>Д - середньомісячна сума доходу від оренди, незалежної професійної діяльності, інших доходів (після оподаткування)</t>
  </si>
  <si>
    <t>Тип доходу</t>
  </si>
  <si>
    <t>Чи враховувати комісію за видачу до суми кредиту?</t>
  </si>
  <si>
    <t>Чи враховувати доходи інших членів родини?</t>
  </si>
  <si>
    <t>Чи враховувати страховий платіж до суми кредиту?</t>
  </si>
  <si>
    <t>Чи враховувати платіж КАСКО до суми кредиту?</t>
  </si>
  <si>
    <t>Івп</t>
  </si>
  <si>
    <t>термін дії ставки, міс</t>
  </si>
  <si>
    <t>Бажана сума кредиту з врахуванням платежів, грн</t>
  </si>
  <si>
    <t>залежить від категорії продукту і авансу</t>
  </si>
  <si>
    <t>Автокредити - min аванс</t>
  </si>
  <si>
    <t>Значення</t>
  </si>
  <si>
    <t>Вартість атомобіля</t>
  </si>
  <si>
    <t>залежить від вартості об'єкту кредитування</t>
  </si>
  <si>
    <t>Ні</t>
  </si>
  <si>
    <t>Автокредит</t>
  </si>
  <si>
    <t>ануїтет</t>
  </si>
  <si>
    <t>Фіксована</t>
  </si>
  <si>
    <t>не одружений(на)</t>
  </si>
  <si>
    <t>Нотаріальні послуги (одноразово)</t>
  </si>
  <si>
    <t>Комісія за видачу кредиту (грн)</t>
  </si>
  <si>
    <t>Страхування КАСКО, щорічно (грн)</t>
  </si>
  <si>
    <t>Пенсійний фонд</t>
  </si>
  <si>
    <t>Без ПДВ</t>
  </si>
  <si>
    <t>Реальна ставка</t>
  </si>
  <si>
    <t>Відсотки</t>
  </si>
  <si>
    <t>Загальні витрати за кредитом, грн</t>
  </si>
  <si>
    <t>Загальна вартість кредиту, грн</t>
  </si>
  <si>
    <t>Термін</t>
  </si>
  <si>
    <t>Кредитний продукт</t>
  </si>
  <si>
    <t>Ануїтетна</t>
  </si>
  <si>
    <t xml:space="preserve">ГРАФІК ПОГАШЕННЯ КРЕДИТУ </t>
  </si>
  <si>
    <t>Місяць</t>
  </si>
  <si>
    <t>Розмір щомісячних внесків з повернення кредиту, грн.</t>
  </si>
  <si>
    <t>Щомісячна плата за кредитне обслуговування, грн.</t>
  </si>
  <si>
    <t>Розмір щомісячних процентних внесків, грн.</t>
  </si>
  <si>
    <t>Загальна сума внесків до повернення в місяць, грн.</t>
  </si>
  <si>
    <t>Вартість автомобіля (грн)</t>
  </si>
  <si>
    <t>Чи достатня вартість авансового платежу?</t>
  </si>
  <si>
    <t>Відсоткова ставка річна (%)</t>
  </si>
  <si>
    <t>Відображення авансу (сума або % )</t>
  </si>
  <si>
    <t>Термін кредитування (міс)</t>
  </si>
  <si>
    <t>Комісія за видачу кредиту (%)</t>
  </si>
  <si>
    <t xml:space="preserve"> </t>
  </si>
  <si>
    <t>Варіанти НВ</t>
  </si>
  <si>
    <t>Страхування НВ (%)</t>
  </si>
  <si>
    <t>Страхування НВ (грн)</t>
  </si>
  <si>
    <t>Чи додати страхування НВ до суми кредиту?</t>
  </si>
  <si>
    <t>Так</t>
  </si>
  <si>
    <t>Страхування КАСКО (%)</t>
  </si>
  <si>
    <t>Страхування КАСКО (грн)</t>
  </si>
  <si>
    <t>без комісії за видачу</t>
  </si>
  <si>
    <t>вартість-аванс</t>
  </si>
  <si>
    <t>сума дод. страхування</t>
  </si>
  <si>
    <t>Дата</t>
  </si>
  <si>
    <t>Число</t>
  </si>
  <si>
    <t>*Дана сума є орієнтовною і може відрізнятися від суми щомісячного платежу в кредитному договорі.</t>
  </si>
  <si>
    <t>Максимальна сума кредиту</t>
  </si>
  <si>
    <t>%,Участь власними коштами</t>
  </si>
  <si>
    <t>ПМ</t>
  </si>
  <si>
    <t>Авансовий внесок за авто:</t>
  </si>
  <si>
    <t>Одноразова комісія банку:</t>
  </si>
  <si>
    <t>так</t>
  </si>
  <si>
    <t>ні</t>
  </si>
  <si>
    <t>КАСКО:</t>
  </si>
  <si>
    <t>Страхування НВ</t>
  </si>
  <si>
    <t>Цивілка:</t>
  </si>
  <si>
    <t>Нотаріальні послуги:</t>
  </si>
  <si>
    <t>Реєстрація автомобіля:</t>
  </si>
  <si>
    <t>ВСЬОГО ВИТРАТ</t>
  </si>
  <si>
    <t>Всього</t>
  </si>
  <si>
    <t>Авансовий платіж</t>
  </si>
  <si>
    <t>Автостарт NEW</t>
  </si>
  <si>
    <t>Пенсійний фонд:</t>
  </si>
  <si>
    <t xml:space="preserve">Вартість автомобіля, грн </t>
  </si>
  <si>
    <t>Участь власними коштами %</t>
  </si>
  <si>
    <t>Термін кредиту, міс</t>
  </si>
  <si>
    <t>Тариф каско, %</t>
  </si>
  <si>
    <t>Річна процентна ставка,%</t>
  </si>
  <si>
    <t>Комісія за видачу,%</t>
  </si>
  <si>
    <t>Витрати нотаріуса, грн;</t>
  </si>
  <si>
    <t>Збори на обов’язкове державне пенсійне страхування, грн</t>
  </si>
  <si>
    <t>Інші витрати, грн</t>
  </si>
  <si>
    <t>Калькулятор (реал. ставка)</t>
  </si>
  <si>
    <t>Калькулятор</t>
  </si>
  <si>
    <t>*одне з полів має мати 1</t>
  </si>
  <si>
    <t>Вартість автомобіля, грн  (Без ПДВ)</t>
  </si>
  <si>
    <t>Інші витрати</t>
  </si>
  <si>
    <t>Ефективна процентна ставка,%</t>
  </si>
  <si>
    <t>IRR Реальна процентна ставка,%</t>
  </si>
  <si>
    <t>Місячний платіж</t>
  </si>
  <si>
    <t>Загальні витрати по кредиту, грн</t>
  </si>
  <si>
    <t>Ефективна ставка</t>
  </si>
  <si>
    <t>Ставка</t>
  </si>
  <si>
    <t>Продукти:</t>
  </si>
  <si>
    <t>міс.</t>
  </si>
  <si>
    <t>30-50</t>
  </si>
  <si>
    <t>50&gt;</t>
  </si>
  <si>
    <t>Продукт</t>
  </si>
  <si>
    <t>Формат для авансу Продукту</t>
  </si>
  <si>
    <t>Відображення авансу</t>
  </si>
  <si>
    <t>Аванс</t>
  </si>
  <si>
    <t>Або</t>
  </si>
  <si>
    <t>Суму платежу за розрахунковий період (місяць) (грн)</t>
  </si>
  <si>
    <t>Загальна вартість кредиту для клієнта (грн)</t>
  </si>
  <si>
    <t>Реальна річна процентна ставка, відсотків річних</t>
  </si>
  <si>
    <t>Загальні витрати за кредитом (грн)</t>
  </si>
  <si>
    <t>Каско</t>
  </si>
  <si>
    <t>Витрати оцінювача</t>
  </si>
  <si>
    <t>Грн.</t>
  </si>
  <si>
    <t>Страхування КАСКО перший рік (грн)</t>
  </si>
  <si>
    <t>Страхування КАСКО (сума за всі наступні роки) (грн)</t>
  </si>
  <si>
    <t>Сума процентів за користування кредитом (грн)</t>
  </si>
  <si>
    <t>Пенсійний фонд (грн)</t>
  </si>
  <si>
    <t>Електромобіль</t>
  </si>
  <si>
    <t>Дата погаш</t>
  </si>
  <si>
    <t>строк кредиту</t>
  </si>
  <si>
    <t>v</t>
  </si>
  <si>
    <t>Ануїтетний платіж</t>
  </si>
  <si>
    <t>Реальна % ставка</t>
  </si>
  <si>
    <t>Комісія за видачу</t>
  </si>
  <si>
    <t>Комісія за видачу кредиту</t>
  </si>
  <si>
    <t>Грошові потоки</t>
  </si>
  <si>
    <r>
      <t xml:space="preserve">Аванс </t>
    </r>
    <r>
      <rPr>
        <sz val="9"/>
        <color theme="0"/>
        <rFont val="Times New Roman"/>
        <family val="1"/>
        <charset val="204"/>
      </rPr>
      <t xml:space="preserve">(вказується в </t>
    </r>
    <r>
      <rPr>
        <b/>
        <sz val="9"/>
        <color theme="0"/>
        <rFont val="Times New Roman"/>
        <family val="1"/>
        <charset val="204"/>
      </rPr>
      <t>грн. "10000"</t>
    </r>
    <r>
      <rPr>
        <sz val="9"/>
        <color theme="0"/>
        <rFont val="Times New Roman"/>
        <family val="1"/>
        <charset val="204"/>
      </rPr>
      <t xml:space="preserve"> або</t>
    </r>
    <r>
      <rPr>
        <b/>
        <sz val="9"/>
        <color theme="0"/>
        <rFont val="Times New Roman"/>
        <family val="1"/>
        <charset val="204"/>
      </rPr>
      <t xml:space="preserve"> % "20%"</t>
    </r>
    <r>
      <rPr>
        <sz val="9"/>
        <color theme="0"/>
        <rFont val="Times New Roman"/>
        <family val="1"/>
        <charset val="204"/>
      </rPr>
      <t>)</t>
    </r>
  </si>
  <si>
    <r>
      <t>Загальна сума внесків до повернення в місяць, грн.</t>
    </r>
    <r>
      <rPr>
        <b/>
        <sz val="8"/>
        <color theme="0"/>
        <rFont val="Times New Roman"/>
        <family val="1"/>
        <charset val="204"/>
      </rPr>
      <t>*</t>
    </r>
  </si>
  <si>
    <t>Орієнтовна сума початкових витрат*</t>
  </si>
  <si>
    <t xml:space="preserve">
* Орієнтовна сума початкових витрат = Аванс + Комісія за видачу кредиту + Страхування КАСКО перший рік + Пенсійний фонд. 
При розрахунку витрат не включено витрати за реєстрацію авто та страхування ОСЦПВ.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</si>
</sst>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0.00\ &quot;грн.&quot;"/>
    <numFmt numFmtId="166" formatCode="#,##0.00_ ;[Red]\-#,##0.00\ "/>
    <numFmt numFmtId="167" formatCode="mmmm\ yyyy"/>
    <numFmt numFmtId="168" formatCode="[$-FC22]d\ mmmm\ yyyy&quot; р.&quot;;@"/>
    <numFmt numFmtId="169" formatCode="0.000"/>
    <numFmt numFmtId="170" formatCode="#,##0\ &quot;грн.&quot;;\-#,##0\ &quot;грн.&quot;"/>
    <numFmt numFmtId="171" formatCode="#&quot; &quot;##0"/>
    <numFmt numFmtId="172" formatCode="0.0"/>
    <numFmt numFmtId="173" formatCode="#&quot; &quot;##0.0"/>
    <numFmt numFmtId="174" formatCode="#,##0.00\ &quot;грн.&quot;;\-#,##0.00\ &quot;грн.&quot;"/>
    <numFmt numFmtId="175" formatCode="#,##0.00&quot;₴&quot;"/>
    <numFmt numFmtId="176" formatCode="#,##0.00_ ;\-#,##0.00\ "/>
  </numFmts>
  <fonts count="65" x14ac:knownFonts="1">
    <font>
      <sz val="11"/>
      <color theme="1"/>
      <name val="Calibri"/>
      <family val="2"/>
      <scheme val="minor"/>
    </font>
    <font>
      <sz val="11"/>
      <color theme="1"/>
      <name val="Calibri"/>
      <family val="2"/>
      <charset val="204"/>
      <scheme val="minor"/>
    </font>
    <font>
      <sz val="11"/>
      <color theme="1"/>
      <name val="Calibri"/>
      <family val="2"/>
      <scheme val="minor"/>
    </font>
    <font>
      <sz val="11"/>
      <color rgb="FFFF0000"/>
      <name val="Calibri"/>
      <family val="2"/>
      <charset val="204"/>
      <scheme val="minor"/>
    </font>
    <font>
      <sz val="11"/>
      <name val="Calibri"/>
      <family val="2"/>
      <scheme val="minor"/>
    </font>
    <font>
      <sz val="11"/>
      <color rgb="FF00B0F0"/>
      <name val="Calibri"/>
      <family val="2"/>
      <charset val="204"/>
      <scheme val="minor"/>
    </font>
    <font>
      <sz val="8"/>
      <name val="Calibri"/>
      <family val="2"/>
      <scheme val="minor"/>
    </font>
    <font>
      <b/>
      <sz val="11"/>
      <color theme="1"/>
      <name val="Times New Roman"/>
      <family val="1"/>
      <charset val="204"/>
    </font>
    <font>
      <sz val="11"/>
      <color theme="1"/>
      <name val="Times New Roman"/>
      <family val="1"/>
      <charset val="204"/>
    </font>
    <font>
      <sz val="11"/>
      <color theme="1"/>
      <name val="Symbol"/>
      <family val="1"/>
      <charset val="2"/>
    </font>
    <font>
      <sz val="10"/>
      <color rgb="FF000080"/>
      <name val="Arial Cyr"/>
    </font>
    <font>
      <sz val="10"/>
      <name val="Arial Cyr"/>
      <charset val="204"/>
    </font>
    <font>
      <sz val="10"/>
      <color indexed="10"/>
      <name val="Arial Cyr"/>
      <charset val="204"/>
    </font>
    <font>
      <sz val="10"/>
      <color indexed="42"/>
      <name val="Arial Cyr"/>
      <charset val="204"/>
    </font>
    <font>
      <sz val="10"/>
      <color rgb="FFCCFFFF"/>
      <name val="Arial Cyr"/>
      <charset val="204"/>
    </font>
    <font>
      <b/>
      <sz val="12"/>
      <color rgb="FFFF0000"/>
      <name val="Arial Cyr"/>
      <charset val="204"/>
    </font>
    <font>
      <sz val="10"/>
      <name val="Arial"/>
      <family val="2"/>
      <charset val="204"/>
    </font>
    <font>
      <sz val="10"/>
      <color indexed="9"/>
      <name val="Arial"/>
      <family val="2"/>
      <charset val="204"/>
    </font>
    <font>
      <sz val="10"/>
      <color indexed="10"/>
      <name val="Arial"/>
      <family val="2"/>
      <charset val="204"/>
    </font>
    <font>
      <b/>
      <sz val="16"/>
      <name val="Arial"/>
      <family val="2"/>
      <charset val="204"/>
    </font>
    <font>
      <sz val="10"/>
      <color theme="6" tint="-0.499984740745262"/>
      <name val="Arial"/>
      <family val="2"/>
      <charset val="204"/>
    </font>
    <font>
      <sz val="11"/>
      <color theme="7" tint="-0.249977111117893"/>
      <name val="Times New Roman"/>
      <family val="1"/>
      <charset val="204"/>
    </font>
    <font>
      <sz val="10"/>
      <color theme="7" tint="-0.249977111117893"/>
      <name val="Arial"/>
      <family val="2"/>
      <charset val="204"/>
    </font>
    <font>
      <b/>
      <sz val="12"/>
      <name val="Times New Roman"/>
      <family val="1"/>
      <charset val="204"/>
    </font>
    <font>
      <sz val="11"/>
      <color indexed="8"/>
      <name val="Times New Roman"/>
      <family val="1"/>
      <charset val="204"/>
    </font>
    <font>
      <sz val="11"/>
      <color theme="7" tint="-0.249977111117893"/>
      <name val="Calibri"/>
      <family val="2"/>
      <charset val="204"/>
      <scheme val="minor"/>
    </font>
    <font>
      <sz val="7.5"/>
      <color rgb="FF000000"/>
      <name val="Arial"/>
      <family val="2"/>
      <charset val="204"/>
    </font>
    <font>
      <b/>
      <sz val="14"/>
      <color theme="6" tint="-0.499984740745262"/>
      <name val="Times New Roman"/>
      <family val="1"/>
      <charset val="204"/>
    </font>
    <font>
      <b/>
      <sz val="14"/>
      <name val="Times New Roman"/>
      <family val="1"/>
      <charset val="204"/>
    </font>
    <font>
      <sz val="11"/>
      <color rgb="FFFF0000"/>
      <name val="Times New Roman"/>
      <family val="1"/>
      <charset val="204"/>
    </font>
    <font>
      <b/>
      <sz val="8"/>
      <color rgb="FFFF0000"/>
      <name val="Times New Roman"/>
      <family val="1"/>
      <charset val="204"/>
    </font>
    <font>
      <b/>
      <sz val="8"/>
      <name val="Times New Roman"/>
      <family val="1"/>
      <charset val="204"/>
    </font>
    <font>
      <sz val="11"/>
      <name val="Times New Roman"/>
      <family val="1"/>
      <charset val="204"/>
    </font>
    <font>
      <sz val="8"/>
      <name val="Arial"/>
      <family val="2"/>
      <charset val="204"/>
    </font>
    <font>
      <b/>
      <sz val="8"/>
      <name val="Arial"/>
      <family val="2"/>
      <charset val="204"/>
    </font>
    <font>
      <sz val="10"/>
      <name val="Times New Roman"/>
      <family val="1"/>
      <charset val="204"/>
    </font>
    <font>
      <b/>
      <sz val="10"/>
      <name val="Arial"/>
      <family val="2"/>
      <charset val="204"/>
    </font>
    <font>
      <b/>
      <sz val="12"/>
      <name val="Arial"/>
      <family val="2"/>
      <charset val="204"/>
    </font>
    <font>
      <sz val="10"/>
      <color rgb="FFFF0000"/>
      <name val="Arial"/>
      <family val="2"/>
      <charset val="204"/>
    </font>
    <font>
      <b/>
      <sz val="12"/>
      <color rgb="FFFF0000"/>
      <name val="Arial"/>
      <family val="2"/>
      <charset val="204"/>
    </font>
    <font>
      <b/>
      <sz val="14"/>
      <color rgb="FFFF0000"/>
      <name val="Arial"/>
      <family val="2"/>
      <charset val="204"/>
    </font>
    <font>
      <sz val="10"/>
      <color rgb="FF000000"/>
      <name val="Arial"/>
      <family val="2"/>
      <charset val="204"/>
    </font>
    <font>
      <b/>
      <u/>
      <sz val="18"/>
      <name val="Times New Roman"/>
      <family val="1"/>
      <charset val="204"/>
    </font>
    <font>
      <b/>
      <sz val="10"/>
      <name val="Times New Roman"/>
      <family val="1"/>
      <charset val="204"/>
    </font>
    <font>
      <b/>
      <sz val="10"/>
      <color rgb="FF008000"/>
      <name val="Arial Cyr"/>
    </font>
    <font>
      <b/>
      <sz val="14"/>
      <color rgb="FF008000"/>
      <name val="Calibri"/>
      <family val="2"/>
      <charset val="204"/>
    </font>
    <font>
      <b/>
      <sz val="12"/>
      <color rgb="FF008000"/>
      <name val="Calibri"/>
      <family val="2"/>
      <charset val="204"/>
    </font>
    <font>
      <sz val="11"/>
      <color rgb="FF00B050"/>
      <name val="Calibri"/>
      <family val="2"/>
      <charset val="204"/>
      <scheme val="minor"/>
    </font>
    <font>
      <sz val="11"/>
      <color rgb="FF00B050"/>
      <name val="Times New Roman"/>
      <family val="1"/>
      <charset val="204"/>
    </font>
    <font>
      <sz val="18"/>
      <name val="Arial"/>
      <family val="2"/>
      <charset val="204"/>
    </font>
    <font>
      <sz val="11"/>
      <color theme="0"/>
      <name val="Calibri"/>
      <family val="2"/>
      <scheme val="minor"/>
    </font>
    <font>
      <b/>
      <sz val="11"/>
      <color theme="0"/>
      <name val="Calibri"/>
      <family val="2"/>
      <scheme val="minor"/>
    </font>
    <font>
      <sz val="12"/>
      <name val="Calibri"/>
      <family val="2"/>
      <charset val="204"/>
      <scheme val="minor"/>
    </font>
    <font>
      <b/>
      <sz val="13"/>
      <name val="Calibri"/>
      <family val="2"/>
      <charset val="204"/>
      <scheme val="minor"/>
    </font>
    <font>
      <sz val="13"/>
      <color theme="1"/>
      <name val="Calibri"/>
      <family val="2"/>
      <charset val="204"/>
      <scheme val="minor"/>
    </font>
    <font>
      <sz val="13"/>
      <name val="Calibri"/>
      <family val="2"/>
      <charset val="204"/>
      <scheme val="minor"/>
    </font>
    <font>
      <sz val="11"/>
      <name val="Calibri"/>
      <family val="2"/>
      <charset val="204"/>
      <scheme val="minor"/>
    </font>
    <font>
      <b/>
      <sz val="9"/>
      <color indexed="81"/>
      <name val="Tahoma"/>
      <family val="2"/>
      <charset val="204"/>
    </font>
    <font>
      <sz val="8"/>
      <color rgb="FF000000"/>
      <name val="Arial"/>
      <family val="2"/>
      <charset val="204"/>
    </font>
    <font>
      <sz val="11"/>
      <name val="Arial"/>
      <family val="2"/>
      <charset val="204"/>
    </font>
    <font>
      <sz val="9"/>
      <color theme="0"/>
      <name val="Times New Roman"/>
      <family val="1"/>
      <charset val="204"/>
    </font>
    <font>
      <b/>
      <sz val="9"/>
      <color theme="0"/>
      <name val="Times New Roman"/>
      <family val="1"/>
      <charset val="204"/>
    </font>
    <font>
      <b/>
      <sz val="8"/>
      <color theme="0"/>
      <name val="Times New Roman"/>
      <family val="1"/>
      <charset val="204"/>
    </font>
    <font>
      <b/>
      <u/>
      <sz val="16"/>
      <name val="Calibri"/>
      <family val="2"/>
      <charset val="204"/>
      <scheme val="minor"/>
    </font>
    <font>
      <i/>
      <sz val="11"/>
      <name val="Arial"/>
      <family val="2"/>
      <charset val="204"/>
    </font>
  </fonts>
  <fills count="13">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C0E498"/>
        <bgColor indexed="64"/>
      </patternFill>
    </fill>
    <fill>
      <patternFill patternType="solid">
        <fgColor theme="0"/>
        <bgColor indexed="64"/>
      </patternFill>
    </fill>
    <fill>
      <patternFill patternType="solid">
        <fgColor indexed="43"/>
        <bgColor indexed="64"/>
      </patternFill>
    </fill>
    <fill>
      <patternFill patternType="solid">
        <fgColor rgb="FF407BB0"/>
        <bgColor indexed="64"/>
      </patternFill>
    </fill>
    <fill>
      <patternFill patternType="solid">
        <fgColor rgb="FFFF0000"/>
        <bgColor indexed="64"/>
      </patternFill>
    </fill>
    <fill>
      <patternFill patternType="solid">
        <fgColor theme="2"/>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theme="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slantDashDot">
        <color theme="6" tint="-0.499984740745262"/>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slantDashDot">
        <color theme="6" tint="-0.249977111117893"/>
      </left>
      <right style="slantDashDot">
        <color theme="6" tint="-0.249977111117893"/>
      </right>
      <top style="slantDashDot">
        <color theme="6" tint="-0.249977111117893"/>
      </top>
      <bottom style="slantDashDot">
        <color theme="6" tint="-0.249977111117893"/>
      </bottom>
      <diagonal/>
    </border>
    <border>
      <left/>
      <right/>
      <top/>
      <bottom style="slantDashDot">
        <color theme="6" tint="-0.249977111117893"/>
      </bottom>
      <diagonal/>
    </border>
    <border>
      <left/>
      <right style="slantDashDot">
        <color theme="6" tint="-0.249977111117893"/>
      </right>
      <top/>
      <bottom/>
      <diagonal/>
    </border>
    <border>
      <left style="slantDashDot">
        <color theme="6" tint="-0.249977111117893"/>
      </left>
      <right/>
      <top style="slantDashDot">
        <color theme="6" tint="-0.249977111117893"/>
      </top>
      <bottom/>
      <diagonal/>
    </border>
    <border>
      <left style="slantDashDot">
        <color theme="6" tint="-0.249977111117893"/>
      </left>
      <right style="slantDashDot">
        <color theme="6" tint="-0.249977111117893"/>
      </right>
      <top style="slantDashDot">
        <color theme="6" tint="-0.249977111117893"/>
      </top>
      <bottom/>
      <diagonal/>
    </border>
    <border>
      <left style="slantDashDot">
        <color theme="6" tint="-0.249977111117893"/>
      </left>
      <right/>
      <top style="slantDashDot">
        <color theme="6" tint="-0.249977111117893"/>
      </top>
      <bottom style="slantDashDot">
        <color theme="6" tint="-0.249977111117893"/>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slantDashDot">
        <color theme="6" tint="-0.499984740745262"/>
      </right>
      <top/>
      <bottom/>
      <diagonal/>
    </border>
    <border>
      <left style="slantDashDot">
        <color theme="6" tint="-0.499984740745262"/>
      </left>
      <right style="slantDashDot">
        <color theme="6" tint="-0.499984740745262"/>
      </right>
      <top style="dashDotDot">
        <color theme="6" tint="-0.249977111117893"/>
      </top>
      <bottom style="slantDashDot">
        <color theme="6" tint="-0.499984740745262"/>
      </bottom>
      <diagonal/>
    </border>
    <border>
      <left style="slantDashDot">
        <color theme="6" tint="-0.499984740745262"/>
      </left>
      <right style="slantDashDot">
        <color theme="6" tint="-0.499984740745262"/>
      </right>
      <top style="slantDashDot">
        <color theme="6" tint="-0.499984740745262"/>
      </top>
      <bottom style="slantDashDot">
        <color theme="6" tint="-0.499984740745262"/>
      </bottom>
      <diagonal/>
    </border>
    <border>
      <left style="slantDashDot">
        <color theme="6" tint="-0.499984740745262"/>
      </left>
      <right style="slantDashDot">
        <color theme="6" tint="-0.499984740745262"/>
      </right>
      <top/>
      <bottom/>
      <diagonal/>
    </border>
    <border>
      <left/>
      <right style="medium">
        <color indexed="64"/>
      </right>
      <top style="thin">
        <color indexed="64"/>
      </top>
      <bottom style="thin">
        <color indexed="64"/>
      </bottom>
      <diagonal/>
    </border>
    <border>
      <left style="slantDashDot">
        <color theme="6" tint="-0.499984740745262"/>
      </left>
      <right style="slantDashDot">
        <color theme="6" tint="-0.499984740745262"/>
      </right>
      <top style="slantDashDot">
        <color theme="6" tint="-0.499984740745262"/>
      </top>
      <bottom/>
      <diagonal/>
    </border>
    <border>
      <left style="slantDashDot">
        <color theme="6" tint="-0.499984740745262"/>
      </left>
      <right style="slantDashDot">
        <color theme="6" tint="-0.499984740745262"/>
      </right>
      <top/>
      <bottom style="slantDashDot">
        <color theme="6" tint="-0.499984740745262"/>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9" fontId="2" fillId="0" borderId="0" applyFont="0" applyFill="0" applyBorder="0" applyAlignment="0" applyProtection="0"/>
    <xf numFmtId="0" fontId="1" fillId="0" borderId="0"/>
    <xf numFmtId="0" fontId="11" fillId="0" borderId="0"/>
    <xf numFmtId="164" fontId="2" fillId="0" borderId="0" applyFont="0" applyFill="0" applyBorder="0" applyAlignment="0" applyProtection="0"/>
    <xf numFmtId="0" fontId="16" fillId="0" borderId="0"/>
  </cellStyleXfs>
  <cellXfs count="319">
    <xf numFmtId="0" fontId="0" fillId="0" borderId="0" xfId="0"/>
    <xf numFmtId="0" fontId="0" fillId="0" borderId="1" xfId="0" applyBorder="1"/>
    <xf numFmtId="0" fontId="0" fillId="0" borderId="1" xfId="0" applyBorder="1" applyAlignment="1">
      <alignment horizontal="center"/>
    </xf>
    <xf numFmtId="0" fontId="1" fillId="0" borderId="0" xfId="2"/>
    <xf numFmtId="165" fontId="11" fillId="0" borderId="1" xfId="3" applyNumberFormat="1" applyBorder="1" applyProtection="1">
      <protection hidden="1"/>
    </xf>
    <xf numFmtId="166" fontId="11" fillId="0" borderId="1" xfId="3" applyNumberFormat="1" applyBorder="1" applyProtection="1">
      <protection hidden="1"/>
    </xf>
    <xf numFmtId="0" fontId="12" fillId="0" borderId="1" xfId="3" applyFont="1" applyBorder="1" applyProtection="1">
      <protection hidden="1"/>
    </xf>
    <xf numFmtId="4" fontId="11" fillId="0" borderId="1" xfId="3" applyNumberFormat="1" applyBorder="1" applyProtection="1">
      <protection locked="0" hidden="1"/>
    </xf>
    <xf numFmtId="0" fontId="11" fillId="0" borderId="0" xfId="3" applyProtection="1">
      <protection hidden="1"/>
    </xf>
    <xf numFmtId="167" fontId="11" fillId="0" borderId="0" xfId="3" applyNumberFormat="1" applyProtection="1">
      <protection hidden="1"/>
    </xf>
    <xf numFmtId="168" fontId="11" fillId="0" borderId="0" xfId="3" applyNumberFormat="1" applyProtection="1">
      <protection hidden="1"/>
    </xf>
    <xf numFmtId="0" fontId="11" fillId="0" borderId="0" xfId="3"/>
    <xf numFmtId="0" fontId="11" fillId="0" borderId="1" xfId="3" applyBorder="1" applyProtection="1">
      <protection hidden="1"/>
    </xf>
    <xf numFmtId="0" fontId="11" fillId="2" borderId="2" xfId="3" applyFill="1" applyBorder="1" applyAlignment="1" applyProtection="1">
      <alignment horizontal="center" vertical="center" wrapText="1"/>
      <protection hidden="1"/>
    </xf>
    <xf numFmtId="0" fontId="11" fillId="0" borderId="1" xfId="3" applyBorder="1" applyProtection="1">
      <protection locked="0" hidden="1"/>
    </xf>
    <xf numFmtId="0" fontId="11" fillId="2" borderId="7" xfId="3" applyFill="1" applyBorder="1" applyAlignment="1" applyProtection="1">
      <alignment horizontal="center" vertical="center" wrapText="1"/>
      <protection hidden="1"/>
    </xf>
    <xf numFmtId="14" fontId="11" fillId="0" borderId="1" xfId="3" applyNumberFormat="1" applyBorder="1" applyProtection="1">
      <protection hidden="1"/>
    </xf>
    <xf numFmtId="0" fontId="11" fillId="2" borderId="4" xfId="3" applyFill="1" applyBorder="1" applyAlignment="1" applyProtection="1">
      <alignment horizontal="center" wrapText="1"/>
      <protection hidden="1"/>
    </xf>
    <xf numFmtId="4" fontId="13" fillId="2" borderId="4" xfId="3" applyNumberFormat="1" applyFont="1" applyFill="1" applyBorder="1" applyAlignment="1" applyProtection="1">
      <alignment horizontal="center" vertical="center" wrapText="1"/>
      <protection hidden="1"/>
    </xf>
    <xf numFmtId="0" fontId="11" fillId="2" borderId="9" xfId="3" applyFill="1" applyBorder="1" applyAlignment="1" applyProtection="1">
      <alignment horizontal="center" wrapText="1"/>
      <protection hidden="1"/>
    </xf>
    <xf numFmtId="0" fontId="11" fillId="2" borderId="0" xfId="3" applyFill="1" applyAlignment="1" applyProtection="1">
      <alignment horizontal="center" wrapText="1"/>
      <protection hidden="1"/>
    </xf>
    <xf numFmtId="4" fontId="14" fillId="2" borderId="4" xfId="3" applyNumberFormat="1" applyFont="1" applyFill="1" applyBorder="1" applyAlignment="1" applyProtection="1">
      <alignment horizontal="right" wrapText="1"/>
      <protection hidden="1"/>
    </xf>
    <xf numFmtId="0" fontId="11" fillId="0" borderId="1" xfId="3" applyBorder="1" applyAlignment="1" applyProtection="1">
      <alignment wrapText="1"/>
      <protection hidden="1"/>
    </xf>
    <xf numFmtId="14" fontId="11" fillId="0" borderId="1" xfId="3" applyNumberFormat="1" applyBorder="1" applyAlignment="1" applyProtection="1">
      <alignment wrapText="1"/>
      <protection hidden="1"/>
    </xf>
    <xf numFmtId="0" fontId="11" fillId="0" borderId="1" xfId="3" applyBorder="1" applyAlignment="1" applyProtection="1">
      <alignment horizontal="center" vertical="center" wrapText="1"/>
      <protection hidden="1"/>
    </xf>
    <xf numFmtId="4" fontId="11" fillId="0" borderId="1" xfId="3" applyNumberFormat="1" applyBorder="1" applyAlignment="1" applyProtection="1">
      <alignment wrapText="1"/>
      <protection hidden="1"/>
    </xf>
    <xf numFmtId="4" fontId="11" fillId="0" borderId="1" xfId="3" applyNumberFormat="1" applyBorder="1" applyProtection="1">
      <protection hidden="1"/>
    </xf>
    <xf numFmtId="165" fontId="11" fillId="0" borderId="1" xfId="3" applyNumberFormat="1" applyBorder="1" applyAlignment="1" applyProtection="1">
      <alignment wrapText="1"/>
      <protection hidden="1"/>
    </xf>
    <xf numFmtId="4" fontId="11" fillId="0" borderId="4" xfId="3" applyNumberFormat="1" applyBorder="1" applyAlignment="1" applyProtection="1">
      <alignment wrapText="1"/>
      <protection hidden="1"/>
    </xf>
    <xf numFmtId="4" fontId="11" fillId="0" borderId="0" xfId="3" applyNumberFormat="1" applyProtection="1">
      <protection hidden="1"/>
    </xf>
    <xf numFmtId="0" fontId="11" fillId="0" borderId="0" xfId="3" applyAlignment="1">
      <alignment horizontal="center" vertical="center"/>
    </xf>
    <xf numFmtId="169" fontId="11" fillId="0" borderId="1" xfId="3" applyNumberFormat="1" applyBorder="1" applyAlignment="1" applyProtection="1">
      <alignment wrapText="1"/>
      <protection hidden="1"/>
    </xf>
    <xf numFmtId="164" fontId="11" fillId="0" borderId="0" xfId="4" applyFont="1" applyProtection="1">
      <protection hidden="1"/>
    </xf>
    <xf numFmtId="14" fontId="11" fillId="0" borderId="0" xfId="3" applyNumberFormat="1" applyProtection="1">
      <protection hidden="1"/>
    </xf>
    <xf numFmtId="0" fontId="11" fillId="0" borderId="1" xfId="1" applyNumberFormat="1" applyFont="1" applyBorder="1" applyAlignment="1" applyProtection="1">
      <alignment wrapText="1"/>
      <protection hidden="1"/>
    </xf>
    <xf numFmtId="0" fontId="15" fillId="0" borderId="0" xfId="3" applyFont="1" applyProtection="1">
      <protection hidden="1"/>
    </xf>
    <xf numFmtId="10" fontId="11" fillId="0" borderId="0" xfId="3" applyNumberFormat="1"/>
    <xf numFmtId="9" fontId="11" fillId="0" borderId="0" xfId="3" applyNumberFormat="1" applyProtection="1">
      <protection hidden="1"/>
    </xf>
    <xf numFmtId="9" fontId="11" fillId="0" borderId="1" xfId="3" applyNumberFormat="1" applyBorder="1" applyProtection="1">
      <protection hidden="1"/>
    </xf>
    <xf numFmtId="10" fontId="11" fillId="0" borderId="1" xfId="3" applyNumberFormat="1" applyBorder="1"/>
    <xf numFmtId="10" fontId="11" fillId="0" borderId="0" xfId="3" applyNumberFormat="1" applyProtection="1">
      <protection hidden="1"/>
    </xf>
    <xf numFmtId="0" fontId="16" fillId="0" borderId="0" xfId="5"/>
    <xf numFmtId="0" fontId="16" fillId="3" borderId="0" xfId="5" applyFill="1"/>
    <xf numFmtId="0" fontId="17" fillId="3" borderId="18" xfId="5" applyFont="1" applyFill="1" applyBorder="1"/>
    <xf numFmtId="0" fontId="16" fillId="3" borderId="19" xfId="5" applyFill="1" applyBorder="1"/>
    <xf numFmtId="0" fontId="35" fillId="3" borderId="18" xfId="5" applyFont="1" applyFill="1" applyBorder="1"/>
    <xf numFmtId="0" fontId="17" fillId="0" borderId="0" xfId="5" applyFont="1"/>
    <xf numFmtId="0" fontId="34" fillId="0" borderId="0" xfId="5" applyFont="1" applyAlignment="1">
      <alignment horizontal="center"/>
    </xf>
    <xf numFmtId="0" fontId="36" fillId="3" borderId="0" xfId="5" applyFont="1" applyFill="1"/>
    <xf numFmtId="4" fontId="11" fillId="0" borderId="1" xfId="1" applyNumberFormat="1" applyFont="1" applyBorder="1" applyProtection="1">
      <protection locked="0" hidden="1"/>
    </xf>
    <xf numFmtId="0" fontId="16" fillId="5" borderId="0" xfId="5" applyFill="1"/>
    <xf numFmtId="0" fontId="18" fillId="3" borderId="0" xfId="5" applyFont="1" applyFill="1"/>
    <xf numFmtId="0" fontId="1" fillId="5" borderId="0" xfId="2" applyFill="1"/>
    <xf numFmtId="4" fontId="16" fillId="5" borderId="0" xfId="5" applyNumberFormat="1" applyFill="1"/>
    <xf numFmtId="4" fontId="39" fillId="5" borderId="0" xfId="5" applyNumberFormat="1" applyFont="1" applyFill="1" applyAlignment="1">
      <alignment vertical="center" wrapText="1"/>
    </xf>
    <xf numFmtId="0" fontId="16" fillId="5" borderId="0" xfId="5" applyFill="1" applyProtection="1">
      <protection hidden="1"/>
    </xf>
    <xf numFmtId="4" fontId="40" fillId="5" borderId="0" xfId="5" applyNumberFormat="1" applyFont="1" applyFill="1" applyAlignment="1" applyProtection="1">
      <alignment vertical="center" wrapText="1"/>
      <protection hidden="1"/>
    </xf>
    <xf numFmtId="4" fontId="40" fillId="5" borderId="0" xfId="5" applyNumberFormat="1" applyFont="1" applyFill="1" applyAlignment="1">
      <alignment vertical="center" wrapText="1"/>
    </xf>
    <xf numFmtId="4" fontId="1" fillId="5" borderId="0" xfId="2" applyNumberFormat="1" applyFill="1"/>
    <xf numFmtId="0" fontId="11" fillId="0" borderId="1" xfId="3" applyBorder="1"/>
    <xf numFmtId="10" fontId="11" fillId="0" borderId="1" xfId="3" applyNumberFormat="1" applyBorder="1" applyProtection="1">
      <protection hidden="1"/>
    </xf>
    <xf numFmtId="4" fontId="33" fillId="5" borderId="0" xfId="5" applyNumberFormat="1" applyFont="1" applyFill="1"/>
    <xf numFmtId="0" fontId="16" fillId="3" borderId="0" xfId="5" applyFill="1" applyProtection="1">
      <protection locked="0"/>
    </xf>
    <xf numFmtId="0" fontId="16" fillId="0" borderId="0" xfId="5" applyProtection="1">
      <protection locked="0"/>
    </xf>
    <xf numFmtId="0" fontId="16" fillId="3" borderId="44" xfId="5" applyFill="1" applyBorder="1" applyProtection="1">
      <protection locked="0"/>
    </xf>
    <xf numFmtId="0" fontId="20" fillId="3" borderId="45" xfId="5" applyFont="1" applyFill="1" applyBorder="1" applyProtection="1">
      <protection locked="0"/>
    </xf>
    <xf numFmtId="2" fontId="21" fillId="3" borderId="0" xfId="2" applyNumberFormat="1" applyFont="1" applyFill="1" applyAlignment="1" applyProtection="1">
      <alignment horizontal="center" vertical="center" wrapText="1"/>
      <protection locked="0"/>
    </xf>
    <xf numFmtId="0" fontId="22" fillId="3" borderId="0" xfId="5" applyFont="1" applyFill="1" applyProtection="1">
      <protection locked="0"/>
    </xf>
    <xf numFmtId="0" fontId="20" fillId="3" borderId="0" xfId="5" applyFont="1" applyFill="1" applyProtection="1">
      <protection locked="0"/>
    </xf>
    <xf numFmtId="0" fontId="0" fillId="0" borderId="0" xfId="0" applyProtection="1">
      <protection locked="0"/>
    </xf>
    <xf numFmtId="0" fontId="24" fillId="5" borderId="46" xfId="2" applyFont="1" applyFill="1" applyBorder="1" applyAlignment="1" applyProtection="1">
      <alignment horizontal="center" vertical="center" wrapText="1"/>
      <protection locked="0"/>
    </xf>
    <xf numFmtId="2" fontId="25" fillId="0" borderId="0" xfId="0" applyNumberFormat="1" applyFont="1" applyAlignment="1" applyProtection="1">
      <alignment horizontal="center" vertical="center" wrapText="1"/>
      <protection locked="0"/>
    </xf>
    <xf numFmtId="0" fontId="23" fillId="8" borderId="1" xfId="5" applyFont="1" applyFill="1" applyBorder="1" applyAlignment="1" applyProtection="1">
      <alignment horizontal="center" vertical="center" wrapText="1"/>
      <protection locked="0" hidden="1"/>
    </xf>
    <xf numFmtId="2" fontId="25" fillId="0" borderId="1" xfId="0" applyNumberFormat="1"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4" fontId="16" fillId="0" borderId="0" xfId="5" applyNumberFormat="1" applyProtection="1">
      <protection locked="0"/>
    </xf>
    <xf numFmtId="9" fontId="22" fillId="3" borderId="0" xfId="5" applyNumberFormat="1" applyFont="1" applyFill="1" applyProtection="1">
      <protection locked="0"/>
    </xf>
    <xf numFmtId="2" fontId="21" fillId="0" borderId="2" xfId="0" applyNumberFormat="1" applyFont="1" applyBorder="1" applyAlignment="1" applyProtection="1">
      <alignment horizontal="center" vertical="center" wrapText="1"/>
      <protection locked="0"/>
    </xf>
    <xf numFmtId="2" fontId="21" fillId="0" borderId="0" xfId="0" applyNumberFormat="1" applyFont="1" applyAlignment="1" applyProtection="1">
      <alignment horizontal="center" vertical="center" wrapText="1"/>
      <protection locked="0"/>
    </xf>
    <xf numFmtId="171" fontId="31" fillId="3" borderId="14" xfId="5" applyNumberFormat="1" applyFont="1" applyFill="1" applyBorder="1" applyAlignment="1" applyProtection="1">
      <alignment horizontal="center" vertical="center" wrapText="1"/>
      <protection locked="0"/>
    </xf>
    <xf numFmtId="0" fontId="3" fillId="6" borderId="1" xfId="0" applyFont="1" applyFill="1" applyBorder="1" applyAlignment="1" applyProtection="1">
      <alignment vertical="center" wrapText="1"/>
      <protection locked="0"/>
    </xf>
    <xf numFmtId="176" fontId="16" fillId="0" borderId="0" xfId="5" applyNumberFormat="1" applyProtection="1">
      <protection locked="0"/>
    </xf>
    <xf numFmtId="2" fontId="21" fillId="0" borderId="1" xfId="0" applyNumberFormat="1" applyFont="1" applyBorder="1" applyAlignment="1" applyProtection="1">
      <alignment horizontal="center" vertical="center" wrapText="1"/>
      <protection locked="0"/>
    </xf>
    <xf numFmtId="4" fontId="33" fillId="3" borderId="1" xfId="5" applyNumberFormat="1" applyFont="1" applyFill="1" applyBorder="1" applyAlignment="1" applyProtection="1">
      <alignment horizontal="center"/>
      <protection locked="0"/>
    </xf>
    <xf numFmtId="4" fontId="33" fillId="3" borderId="6" xfId="5" applyNumberFormat="1" applyFont="1" applyFill="1" applyBorder="1" applyAlignment="1" applyProtection="1">
      <alignment horizontal="center"/>
      <protection locked="0"/>
    </xf>
    <xf numFmtId="167" fontId="3" fillId="0" borderId="1" xfId="0" applyNumberFormat="1" applyFont="1" applyBorder="1" applyAlignment="1" applyProtection="1">
      <alignment wrapText="1"/>
      <protection locked="0" hidden="1"/>
    </xf>
    <xf numFmtId="172" fontId="33" fillId="3" borderId="1" xfId="5" applyNumberFormat="1" applyFont="1" applyFill="1" applyBorder="1" applyProtection="1">
      <protection locked="0"/>
    </xf>
    <xf numFmtId="173" fontId="33" fillId="3" borderId="6" xfId="5" applyNumberFormat="1" applyFont="1" applyFill="1" applyBorder="1" applyProtection="1">
      <protection locked="0"/>
    </xf>
    <xf numFmtId="0" fontId="24" fillId="5" borderId="47" xfId="2" applyFont="1" applyFill="1" applyBorder="1" applyAlignment="1" applyProtection="1">
      <alignment horizontal="center" vertical="center" wrapText="1"/>
      <protection locked="0"/>
    </xf>
    <xf numFmtId="0" fontId="24" fillId="5" borderId="49" xfId="2" applyFont="1" applyFill="1" applyBorder="1" applyAlignment="1" applyProtection="1">
      <alignment horizontal="center" vertical="center" wrapText="1"/>
      <protection locked="0"/>
    </xf>
    <xf numFmtId="2" fontId="8" fillId="5" borderId="0" xfId="2" applyNumberFormat="1" applyFont="1" applyFill="1" applyAlignment="1" applyProtection="1">
      <alignment horizontal="center" vertical="center" wrapText="1"/>
      <protection locked="0"/>
    </xf>
    <xf numFmtId="0" fontId="24" fillId="5" borderId="50" xfId="2" applyFont="1" applyFill="1" applyBorder="1" applyAlignment="1" applyProtection="1">
      <alignment horizontal="center" vertical="center" wrapText="1"/>
      <protection locked="0"/>
    </xf>
    <xf numFmtId="0" fontId="16" fillId="3" borderId="1" xfId="5" applyFill="1" applyBorder="1" applyProtection="1">
      <protection locked="0"/>
    </xf>
    <xf numFmtId="172" fontId="16" fillId="3" borderId="0" xfId="5" applyNumberFormat="1" applyFill="1" applyProtection="1">
      <protection locked="0"/>
    </xf>
    <xf numFmtId="0" fontId="20" fillId="3" borderId="0" xfId="5" applyFont="1" applyFill="1" applyAlignment="1" applyProtection="1">
      <alignment horizontal="center"/>
      <protection locked="0"/>
    </xf>
    <xf numFmtId="10" fontId="20" fillId="3" borderId="1" xfId="1" applyNumberFormat="1" applyFont="1" applyFill="1" applyBorder="1" applyAlignment="1" applyProtection="1">
      <alignment horizontal="center"/>
      <protection locked="0"/>
    </xf>
    <xf numFmtId="0" fontId="16" fillId="3" borderId="0" xfId="5" applyFill="1" applyAlignment="1" applyProtection="1">
      <alignment horizontal="center" vertical="center"/>
      <protection locked="0"/>
    </xf>
    <xf numFmtId="10" fontId="16" fillId="3" borderId="1" xfId="1" applyNumberFormat="1" applyFont="1" applyFill="1" applyBorder="1" applyAlignment="1" applyProtection="1">
      <alignment horizontal="center" vertical="center"/>
      <protection locked="0"/>
    </xf>
    <xf numFmtId="0" fontId="16" fillId="5" borderId="0" xfId="5" applyFill="1" applyProtection="1">
      <protection locked="0"/>
    </xf>
    <xf numFmtId="0" fontId="16" fillId="3" borderId="32" xfId="5" applyFill="1" applyBorder="1" applyProtection="1">
      <protection locked="0"/>
    </xf>
    <xf numFmtId="4" fontId="16" fillId="3" borderId="33" xfId="5" applyNumberFormat="1" applyFill="1" applyBorder="1" applyProtection="1">
      <protection locked="0"/>
    </xf>
    <xf numFmtId="0" fontId="16" fillId="3" borderId="14" xfId="5" applyFill="1" applyBorder="1" applyProtection="1">
      <protection locked="0"/>
    </xf>
    <xf numFmtId="4" fontId="16" fillId="3" borderId="34" xfId="5" applyNumberFormat="1" applyFill="1" applyBorder="1" applyProtection="1">
      <protection locked="0"/>
    </xf>
    <xf numFmtId="174" fontId="16" fillId="0" borderId="0" xfId="5" applyNumberFormat="1" applyProtection="1">
      <protection locked="0"/>
    </xf>
    <xf numFmtId="0" fontId="37" fillId="3" borderId="35" xfId="5" applyFont="1" applyFill="1" applyBorder="1" applyProtection="1">
      <protection locked="0"/>
    </xf>
    <xf numFmtId="0" fontId="16" fillId="3" borderId="36" xfId="5" applyFill="1" applyBorder="1" applyProtection="1">
      <protection locked="0"/>
    </xf>
    <xf numFmtId="0" fontId="17" fillId="3" borderId="35" xfId="5" applyFont="1" applyFill="1" applyBorder="1" applyProtection="1">
      <protection locked="0"/>
    </xf>
    <xf numFmtId="0" fontId="16" fillId="3" borderId="37" xfId="5" applyFill="1" applyBorder="1" applyProtection="1">
      <protection locked="0"/>
    </xf>
    <xf numFmtId="14" fontId="16" fillId="3" borderId="35" xfId="5" applyNumberFormat="1" applyFill="1" applyBorder="1" applyProtection="1">
      <protection locked="0"/>
    </xf>
    <xf numFmtId="0" fontId="16" fillId="3" borderId="4" xfId="5" applyFill="1" applyBorder="1" applyProtection="1">
      <protection locked="0"/>
    </xf>
    <xf numFmtId="4" fontId="22" fillId="3" borderId="12" xfId="5" applyNumberFormat="1" applyFont="1" applyFill="1" applyBorder="1" applyProtection="1">
      <protection locked="0"/>
    </xf>
    <xf numFmtId="0" fontId="16" fillId="3" borderId="38" xfId="5" applyFill="1" applyBorder="1" applyProtection="1">
      <protection locked="0"/>
    </xf>
    <xf numFmtId="0" fontId="16" fillId="3" borderId="39" xfId="5" applyFill="1" applyBorder="1" applyProtection="1">
      <protection locked="0"/>
    </xf>
    <xf numFmtId="4" fontId="34" fillId="5" borderId="0" xfId="5" applyNumberFormat="1" applyFont="1" applyFill="1"/>
    <xf numFmtId="0" fontId="16" fillId="3" borderId="40" xfId="5" applyFill="1" applyBorder="1" applyProtection="1">
      <protection locked="0"/>
    </xf>
    <xf numFmtId="0" fontId="16" fillId="3" borderId="35" xfId="5" applyFill="1" applyBorder="1" applyProtection="1">
      <protection locked="0"/>
    </xf>
    <xf numFmtId="0" fontId="38" fillId="3" borderId="0" xfId="5" applyFont="1" applyFill="1" applyProtection="1">
      <protection locked="0"/>
    </xf>
    <xf numFmtId="4" fontId="38" fillId="3" borderId="0" xfId="5" applyNumberFormat="1" applyFont="1" applyFill="1" applyProtection="1">
      <protection locked="0"/>
    </xf>
    <xf numFmtId="0" fontId="33" fillId="5" borderId="0" xfId="5" applyFont="1" applyFill="1"/>
    <xf numFmtId="0" fontId="36" fillId="3" borderId="12" xfId="5" applyFont="1" applyFill="1" applyBorder="1" applyProtection="1">
      <protection locked="0"/>
    </xf>
    <xf numFmtId="3" fontId="16" fillId="3" borderId="12" xfId="5" applyNumberFormat="1" applyFill="1" applyBorder="1" applyProtection="1">
      <protection locked="0"/>
    </xf>
    <xf numFmtId="14" fontId="0" fillId="0" borderId="1" xfId="0" applyNumberFormat="1" applyBorder="1" applyProtection="1">
      <protection locked="0"/>
    </xf>
    <xf numFmtId="0" fontId="0" fillId="0" borderId="1" xfId="0" applyBorder="1" applyProtection="1">
      <protection locked="0"/>
    </xf>
    <xf numFmtId="173" fontId="22" fillId="3" borderId="0" xfId="5" applyNumberFormat="1" applyFont="1" applyFill="1" applyProtection="1">
      <protection locked="0"/>
    </xf>
    <xf numFmtId="173" fontId="16" fillId="3" borderId="0" xfId="5" applyNumberFormat="1" applyFill="1" applyProtection="1">
      <protection locked="0"/>
    </xf>
    <xf numFmtId="4" fontId="39" fillId="5" borderId="0" xfId="5" applyNumberFormat="1" applyFont="1" applyFill="1" applyAlignment="1" applyProtection="1">
      <alignment vertical="center" wrapText="1"/>
      <protection locked="0"/>
    </xf>
    <xf numFmtId="4" fontId="16" fillId="3" borderId="1" xfId="5" applyNumberFormat="1" applyFill="1" applyBorder="1" applyProtection="1">
      <protection locked="0"/>
    </xf>
    <xf numFmtId="0" fontId="16" fillId="3" borderId="1" xfId="5" applyFill="1" applyBorder="1" applyAlignment="1" applyProtection="1">
      <alignment horizontal="center" vertical="center"/>
      <protection locked="0"/>
    </xf>
    <xf numFmtId="0" fontId="16" fillId="0" borderId="1" xfId="5" applyBorder="1" applyAlignment="1" applyProtection="1">
      <alignment horizontal="center" vertical="center"/>
      <protection locked="0"/>
    </xf>
    <xf numFmtId="0" fontId="32" fillId="0" borderId="0" xfId="0" applyFont="1" applyAlignment="1" applyProtection="1">
      <alignment horizontal="center" vertical="center" wrapText="1"/>
      <protection locked="0"/>
    </xf>
    <xf numFmtId="167" fontId="3" fillId="0" borderId="6" xfId="0" applyNumberFormat="1" applyFont="1" applyBorder="1" applyAlignment="1" applyProtection="1">
      <alignment wrapText="1"/>
      <protection locked="0" hidden="1"/>
    </xf>
    <xf numFmtId="172" fontId="48" fillId="0" borderId="0" xfId="0" applyNumberFormat="1" applyFont="1" applyAlignment="1" applyProtection="1">
      <alignment horizontal="center" vertical="center" wrapText="1"/>
      <protection locked="0"/>
    </xf>
    <xf numFmtId="2" fontId="48" fillId="0" borderId="0" xfId="0" applyNumberFormat="1" applyFont="1" applyAlignment="1" applyProtection="1">
      <alignment horizontal="center" vertical="center" wrapText="1"/>
      <protection locked="0"/>
    </xf>
    <xf numFmtId="2" fontId="29" fillId="0" borderId="0" xfId="0" applyNumberFormat="1" applyFont="1" applyAlignment="1" applyProtection="1">
      <alignment horizontal="center" vertical="center" wrapText="1"/>
      <protection locked="0"/>
    </xf>
    <xf numFmtId="4" fontId="36" fillId="4" borderId="16" xfId="5" applyNumberFormat="1" applyFont="1" applyFill="1" applyBorder="1" applyAlignment="1" applyProtection="1">
      <alignment vertical="center" wrapText="1"/>
      <protection hidden="1"/>
    </xf>
    <xf numFmtId="0" fontId="47" fillId="5" borderId="0" xfId="0" applyFont="1" applyFill="1" applyAlignment="1" applyProtection="1">
      <alignment horizontal="center" vertical="center" wrapText="1"/>
      <protection locked="0"/>
    </xf>
    <xf numFmtId="4" fontId="36" fillId="4" borderId="20" xfId="5" applyNumberFormat="1" applyFont="1" applyFill="1" applyBorder="1" applyAlignment="1" applyProtection="1">
      <alignment vertical="center" wrapText="1"/>
      <protection hidden="1"/>
    </xf>
    <xf numFmtId="175" fontId="16" fillId="5" borderId="0" xfId="5" applyNumberFormat="1" applyFill="1" applyProtection="1">
      <protection locked="0"/>
    </xf>
    <xf numFmtId="175" fontId="16" fillId="5" borderId="0" xfId="5" applyNumberFormat="1" applyFill="1"/>
    <xf numFmtId="4" fontId="34" fillId="5" borderId="0" xfId="5" applyNumberFormat="1" applyFont="1" applyFill="1" applyProtection="1">
      <protection locked="0"/>
    </xf>
    <xf numFmtId="4" fontId="42" fillId="7" borderId="16" xfId="5" applyNumberFormat="1" applyFont="1" applyFill="1" applyBorder="1" applyAlignment="1" applyProtection="1">
      <alignment vertical="center" wrapText="1"/>
      <protection hidden="1"/>
    </xf>
    <xf numFmtId="4" fontId="42" fillId="7" borderId="18" xfId="5" applyNumberFormat="1" applyFont="1" applyFill="1" applyBorder="1" applyAlignment="1" applyProtection="1">
      <alignment vertical="center" wrapText="1"/>
      <protection hidden="1"/>
    </xf>
    <xf numFmtId="4" fontId="42" fillId="7" borderId="20" xfId="5" applyNumberFormat="1" applyFont="1" applyFill="1" applyBorder="1" applyAlignment="1" applyProtection="1">
      <alignment vertical="center" wrapText="1"/>
      <protection hidden="1"/>
    </xf>
    <xf numFmtId="0" fontId="38" fillId="3" borderId="0" xfId="5" applyFont="1" applyFill="1" applyAlignment="1" applyProtection="1">
      <alignment horizontal="center" vertical="center"/>
      <protection locked="0"/>
    </xf>
    <xf numFmtId="173" fontId="43" fillId="3" borderId="43" xfId="5" applyNumberFormat="1" applyFont="1" applyFill="1" applyBorder="1" applyAlignment="1" applyProtection="1">
      <alignment horizontal="right" vertical="center"/>
      <protection locked="0"/>
    </xf>
    <xf numFmtId="4" fontId="43" fillId="3" borderId="43" xfId="5" applyNumberFormat="1" applyFont="1" applyFill="1" applyBorder="1" applyAlignment="1" applyProtection="1">
      <alignment horizontal="right" vertical="center"/>
      <protection locked="0"/>
    </xf>
    <xf numFmtId="4" fontId="16" fillId="3" borderId="1" xfId="5" applyNumberFormat="1" applyFill="1" applyBorder="1" applyAlignment="1" applyProtection="1">
      <alignment horizontal="center" vertical="center"/>
      <protection locked="0"/>
    </xf>
    <xf numFmtId="4" fontId="49" fillId="0" borderId="0" xfId="5" applyNumberFormat="1" applyFont="1" applyAlignment="1">
      <alignment vertical="center"/>
    </xf>
    <xf numFmtId="176" fontId="16" fillId="3" borderId="0" xfId="5" applyNumberFormat="1" applyFill="1" applyProtection="1">
      <protection locked="0"/>
    </xf>
    <xf numFmtId="0" fontId="11" fillId="2" borderId="10" xfId="3" applyFill="1" applyBorder="1" applyAlignment="1" applyProtection="1">
      <alignment horizontal="center" vertical="center" wrapText="1"/>
      <protection hidden="1"/>
    </xf>
    <xf numFmtId="0" fontId="11" fillId="0" borderId="11" xfId="3" applyBorder="1" applyAlignment="1" applyProtection="1">
      <alignment horizontal="center"/>
      <protection hidden="1"/>
    </xf>
    <xf numFmtId="0" fontId="11" fillId="2" borderId="3" xfId="3" applyFill="1" applyBorder="1" applyAlignment="1" applyProtection="1">
      <alignment horizontal="center" vertical="center" wrapText="1"/>
      <protection hidden="1"/>
    </xf>
    <xf numFmtId="167" fontId="11" fillId="2" borderId="2" xfId="3" applyNumberFormat="1" applyFill="1" applyBorder="1" applyAlignment="1" applyProtection="1">
      <alignment horizontal="center" vertical="center" wrapText="1"/>
      <protection hidden="1"/>
    </xf>
    <xf numFmtId="167" fontId="11" fillId="2" borderId="3" xfId="3" applyNumberFormat="1" applyFill="1" applyBorder="1" applyAlignment="1" applyProtection="1">
      <alignment horizontal="center" vertical="center" wrapText="1"/>
      <protection hidden="1"/>
    </xf>
    <xf numFmtId="167" fontId="11" fillId="2" borderId="4" xfId="3" applyNumberFormat="1" applyFill="1" applyBorder="1" applyAlignment="1" applyProtection="1">
      <alignment horizontal="center" vertical="center" wrapText="1"/>
      <protection hidden="1"/>
    </xf>
    <xf numFmtId="0" fontId="11" fillId="2" borderId="5" xfId="3" applyFill="1" applyBorder="1" applyAlignment="1" applyProtection="1">
      <alignment horizontal="center" vertical="center" wrapText="1"/>
      <protection hidden="1"/>
    </xf>
    <xf numFmtId="0" fontId="11" fillId="2" borderId="22" xfId="3" applyFill="1" applyBorder="1" applyAlignment="1" applyProtection="1">
      <alignment horizontal="center" vertical="center" wrapText="1"/>
      <protection hidden="1"/>
    </xf>
    <xf numFmtId="0" fontId="11" fillId="2" borderId="8" xfId="3" applyFill="1" applyBorder="1" applyAlignment="1" applyProtection="1">
      <alignment horizontal="center" vertical="center" wrapText="1"/>
      <protection hidden="1"/>
    </xf>
    <xf numFmtId="0" fontId="50" fillId="5" borderId="0" xfId="0" applyFont="1" applyFill="1" applyAlignment="1">
      <alignment horizontal="center" vertical="center"/>
    </xf>
    <xf numFmtId="0" fontId="51" fillId="5" borderId="0" xfId="0" applyFont="1" applyFill="1" applyAlignment="1">
      <alignment horizontal="center" vertical="center"/>
    </xf>
    <xf numFmtId="0" fontId="50" fillId="5" borderId="0" xfId="0" applyFont="1" applyFill="1"/>
    <xf numFmtId="0" fontId="51" fillId="5" borderId="0" xfId="0" applyFont="1" applyFill="1"/>
    <xf numFmtId="4" fontId="51" fillId="5" borderId="0" xfId="0" applyNumberFormat="1" applyFont="1" applyFill="1"/>
    <xf numFmtId="4" fontId="50" fillId="5" borderId="0" xfId="0" applyNumberFormat="1" applyFont="1" applyFill="1"/>
    <xf numFmtId="0" fontId="16" fillId="11" borderId="23" xfId="5" applyFill="1" applyBorder="1"/>
    <xf numFmtId="0" fontId="18" fillId="11" borderId="23" xfId="5" applyFont="1" applyFill="1" applyBorder="1"/>
    <xf numFmtId="1" fontId="19" fillId="11" borderId="23" xfId="5" applyNumberFormat="1" applyFont="1" applyFill="1" applyBorder="1" applyAlignment="1">
      <alignment horizontal="center" vertical="top" wrapText="1"/>
    </xf>
    <xf numFmtId="0" fontId="16" fillId="11" borderId="17" xfId="5" applyFill="1" applyBorder="1"/>
    <xf numFmtId="0" fontId="17" fillId="11" borderId="16" xfId="5" applyFont="1" applyFill="1" applyBorder="1"/>
    <xf numFmtId="2" fontId="3" fillId="0" borderId="1" xfId="0" applyNumberFormat="1" applyFont="1" applyBorder="1" applyAlignment="1" applyProtection="1">
      <alignment horizontal="center" vertical="center" wrapText="1"/>
      <protection locked="0"/>
    </xf>
    <xf numFmtId="0" fontId="53" fillId="3" borderId="0" xfId="5" applyFont="1" applyFill="1"/>
    <xf numFmtId="0" fontId="54" fillId="0" borderId="0" xfId="2" applyFont="1"/>
    <xf numFmtId="0" fontId="55" fillId="0" borderId="0" xfId="5" applyFont="1"/>
    <xf numFmtId="0" fontId="55" fillId="5" borderId="0" xfId="5" applyFont="1" applyFill="1"/>
    <xf numFmtId="0" fontId="55" fillId="3" borderId="0" xfId="5" applyFont="1" applyFill="1"/>
    <xf numFmtId="0" fontId="55" fillId="0" borderId="21" xfId="2" applyFont="1" applyBorder="1" applyAlignment="1" applyProtection="1">
      <alignment horizontal="center" vertical="center"/>
      <protection hidden="1"/>
    </xf>
    <xf numFmtId="176" fontId="53" fillId="10" borderId="21" xfId="5" applyNumberFormat="1" applyFont="1" applyFill="1" applyBorder="1" applyAlignment="1" applyProtection="1">
      <alignment horizontal="center" vertical="center"/>
      <protection hidden="1"/>
    </xf>
    <xf numFmtId="0" fontId="53" fillId="5" borderId="12" xfId="5" applyFont="1" applyFill="1" applyBorder="1" applyAlignment="1" applyProtection="1">
      <alignment horizontal="center" vertical="center"/>
      <protection locked="0"/>
    </xf>
    <xf numFmtId="167" fontId="3" fillId="0" borderId="10" xfId="0" applyNumberFormat="1" applyFont="1" applyBorder="1" applyAlignment="1" applyProtection="1">
      <alignment wrapText="1"/>
      <protection locked="0" hidden="1"/>
    </xf>
    <xf numFmtId="172" fontId="33" fillId="3" borderId="10" xfId="5" applyNumberFormat="1" applyFont="1" applyFill="1" applyBorder="1" applyProtection="1">
      <protection locked="0"/>
    </xf>
    <xf numFmtId="167" fontId="3" fillId="0" borderId="0" xfId="0" applyNumberFormat="1" applyFont="1" applyAlignment="1" applyProtection="1">
      <alignment wrapText="1"/>
      <protection locked="0" hidden="1"/>
    </xf>
    <xf numFmtId="173" fontId="43" fillId="3" borderId="0" xfId="5" applyNumberFormat="1" applyFont="1" applyFill="1" applyAlignment="1" applyProtection="1">
      <alignment horizontal="right" vertical="center"/>
      <protection locked="0"/>
    </xf>
    <xf numFmtId="4" fontId="43" fillId="3" borderId="0" xfId="5" applyNumberFormat="1" applyFont="1" applyFill="1" applyAlignment="1" applyProtection="1">
      <alignment vertical="center"/>
      <protection locked="0"/>
    </xf>
    <xf numFmtId="4" fontId="16" fillId="3" borderId="1" xfId="5" applyNumberFormat="1" applyFill="1" applyBorder="1" applyAlignment="1" applyProtection="1">
      <alignment horizontal="center"/>
      <protection locked="0"/>
    </xf>
    <xf numFmtId="167" fontId="3" fillId="0" borderId="53" xfId="0" applyNumberFormat="1" applyFont="1" applyBorder="1" applyAlignment="1" applyProtection="1">
      <alignment wrapText="1"/>
      <protection locked="0" hidden="1"/>
    </xf>
    <xf numFmtId="14" fontId="56" fillId="5" borderId="25" xfId="0" applyNumberFormat="1" applyFont="1" applyFill="1" applyBorder="1" applyAlignment="1" applyProtection="1">
      <alignment wrapText="1"/>
      <protection locked="0" hidden="1"/>
    </xf>
    <xf numFmtId="0" fontId="4" fillId="5" borderId="0" xfId="0" applyFont="1" applyFill="1"/>
    <xf numFmtId="0" fontId="58" fillId="0" borderId="1"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10" fontId="41" fillId="0" borderId="1" xfId="0" applyNumberFormat="1" applyFont="1" applyBorder="1" applyAlignment="1" applyProtection="1">
      <alignment horizontal="center" vertical="center" wrapText="1"/>
      <protection locked="0"/>
    </xf>
    <xf numFmtId="10" fontId="16" fillId="0" borderId="1" xfId="1" applyNumberFormat="1" applyFont="1" applyBorder="1" applyAlignment="1" applyProtection="1">
      <alignment horizontal="center" vertical="center"/>
      <protection locked="0"/>
    </xf>
    <xf numFmtId="14" fontId="16" fillId="3" borderId="1" xfId="5" applyNumberFormat="1" applyFill="1" applyBorder="1" applyProtection="1">
      <protection locked="0"/>
    </xf>
    <xf numFmtId="0" fontId="16" fillId="0" borderId="1" xfId="5" applyBorder="1" applyProtection="1">
      <protection locked="0"/>
    </xf>
    <xf numFmtId="4" fontId="16" fillId="0" borderId="1" xfId="5" applyNumberFormat="1" applyBorder="1" applyProtection="1">
      <protection locked="0"/>
    </xf>
    <xf numFmtId="2" fontId="16" fillId="3" borderId="1" xfId="5" applyNumberFormat="1" applyFill="1" applyBorder="1" applyProtection="1">
      <protection locked="0"/>
    </xf>
    <xf numFmtId="14" fontId="56" fillId="5" borderId="25" xfId="0" applyNumberFormat="1" applyFont="1" applyFill="1" applyBorder="1" applyAlignment="1" applyProtection="1">
      <alignment vertical="center" wrapText="1"/>
      <protection locked="0"/>
    </xf>
    <xf numFmtId="4" fontId="26" fillId="0" borderId="0" xfId="0" applyNumberFormat="1" applyFont="1" applyAlignment="1" applyProtection="1">
      <alignment horizontal="center" vertical="center" wrapText="1"/>
      <protection locked="0"/>
    </xf>
    <xf numFmtId="10" fontId="16" fillId="3" borderId="1" xfId="1" applyNumberFormat="1" applyFont="1" applyFill="1" applyBorder="1" applyProtection="1">
      <protection locked="0"/>
    </xf>
    <xf numFmtId="0" fontId="41" fillId="0" borderId="0" xfId="0" applyFont="1" applyAlignment="1" applyProtection="1">
      <alignment horizontal="center" vertical="center" wrapText="1"/>
      <protection locked="0"/>
    </xf>
    <xf numFmtId="0" fontId="16" fillId="3" borderId="0" xfId="5" applyFill="1" applyAlignment="1" applyProtection="1">
      <alignment vertical="center"/>
      <protection locked="0"/>
    </xf>
    <xf numFmtId="3" fontId="33" fillId="5" borderId="0" xfId="5" applyNumberFormat="1" applyFont="1" applyFill="1"/>
    <xf numFmtId="0" fontId="59" fillId="5" borderId="0" xfId="5" applyFont="1" applyFill="1" applyAlignment="1">
      <alignment horizontal="center"/>
    </xf>
    <xf numFmtId="4" fontId="59" fillId="5" borderId="0" xfId="5" applyNumberFormat="1" applyFont="1" applyFill="1" applyAlignment="1">
      <alignment horizontal="center"/>
    </xf>
    <xf numFmtId="176" fontId="63" fillId="5" borderId="12" xfId="5" applyNumberFormat="1" applyFont="1" applyFill="1" applyBorder="1" applyAlignment="1" applyProtection="1">
      <alignment horizontal="center" vertical="center"/>
      <protection hidden="1"/>
    </xf>
    <xf numFmtId="4" fontId="59" fillId="12" borderId="0" xfId="5" applyNumberFormat="1" applyFont="1" applyFill="1" applyAlignment="1" applyProtection="1">
      <alignment horizontal="center" vertical="center" wrapText="1"/>
      <protection hidden="1"/>
    </xf>
    <xf numFmtId="4" fontId="59" fillId="5" borderId="0" xfId="5" applyNumberFormat="1" applyFont="1" applyFill="1" applyAlignment="1" applyProtection="1">
      <alignment horizontal="center"/>
      <protection hidden="1"/>
    </xf>
    <xf numFmtId="0" fontId="59" fillId="5" borderId="0" xfId="5" applyFont="1" applyFill="1" applyProtection="1">
      <protection hidden="1"/>
    </xf>
    <xf numFmtId="0" fontId="55" fillId="0" borderId="19" xfId="2" applyFont="1" applyBorder="1" applyAlignment="1" applyProtection="1">
      <alignment vertical="center"/>
      <protection hidden="1"/>
    </xf>
    <xf numFmtId="176" fontId="63" fillId="5" borderId="13" xfId="5" applyNumberFormat="1" applyFont="1" applyFill="1" applyBorder="1" applyAlignment="1" applyProtection="1">
      <alignment horizontal="center" vertical="center" wrapText="1"/>
      <protection hidden="1"/>
    </xf>
    <xf numFmtId="4" fontId="53" fillId="0" borderId="21" xfId="5" applyNumberFormat="1" applyFont="1" applyBorder="1" applyAlignment="1" applyProtection="1">
      <alignment horizontal="center" vertical="center"/>
      <protection hidden="1"/>
    </xf>
    <xf numFmtId="4" fontId="53" fillId="0" borderId="13" xfId="5" applyNumberFormat="1" applyFont="1" applyBorder="1" applyAlignment="1" applyProtection="1">
      <alignment horizontal="center" vertical="center"/>
      <protection hidden="1"/>
    </xf>
    <xf numFmtId="0" fontId="53" fillId="0" borderId="16" xfId="2" applyFont="1" applyBorder="1" applyAlignment="1" applyProtection="1">
      <alignment horizontal="center" vertical="center"/>
      <protection hidden="1"/>
    </xf>
    <xf numFmtId="0" fontId="53" fillId="0" borderId="23" xfId="2" applyFont="1" applyBorder="1" applyAlignment="1" applyProtection="1">
      <alignment horizontal="center" vertical="center"/>
      <protection hidden="1"/>
    </xf>
    <xf numFmtId="0" fontId="53" fillId="0" borderId="17" xfId="2" applyFont="1" applyBorder="1" applyAlignment="1" applyProtection="1">
      <alignment horizontal="center" vertical="center"/>
      <protection hidden="1"/>
    </xf>
    <xf numFmtId="0" fontId="53" fillId="0" borderId="18" xfId="2" applyFont="1" applyBorder="1" applyAlignment="1" applyProtection="1">
      <alignment horizontal="center" vertical="center"/>
      <protection hidden="1"/>
    </xf>
    <xf numFmtId="0" fontId="53" fillId="0" borderId="0" xfId="2" applyFont="1" applyAlignment="1" applyProtection="1">
      <alignment horizontal="center" vertical="center"/>
      <protection hidden="1"/>
    </xf>
    <xf numFmtId="0" fontId="53" fillId="0" borderId="19" xfId="2" applyFont="1" applyBorder="1" applyAlignment="1" applyProtection="1">
      <alignment horizontal="center" vertical="center"/>
      <protection hidden="1"/>
    </xf>
    <xf numFmtId="0" fontId="53" fillId="0" borderId="20" xfId="2" applyFont="1" applyBorder="1" applyAlignment="1" applyProtection="1">
      <alignment horizontal="center" vertical="center"/>
      <protection hidden="1"/>
    </xf>
    <xf numFmtId="0" fontId="53" fillId="0" borderId="31" xfId="2" applyFont="1" applyBorder="1" applyAlignment="1" applyProtection="1">
      <alignment horizontal="center" vertical="center"/>
      <protection hidden="1"/>
    </xf>
    <xf numFmtId="0" fontId="53" fillId="0" borderId="15" xfId="2" applyFont="1" applyBorder="1" applyAlignment="1" applyProtection="1">
      <alignment horizontal="center" vertical="center"/>
      <protection hidden="1"/>
    </xf>
    <xf numFmtId="0" fontId="64" fillId="3" borderId="0" xfId="5" applyFont="1" applyFill="1" applyAlignment="1">
      <alignment horizontal="left" vertical="top" wrapText="1"/>
    </xf>
    <xf numFmtId="0" fontId="52" fillId="0" borderId="16" xfId="2" applyFont="1" applyBorder="1" applyAlignment="1" applyProtection="1">
      <alignment horizontal="center" vertical="center"/>
      <protection hidden="1"/>
    </xf>
    <xf numFmtId="0" fontId="52" fillId="0" borderId="17" xfId="2" applyFont="1" applyBorder="1" applyAlignment="1" applyProtection="1">
      <alignment horizontal="center" vertical="center"/>
      <protection hidden="1"/>
    </xf>
    <xf numFmtId="0" fontId="52" fillId="0" borderId="20" xfId="2" applyFont="1" applyBorder="1" applyAlignment="1" applyProtection="1">
      <alignment horizontal="center" vertical="center"/>
      <protection hidden="1"/>
    </xf>
    <xf numFmtId="0" fontId="52" fillId="0" borderId="15" xfId="2" applyFont="1" applyBorder="1" applyAlignment="1" applyProtection="1">
      <alignment horizontal="center" vertical="center"/>
      <protection hidden="1"/>
    </xf>
    <xf numFmtId="176" fontId="53" fillId="10" borderId="32" xfId="5" applyNumberFormat="1" applyFont="1" applyFill="1" applyBorder="1" applyAlignment="1" applyProtection="1">
      <alignment horizontal="center" vertical="center"/>
      <protection hidden="1"/>
    </xf>
    <xf numFmtId="176" fontId="53" fillId="10" borderId="14" xfId="5" applyNumberFormat="1" applyFont="1" applyFill="1" applyBorder="1" applyAlignment="1" applyProtection="1">
      <alignment horizontal="center" vertical="center"/>
      <protection hidden="1"/>
    </xf>
    <xf numFmtId="4" fontId="59" fillId="5" borderId="0" xfId="5" applyNumberFormat="1" applyFont="1" applyFill="1" applyAlignment="1" applyProtection="1">
      <alignment horizontal="center"/>
      <protection hidden="1"/>
    </xf>
    <xf numFmtId="0" fontId="59" fillId="5" borderId="0" xfId="5" applyFont="1" applyFill="1" applyAlignment="1" applyProtection="1">
      <alignment horizontal="center"/>
      <protection hidden="1"/>
    </xf>
    <xf numFmtId="0" fontId="55" fillId="0" borderId="16" xfId="2" applyFont="1" applyBorder="1" applyAlignment="1" applyProtection="1">
      <alignment horizontal="center" vertical="center"/>
      <protection hidden="1"/>
    </xf>
    <xf numFmtId="0" fontId="55" fillId="0" borderId="17" xfId="2" applyFont="1" applyBorder="1" applyAlignment="1" applyProtection="1">
      <alignment horizontal="center" vertical="center"/>
      <protection hidden="1"/>
    </xf>
    <xf numFmtId="0" fontId="55" fillId="0" borderId="20" xfId="2" applyFont="1" applyBorder="1" applyAlignment="1" applyProtection="1">
      <alignment horizontal="center" vertical="center"/>
      <protection hidden="1"/>
    </xf>
    <xf numFmtId="0" fontId="55" fillId="0" borderId="15" xfId="2" applyFont="1" applyBorder="1" applyAlignment="1" applyProtection="1">
      <alignment horizontal="center" vertical="center"/>
      <protection hidden="1"/>
    </xf>
    <xf numFmtId="0" fontId="53" fillId="0" borderId="16" xfId="2" applyFont="1" applyBorder="1" applyAlignment="1" applyProtection="1">
      <alignment horizontal="center" vertical="center" wrapText="1"/>
      <protection hidden="1"/>
    </xf>
    <xf numFmtId="0" fontId="53" fillId="0" borderId="17" xfId="2" applyFont="1" applyBorder="1" applyAlignment="1" applyProtection="1">
      <alignment horizontal="center" vertical="center" wrapText="1"/>
      <protection hidden="1"/>
    </xf>
    <xf numFmtId="0" fontId="53" fillId="0" borderId="20" xfId="2" applyFont="1" applyBorder="1" applyAlignment="1" applyProtection="1">
      <alignment horizontal="center" vertical="center" wrapText="1"/>
      <protection hidden="1"/>
    </xf>
    <xf numFmtId="0" fontId="53" fillId="0" borderId="15" xfId="2" applyFont="1" applyBorder="1" applyAlignment="1" applyProtection="1">
      <alignment horizontal="center" vertical="center" wrapText="1"/>
      <protection hidden="1"/>
    </xf>
    <xf numFmtId="0" fontId="55" fillId="0" borderId="21" xfId="2" applyFont="1" applyBorder="1" applyAlignment="1" applyProtection="1">
      <alignment horizontal="center" vertical="center"/>
      <protection hidden="1"/>
    </xf>
    <xf numFmtId="0" fontId="55" fillId="0" borderId="24" xfId="2" applyFont="1" applyBorder="1" applyAlignment="1" applyProtection="1">
      <alignment horizontal="center" vertical="center"/>
      <protection hidden="1"/>
    </xf>
    <xf numFmtId="0" fontId="53" fillId="0" borderId="21" xfId="2" applyFont="1" applyBorder="1" applyAlignment="1" applyProtection="1">
      <alignment horizontal="center" vertical="center" wrapText="1"/>
      <protection hidden="1"/>
    </xf>
    <xf numFmtId="0" fontId="53" fillId="0" borderId="13" xfId="2" applyFont="1" applyBorder="1" applyAlignment="1" applyProtection="1">
      <alignment horizontal="center" vertical="center" wrapText="1"/>
      <protection hidden="1"/>
    </xf>
    <xf numFmtId="0" fontId="52" fillId="0" borderId="16" xfId="2" applyFont="1" applyBorder="1" applyAlignment="1" applyProtection="1">
      <alignment horizontal="center" vertical="center" wrapText="1"/>
      <protection hidden="1"/>
    </xf>
    <xf numFmtId="0" fontId="52" fillId="0" borderId="23" xfId="2" applyFont="1" applyBorder="1" applyAlignment="1" applyProtection="1">
      <alignment horizontal="center" vertical="center" wrapText="1"/>
      <protection hidden="1"/>
    </xf>
    <xf numFmtId="0" fontId="52" fillId="0" borderId="17" xfId="2" applyFont="1" applyBorder="1" applyAlignment="1" applyProtection="1">
      <alignment horizontal="center" vertical="center" wrapText="1"/>
      <protection hidden="1"/>
    </xf>
    <xf numFmtId="0" fontId="52" fillId="0" borderId="20" xfId="2" applyFont="1" applyBorder="1" applyAlignment="1" applyProtection="1">
      <alignment horizontal="center" vertical="center" wrapText="1"/>
      <protection hidden="1"/>
    </xf>
    <xf numFmtId="0" fontId="52" fillId="0" borderId="31" xfId="2" applyFont="1" applyBorder="1" applyAlignment="1" applyProtection="1">
      <alignment horizontal="center" vertical="center" wrapText="1"/>
      <protection hidden="1"/>
    </xf>
    <xf numFmtId="0" fontId="52" fillId="0" borderId="15" xfId="2" applyFont="1" applyBorder="1" applyAlignment="1" applyProtection="1">
      <alignment horizontal="center" vertical="center" wrapText="1"/>
      <protection hidden="1"/>
    </xf>
    <xf numFmtId="176" fontId="53" fillId="10" borderId="23" xfId="5" applyNumberFormat="1" applyFont="1" applyFill="1" applyBorder="1" applyAlignment="1" applyProtection="1">
      <alignment horizontal="center" vertical="center"/>
      <protection hidden="1"/>
    </xf>
    <xf numFmtId="176" fontId="53" fillId="10" borderId="17" xfId="5" applyNumberFormat="1" applyFont="1" applyFill="1" applyBorder="1" applyAlignment="1" applyProtection="1">
      <alignment horizontal="center" vertical="center"/>
      <protection hidden="1"/>
    </xf>
    <xf numFmtId="176" fontId="53" fillId="10" borderId="31" xfId="5" applyNumberFormat="1" applyFont="1" applyFill="1" applyBorder="1" applyAlignment="1" applyProtection="1">
      <alignment horizontal="center" vertical="center"/>
      <protection hidden="1"/>
    </xf>
    <xf numFmtId="176" fontId="53" fillId="10" borderId="15" xfId="5" applyNumberFormat="1" applyFont="1" applyFill="1" applyBorder="1" applyAlignment="1" applyProtection="1">
      <alignment horizontal="center" vertical="center"/>
      <protection hidden="1"/>
    </xf>
    <xf numFmtId="0" fontId="55" fillId="0" borderId="13" xfId="2" applyFont="1" applyBorder="1" applyAlignment="1" applyProtection="1">
      <alignment horizontal="center" vertical="center"/>
      <protection hidden="1"/>
    </xf>
    <xf numFmtId="4" fontId="53" fillId="10" borderId="21" xfId="5" applyNumberFormat="1" applyFont="1" applyFill="1" applyBorder="1" applyAlignment="1" applyProtection="1">
      <alignment horizontal="center" vertical="center"/>
      <protection hidden="1"/>
    </xf>
    <xf numFmtId="4" fontId="53" fillId="10" borderId="13" xfId="5" applyNumberFormat="1" applyFont="1" applyFill="1" applyBorder="1" applyAlignment="1" applyProtection="1">
      <alignment horizontal="center" vertical="center"/>
      <protection hidden="1"/>
    </xf>
    <xf numFmtId="4" fontId="59" fillId="12" borderId="0" xfId="5" applyNumberFormat="1" applyFont="1" applyFill="1" applyAlignment="1" applyProtection="1">
      <alignment horizontal="center" vertical="center"/>
      <protection hidden="1"/>
    </xf>
    <xf numFmtId="0" fontId="59" fillId="12" borderId="0" xfId="5" applyFont="1" applyFill="1" applyAlignment="1" applyProtection="1">
      <alignment horizontal="center" vertical="center" wrapText="1"/>
      <protection hidden="1"/>
    </xf>
    <xf numFmtId="0" fontId="55" fillId="0" borderId="21" xfId="2" applyFont="1" applyBorder="1" applyAlignment="1" applyProtection="1">
      <alignment horizontal="center" vertical="center" wrapText="1"/>
      <protection hidden="1"/>
    </xf>
    <xf numFmtId="0" fontId="55" fillId="0" borderId="24" xfId="2" applyFont="1" applyBorder="1" applyAlignment="1" applyProtection="1">
      <alignment horizontal="center" vertical="center" wrapText="1"/>
      <protection hidden="1"/>
    </xf>
    <xf numFmtId="0" fontId="55" fillId="0" borderId="13" xfId="2" applyFont="1" applyBorder="1" applyAlignment="1" applyProtection="1">
      <alignment horizontal="center" vertical="center" wrapText="1"/>
      <protection hidden="1"/>
    </xf>
    <xf numFmtId="176" fontId="63" fillId="5" borderId="21" xfId="5" applyNumberFormat="1" applyFont="1" applyFill="1" applyBorder="1" applyAlignment="1" applyProtection="1">
      <alignment horizontal="center" vertical="center"/>
      <protection hidden="1"/>
    </xf>
    <xf numFmtId="176" fontId="63" fillId="5" borderId="13" xfId="5" applyNumberFormat="1" applyFont="1" applyFill="1" applyBorder="1" applyAlignment="1" applyProtection="1">
      <alignment horizontal="center" vertical="center"/>
      <protection hidden="1"/>
    </xf>
    <xf numFmtId="0" fontId="53" fillId="10" borderId="21" xfId="5" applyFont="1" applyFill="1" applyBorder="1" applyAlignment="1" applyProtection="1">
      <alignment horizontal="center" vertical="center"/>
      <protection locked="0" hidden="1"/>
    </xf>
    <xf numFmtId="0" fontId="53" fillId="10" borderId="13" xfId="5" applyFont="1" applyFill="1" applyBorder="1" applyAlignment="1" applyProtection="1">
      <alignment horizontal="center" vertical="center"/>
      <protection locked="0" hidden="1"/>
    </xf>
    <xf numFmtId="4" fontId="59" fillId="12" borderId="0" xfId="5" applyNumberFormat="1" applyFont="1" applyFill="1" applyAlignment="1" applyProtection="1">
      <alignment horizontal="center" vertical="center" wrapText="1"/>
      <protection hidden="1"/>
    </xf>
    <xf numFmtId="0" fontId="33" fillId="3" borderId="30" xfId="5" applyFont="1" applyFill="1" applyBorder="1" applyAlignment="1" applyProtection="1">
      <alignment horizontal="center"/>
      <protection locked="0"/>
    </xf>
    <xf numFmtId="0" fontId="33" fillId="3" borderId="6" xfId="5" applyFont="1" applyFill="1" applyBorder="1" applyAlignment="1" applyProtection="1">
      <alignment horizontal="center"/>
      <protection locked="0"/>
    </xf>
    <xf numFmtId="173" fontId="33" fillId="3" borderId="5" xfId="5" applyNumberFormat="1" applyFont="1" applyFill="1" applyBorder="1" applyAlignment="1" applyProtection="1">
      <alignment horizontal="center"/>
      <protection locked="0"/>
    </xf>
    <xf numFmtId="173" fontId="33" fillId="3" borderId="6" xfId="5" applyNumberFormat="1" applyFont="1" applyFill="1" applyBorder="1" applyAlignment="1" applyProtection="1">
      <alignment horizontal="center"/>
      <protection locked="0"/>
    </xf>
    <xf numFmtId="173" fontId="34" fillId="3" borderId="5" xfId="5" applyNumberFormat="1" applyFont="1" applyFill="1" applyBorder="1" applyAlignment="1" applyProtection="1">
      <alignment horizontal="center"/>
      <protection locked="0"/>
    </xf>
    <xf numFmtId="173" fontId="34" fillId="3" borderId="48" xfId="5" applyNumberFormat="1" applyFont="1" applyFill="1" applyBorder="1" applyAlignment="1" applyProtection="1">
      <alignment horizontal="center"/>
      <protection locked="0"/>
    </xf>
    <xf numFmtId="4" fontId="33" fillId="3" borderId="5" xfId="5" applyNumberFormat="1" applyFont="1" applyFill="1" applyBorder="1" applyAlignment="1" applyProtection="1">
      <alignment horizontal="center"/>
      <protection locked="0"/>
    </xf>
    <xf numFmtId="4" fontId="33" fillId="3" borderId="6" xfId="5" applyNumberFormat="1" applyFont="1" applyFill="1" applyBorder="1" applyAlignment="1" applyProtection="1">
      <alignment horizontal="center"/>
      <protection locked="0"/>
    </xf>
    <xf numFmtId="4" fontId="34" fillId="3" borderId="5" xfId="5" applyNumberFormat="1" applyFont="1" applyFill="1" applyBorder="1" applyAlignment="1" applyProtection="1">
      <alignment horizontal="center"/>
      <protection locked="0"/>
    </xf>
    <xf numFmtId="4" fontId="34" fillId="3" borderId="48" xfId="5" applyNumberFormat="1" applyFont="1" applyFill="1" applyBorder="1" applyAlignment="1" applyProtection="1">
      <alignment horizontal="center"/>
      <protection locked="0"/>
    </xf>
    <xf numFmtId="0" fontId="28" fillId="3" borderId="21" xfId="2" applyFont="1" applyFill="1" applyBorder="1" applyAlignment="1" applyProtection="1">
      <alignment horizontal="center" vertical="center"/>
      <protection locked="0"/>
    </xf>
    <xf numFmtId="0" fontId="28" fillId="3" borderId="24" xfId="2" applyFont="1" applyFill="1" applyBorder="1" applyAlignment="1" applyProtection="1">
      <alignment horizontal="center" vertical="center"/>
      <protection locked="0"/>
    </xf>
    <xf numFmtId="0" fontId="28" fillId="3" borderId="13" xfId="2" applyFont="1" applyFill="1" applyBorder="1" applyAlignment="1" applyProtection="1">
      <alignment horizontal="center" vertical="center"/>
      <protection locked="0"/>
    </xf>
    <xf numFmtId="171" fontId="30" fillId="3" borderId="21" xfId="5" applyNumberFormat="1" applyFont="1" applyFill="1" applyBorder="1" applyAlignment="1" applyProtection="1">
      <alignment horizontal="center" vertical="center" wrapText="1"/>
      <protection locked="0"/>
    </xf>
    <xf numFmtId="171" fontId="30" fillId="3" borderId="13" xfId="5" applyNumberFormat="1" applyFont="1" applyFill="1" applyBorder="1" applyAlignment="1" applyProtection="1">
      <alignment horizontal="center" vertical="center" wrapText="1"/>
      <protection locked="0"/>
    </xf>
    <xf numFmtId="171" fontId="31" fillId="3" borderId="21" xfId="5" applyNumberFormat="1" applyFont="1" applyFill="1" applyBorder="1" applyAlignment="1" applyProtection="1">
      <alignment horizontal="center" vertical="center" wrapText="1"/>
      <protection locked="0"/>
    </xf>
    <xf numFmtId="171" fontId="31" fillId="3" borderId="13" xfId="5" applyNumberFormat="1" applyFont="1" applyFill="1" applyBorder="1" applyAlignment="1" applyProtection="1">
      <alignment horizontal="center" vertical="center" wrapText="1"/>
      <protection locked="0"/>
    </xf>
    <xf numFmtId="0" fontId="33" fillId="3" borderId="26" xfId="5" applyFont="1" applyFill="1" applyBorder="1" applyAlignment="1" applyProtection="1">
      <alignment horizontal="center"/>
      <protection locked="0"/>
    </xf>
    <xf numFmtId="0" fontId="33" fillId="3" borderId="27" xfId="5" applyFont="1" applyFill="1" applyBorder="1" applyAlignment="1" applyProtection="1">
      <alignment horizontal="center"/>
      <protection locked="0"/>
    </xf>
    <xf numFmtId="173" fontId="33" fillId="3" borderId="28" xfId="5" applyNumberFormat="1" applyFont="1" applyFill="1" applyBorder="1" applyAlignment="1" applyProtection="1">
      <alignment horizontal="center"/>
      <protection locked="0"/>
    </xf>
    <xf numFmtId="173" fontId="33" fillId="3" borderId="27" xfId="5" applyNumberFormat="1" applyFont="1" applyFill="1" applyBorder="1" applyAlignment="1" applyProtection="1">
      <alignment horizontal="center"/>
      <protection locked="0"/>
    </xf>
    <xf numFmtId="173" fontId="34" fillId="3" borderId="28" xfId="5" applyNumberFormat="1" applyFont="1" applyFill="1" applyBorder="1" applyAlignment="1" applyProtection="1">
      <alignment horizontal="center"/>
      <protection locked="0"/>
    </xf>
    <xf numFmtId="173" fontId="34" fillId="3" borderId="29" xfId="5" applyNumberFormat="1" applyFont="1" applyFill="1" applyBorder="1" applyAlignment="1" applyProtection="1">
      <alignment horizontal="center"/>
      <protection locked="0"/>
    </xf>
    <xf numFmtId="0" fontId="53" fillId="0" borderId="21" xfId="2" applyFont="1" applyBorder="1" applyAlignment="1" applyProtection="1">
      <alignment horizontal="center" vertical="center"/>
      <protection hidden="1"/>
    </xf>
    <xf numFmtId="0" fontId="53" fillId="0" borderId="24" xfId="2" applyFont="1" applyBorder="1" applyAlignment="1" applyProtection="1">
      <alignment horizontal="center" vertical="center"/>
      <protection hidden="1"/>
    </xf>
    <xf numFmtId="170" fontId="53" fillId="9" borderId="21" xfId="5" applyNumberFormat="1" applyFont="1" applyFill="1" applyBorder="1" applyAlignment="1" applyProtection="1">
      <alignment horizontal="center" vertical="center" wrapText="1"/>
      <protection hidden="1"/>
    </xf>
    <xf numFmtId="170" fontId="53" fillId="9" borderId="13" xfId="5" applyNumberFormat="1" applyFont="1" applyFill="1" applyBorder="1" applyAlignment="1" applyProtection="1">
      <alignment horizontal="center" vertical="center" wrapText="1"/>
      <protection hidden="1"/>
    </xf>
    <xf numFmtId="0" fontId="53" fillId="0" borderId="13" xfId="2" applyFont="1" applyBorder="1" applyAlignment="1" applyProtection="1">
      <alignment horizontal="center" vertical="center"/>
      <protection hidden="1"/>
    </xf>
    <xf numFmtId="0" fontId="27" fillId="3" borderId="21" xfId="2" applyFont="1" applyFill="1" applyBorder="1" applyAlignment="1" applyProtection="1">
      <alignment horizontal="center" vertical="center"/>
      <protection locked="0"/>
    </xf>
    <xf numFmtId="0" fontId="27" fillId="3" borderId="24" xfId="2" applyFont="1" applyFill="1" applyBorder="1" applyAlignment="1" applyProtection="1">
      <alignment horizontal="center" vertical="center"/>
      <protection locked="0"/>
    </xf>
    <xf numFmtId="0" fontId="27" fillId="3" borderId="13" xfId="2" applyFont="1" applyFill="1" applyBorder="1" applyAlignment="1" applyProtection="1">
      <alignment horizontal="center" vertical="center"/>
      <protection locked="0"/>
    </xf>
    <xf numFmtId="4" fontId="34" fillId="3" borderId="28" xfId="5" applyNumberFormat="1" applyFont="1" applyFill="1" applyBorder="1" applyAlignment="1" applyProtection="1">
      <alignment horizontal="center"/>
      <protection locked="0"/>
    </xf>
    <xf numFmtId="4" fontId="34" fillId="3" borderId="29" xfId="5" applyNumberFormat="1" applyFont="1" applyFill="1" applyBorder="1" applyAlignment="1" applyProtection="1">
      <alignment horizontal="center"/>
      <protection locked="0"/>
    </xf>
    <xf numFmtId="4" fontId="53" fillId="10" borderId="21" xfId="5" applyNumberFormat="1" applyFont="1" applyFill="1" applyBorder="1" applyAlignment="1" applyProtection="1">
      <alignment horizontal="center" vertical="center"/>
      <protection locked="0"/>
    </xf>
    <xf numFmtId="4" fontId="53" fillId="10" borderId="13" xfId="5" applyNumberFormat="1" applyFont="1" applyFill="1" applyBorder="1" applyAlignment="1" applyProtection="1">
      <alignment horizontal="center" vertical="center"/>
      <protection locked="0"/>
    </xf>
    <xf numFmtId="4" fontId="33" fillId="3" borderId="28" xfId="5" applyNumberFormat="1" applyFont="1" applyFill="1" applyBorder="1" applyAlignment="1" applyProtection="1">
      <alignment horizontal="center"/>
      <protection locked="0"/>
    </xf>
    <xf numFmtId="4" fontId="33" fillId="3" borderId="27" xfId="5" applyNumberFormat="1" applyFont="1" applyFill="1" applyBorder="1" applyAlignment="1" applyProtection="1">
      <alignment horizontal="center"/>
      <protection locked="0"/>
    </xf>
    <xf numFmtId="4" fontId="53" fillId="5" borderId="21" xfId="5" applyNumberFormat="1" applyFont="1" applyFill="1" applyBorder="1" applyAlignment="1" applyProtection="1">
      <alignment horizontal="center" vertical="center"/>
      <protection locked="0" hidden="1"/>
    </xf>
    <xf numFmtId="4" fontId="53" fillId="5" borderId="13" xfId="5" applyNumberFormat="1" applyFont="1" applyFill="1" applyBorder="1" applyAlignment="1" applyProtection="1">
      <alignment horizontal="center" vertical="center"/>
      <protection locked="0" hidden="1"/>
    </xf>
    <xf numFmtId="10" fontId="53" fillId="10" borderId="21" xfId="5" applyNumberFormat="1" applyFont="1" applyFill="1" applyBorder="1" applyAlignment="1" applyProtection="1">
      <alignment horizontal="center" vertical="center" wrapText="1"/>
      <protection hidden="1"/>
    </xf>
    <xf numFmtId="10" fontId="53" fillId="10" borderId="13" xfId="5" applyNumberFormat="1" applyFont="1" applyFill="1" applyBorder="1" applyAlignment="1" applyProtection="1">
      <alignment horizontal="center" vertical="center" wrapText="1"/>
      <protection hidden="1"/>
    </xf>
    <xf numFmtId="176" fontId="63" fillId="5" borderId="32" xfId="5" applyNumberFormat="1" applyFont="1" applyFill="1" applyBorder="1" applyAlignment="1" applyProtection="1">
      <alignment horizontal="center" vertical="center"/>
      <protection hidden="1"/>
    </xf>
    <xf numFmtId="176" fontId="63" fillId="5" borderId="14" xfId="5" applyNumberFormat="1" applyFont="1" applyFill="1" applyBorder="1" applyAlignment="1" applyProtection="1">
      <alignment horizontal="center" vertical="center"/>
      <protection hidden="1"/>
    </xf>
    <xf numFmtId="0" fontId="43" fillId="3" borderId="41" xfId="5" applyFont="1" applyFill="1" applyBorder="1" applyAlignment="1" applyProtection="1">
      <alignment horizontal="center" vertical="center"/>
      <protection locked="0"/>
    </xf>
    <xf numFmtId="0" fontId="43" fillId="3" borderId="42" xfId="5" applyFont="1" applyFill="1" applyBorder="1" applyAlignment="1" applyProtection="1">
      <alignment horizontal="center" vertical="center"/>
      <protection locked="0"/>
    </xf>
    <xf numFmtId="0" fontId="43" fillId="3" borderId="0" xfId="5" applyFont="1" applyFill="1" applyAlignment="1" applyProtection="1">
      <alignment horizontal="center" vertical="center"/>
      <protection locked="0"/>
    </xf>
    <xf numFmtId="4" fontId="43" fillId="3" borderId="0" xfId="5" applyNumberFormat="1" applyFont="1" applyFill="1" applyAlignment="1" applyProtection="1">
      <alignment horizontal="center" vertical="center"/>
      <protection locked="0"/>
    </xf>
    <xf numFmtId="4" fontId="43" fillId="3" borderId="51" xfId="5" applyNumberFormat="1" applyFont="1" applyFill="1" applyBorder="1" applyAlignment="1" applyProtection="1">
      <alignment horizontal="center" vertical="center"/>
      <protection locked="0"/>
    </xf>
    <xf numFmtId="4" fontId="43" fillId="3" borderId="42" xfId="5" applyNumberFormat="1" applyFont="1" applyFill="1" applyBorder="1" applyAlignment="1" applyProtection="1">
      <alignment horizontal="center" vertical="center"/>
      <protection locked="0"/>
    </xf>
    <xf numFmtId="173" fontId="43" fillId="3" borderId="51" xfId="5" applyNumberFormat="1" applyFont="1" applyFill="1" applyBorder="1" applyAlignment="1" applyProtection="1">
      <alignment horizontal="center" vertical="center"/>
      <protection locked="0"/>
    </xf>
    <xf numFmtId="173" fontId="43" fillId="3" borderId="52" xfId="5" applyNumberFormat="1" applyFont="1" applyFill="1" applyBorder="1" applyAlignment="1" applyProtection="1">
      <alignment horizontal="center" vertical="center"/>
      <protection locked="0"/>
    </xf>
    <xf numFmtId="0" fontId="33" fillId="3" borderId="10" xfId="5" applyFont="1" applyFill="1" applyBorder="1" applyAlignment="1" applyProtection="1">
      <alignment horizontal="center"/>
      <protection locked="0"/>
    </xf>
    <xf numFmtId="173" fontId="33" fillId="3" borderId="10" xfId="5" applyNumberFormat="1" applyFont="1" applyFill="1" applyBorder="1" applyAlignment="1" applyProtection="1">
      <alignment horizontal="center"/>
      <protection locked="0"/>
    </xf>
    <xf numFmtId="173" fontId="34" fillId="3" borderId="10" xfId="5" applyNumberFormat="1" applyFont="1" applyFill="1" applyBorder="1" applyAlignment="1" applyProtection="1">
      <alignment horizontal="center"/>
      <protection locked="0"/>
    </xf>
    <xf numFmtId="4" fontId="34" fillId="5" borderId="0" xfId="5" applyNumberFormat="1" applyFont="1" applyFill="1" applyAlignment="1">
      <alignment horizontal="center"/>
    </xf>
  </cellXfs>
  <cellStyles count="6">
    <cellStyle name="Відсотковий" xfId="1" builtinId="5"/>
    <cellStyle name="Звичайний" xfId="0" builtinId="0"/>
    <cellStyle name="Звичайний 2" xfId="2" xr:uid="{4C315466-C89E-4675-8E18-99BDAE63F1D8}"/>
    <cellStyle name="Звичайний 3" xfId="3" xr:uid="{C571C02F-CEF6-4CED-94AC-6EE1571F554F}"/>
    <cellStyle name="Обычный_Nedootrumani_dohodu" xfId="5" xr:uid="{D7BF08D5-CB88-44F0-A87D-6E2A7405AF77}"/>
    <cellStyle name="Фінансовий" xfId="4" builtinId="3"/>
  </cellStyles>
  <dxfs count="65">
    <dxf>
      <font>
        <color theme="0"/>
      </font>
      <border>
        <left style="thin">
          <color auto="1"/>
        </left>
        <right/>
        <top/>
        <bottom/>
        <vertical/>
        <horizontal/>
      </border>
    </dxf>
    <dxf>
      <font>
        <b/>
        <i val="0"/>
        <color rgb="FF00B050"/>
      </font>
    </dxf>
    <dxf>
      <font>
        <b/>
        <i val="0"/>
        <color rgb="FFFF0000"/>
      </font>
    </dxf>
    <dxf>
      <font>
        <color theme="0"/>
      </font>
      <border>
        <left style="thin">
          <color auto="1"/>
        </left>
        <right/>
        <top/>
        <bottom/>
        <vertical/>
        <horizontal/>
      </border>
    </dxf>
    <dxf>
      <font>
        <b/>
        <i val="0"/>
        <color rgb="FF00B050"/>
      </font>
    </dxf>
    <dxf>
      <font>
        <b/>
        <i val="0"/>
        <color rgb="FFFF0000"/>
      </font>
    </dxf>
    <dxf>
      <font>
        <color theme="0"/>
      </font>
      <border>
        <left style="thin">
          <color auto="1"/>
        </left>
        <right/>
        <top/>
        <bottom/>
        <vertical/>
        <horizontal/>
      </border>
    </dxf>
    <dxf>
      <font>
        <b/>
        <i val="0"/>
        <color rgb="FF00B050"/>
      </font>
    </dxf>
    <dxf>
      <font>
        <b/>
        <i val="0"/>
        <color rgb="FFFF0000"/>
      </font>
    </dxf>
    <dxf>
      <font>
        <color auto="1"/>
      </font>
    </dxf>
    <dxf>
      <font>
        <b/>
        <i val="0"/>
        <color auto="1"/>
      </font>
    </dxf>
    <dxf>
      <font>
        <color theme="0"/>
      </font>
      <fill>
        <patternFill>
          <bgColor theme="0"/>
        </patternFill>
      </fill>
    </dxf>
    <dxf>
      <font>
        <color theme="0"/>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rgb="FFC0E498"/>
      </font>
    </dxf>
    <dxf>
      <font>
        <color theme="0" tint="-0.14996795556505021"/>
      </font>
      <fill>
        <patternFill>
          <bgColor theme="0" tint="-0.14996795556505021"/>
        </patternFill>
      </fill>
    </dxf>
    <dxf>
      <numFmt numFmtId="14" formatCode="0.00%"/>
    </dxf>
    <dxf>
      <font>
        <color theme="0" tint="-0.24994659260841701"/>
      </font>
    </dxf>
    <dxf>
      <font>
        <color theme="0"/>
      </font>
    </dxf>
    <dxf>
      <fill>
        <patternFill>
          <bgColor rgb="FFFFFF00"/>
        </patternFill>
      </fill>
    </dxf>
    <dxf>
      <fill>
        <patternFill>
          <bgColor rgb="FFFFFF0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00"/>
        </patternFill>
      </fill>
    </dxf>
    <dxf>
      <fill>
        <patternFill>
          <bgColor rgb="FFFFFF00"/>
        </patternFill>
      </fill>
    </dxf>
    <dxf>
      <font>
        <color theme="0"/>
      </font>
    </dxf>
    <dxf>
      <numFmt numFmtId="169" formatCode="0.000"/>
      <fill>
        <patternFill>
          <bgColor rgb="FFC0E498"/>
        </patternFill>
      </fill>
    </dxf>
    <dxf>
      <numFmt numFmtId="169" formatCode="0.000"/>
      <fill>
        <patternFill>
          <bgColor rgb="FFC0E498"/>
        </patternFill>
      </fill>
    </dxf>
    <dxf>
      <numFmt numFmtId="169" formatCode="0.000"/>
      <fill>
        <patternFill>
          <bgColor rgb="FFC0E498"/>
        </patternFill>
      </fill>
    </dxf>
    <dxf>
      <font>
        <color auto="1"/>
      </font>
      <fill>
        <patternFill>
          <bgColor rgb="FFC0E498"/>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theme="0"/>
      </font>
      <fill>
        <patternFill patternType="none">
          <bgColor auto="1"/>
        </patternFill>
      </fill>
      <border>
        <left style="thin">
          <color theme="0"/>
        </left>
        <right style="thin">
          <color theme="0"/>
        </right>
        <top style="thin">
          <color theme="0"/>
        </top>
        <bottom style="thin">
          <color theme="0"/>
        </bottom>
      </border>
    </dxf>
    <dxf>
      <font>
        <condense val="0"/>
        <extend val="0"/>
        <color indexed="9"/>
      </font>
      <border>
        <left/>
        <right/>
        <top/>
        <bottom/>
      </border>
    </dxf>
    <dxf>
      <font>
        <condense val="0"/>
        <extend val="0"/>
        <color indexed="9"/>
      </font>
      <border>
        <left/>
        <right/>
        <top/>
        <bottom/>
      </border>
    </dxf>
    <dxf>
      <font>
        <b/>
        <i val="0"/>
        <condense val="0"/>
        <extend val="0"/>
        <color indexed="41"/>
      </font>
      <fill>
        <patternFill>
          <bgColor indexed="41"/>
        </patternFill>
      </fill>
      <border>
        <left style="thin">
          <color indexed="64"/>
        </left>
        <right style="thin">
          <color indexed="64"/>
        </right>
        <top style="thin">
          <color indexed="64"/>
        </top>
        <bottom style="thin">
          <color indexed="64"/>
        </bottom>
      </border>
    </dxf>
    <dxf>
      <font>
        <condense val="0"/>
        <extend val="0"/>
        <color indexed="9"/>
      </font>
      <border>
        <left/>
        <right/>
        <top/>
        <bottom/>
      </border>
    </dxf>
    <dxf>
      <font>
        <condense val="0"/>
        <extend val="0"/>
        <color indexed="9"/>
      </font>
      <border>
        <left/>
        <right/>
        <top/>
        <bottom/>
      </border>
    </dxf>
    <dxf>
      <font>
        <condense val="0"/>
        <extend val="0"/>
        <color indexed="9"/>
      </font>
      <border>
        <left/>
        <right/>
        <top/>
        <bottom/>
      </border>
    </dxf>
    <dxf>
      <font>
        <b/>
        <i val="0"/>
        <condense val="0"/>
        <extend val="0"/>
        <color auto="1"/>
      </font>
      <fill>
        <patternFill>
          <bgColor indexed="41"/>
        </patternFill>
      </fill>
      <border>
        <left style="thin">
          <color indexed="64"/>
        </left>
        <right style="thin">
          <color indexed="64"/>
        </right>
        <top style="thin">
          <color indexed="64"/>
        </top>
        <bottom style="thin">
          <color indexed="64"/>
        </bottom>
      </border>
    </dxf>
    <dxf>
      <font>
        <condense val="0"/>
        <extend val="0"/>
        <color indexed="9"/>
      </font>
      <border>
        <left/>
        <right/>
        <top/>
        <bottom/>
      </border>
    </dxf>
    <dxf>
      <font>
        <condense val="0"/>
        <extend val="0"/>
        <color indexed="9"/>
      </font>
      <border>
        <left/>
        <right/>
        <top/>
        <bottom/>
      </border>
    </dxf>
    <dxf>
      <font>
        <b/>
        <i val="0"/>
        <condense val="0"/>
        <extend val="0"/>
        <color auto="1"/>
      </font>
      <fill>
        <patternFill>
          <bgColor indexed="41"/>
        </patternFill>
      </fill>
      <border>
        <left/>
        <right style="thin">
          <color indexed="64"/>
        </right>
        <top style="thin">
          <color indexed="64"/>
        </top>
        <bottom style="thin">
          <color indexed="64"/>
        </bottom>
      </border>
    </dxf>
    <dxf>
      <font>
        <condense val="0"/>
        <extend val="0"/>
        <color indexed="9"/>
      </font>
      <border>
        <left/>
        <right/>
        <top/>
        <bottom/>
      </border>
    </dxf>
    <dxf>
      <font>
        <condense val="0"/>
        <extend val="0"/>
        <color indexed="9"/>
      </font>
      <border>
        <left/>
        <right/>
        <top/>
        <bottom/>
      </border>
    </dxf>
    <dxf>
      <font>
        <b/>
        <i val="0"/>
        <condense val="0"/>
        <extend val="0"/>
        <color indexed="41"/>
      </font>
      <fill>
        <patternFill>
          <bgColor indexed="41"/>
        </patternFill>
      </fill>
      <border>
        <left style="thin">
          <color indexed="64"/>
        </left>
        <right/>
        <top style="thin">
          <color indexed="64"/>
        </top>
        <bottom style="thin">
          <color indexed="64"/>
        </bottom>
      </border>
    </dxf>
    <dxf>
      <font>
        <condense val="0"/>
        <extend val="0"/>
        <color indexed="9"/>
      </font>
      <border>
        <left/>
        <right/>
        <top/>
        <bottom/>
      </border>
    </dxf>
    <dxf>
      <font>
        <condense val="0"/>
        <extend val="0"/>
        <color indexed="9"/>
      </font>
      <border>
        <left/>
        <right/>
        <top/>
        <bottom/>
      </border>
    </dxf>
    <dxf>
      <font>
        <b/>
        <i val="0"/>
        <condense val="0"/>
        <extend val="0"/>
        <color auto="1"/>
      </font>
      <fill>
        <patternFill>
          <bgColor indexed="41"/>
        </patternFill>
      </fill>
      <border>
        <left style="thin">
          <color indexed="64"/>
        </left>
        <right style="thin">
          <color indexed="64"/>
        </right>
        <top style="thin">
          <color indexed="64"/>
        </top>
        <bottom style="thin">
          <color indexed="64"/>
        </bottom>
      </border>
    </dxf>
    <dxf>
      <fill>
        <patternFill>
          <bgColor rgb="FFFFFF99"/>
        </patternFill>
      </fill>
    </dxf>
    <dxf>
      <font>
        <color theme="0"/>
      </font>
      <border>
        <left style="thin">
          <color auto="1"/>
        </left>
        <right/>
        <top/>
        <bottom/>
        <vertical/>
        <horizontal/>
      </border>
    </dxf>
    <dxf>
      <font>
        <b/>
        <i val="0"/>
        <color rgb="FF00B050"/>
      </font>
    </dxf>
    <dxf>
      <font>
        <b/>
        <i val="0"/>
        <color rgb="FFFF0000"/>
      </font>
    </dxf>
    <dxf>
      <font>
        <color theme="0"/>
      </font>
      <border>
        <left style="thin">
          <color auto="1"/>
        </left>
        <right/>
        <top/>
        <bottom/>
        <vertical/>
        <horizontal/>
      </border>
    </dxf>
    <dxf>
      <font>
        <b/>
        <i val="0"/>
        <color rgb="FF00B050"/>
      </font>
    </dxf>
    <dxf>
      <font>
        <b/>
        <i val="0"/>
        <color rgb="FFFF0000"/>
      </font>
    </dxf>
  </dxfs>
  <tableStyles count="0" defaultTableStyle="TableStyleMedium2" defaultPivotStyle="PivotStyleLight16"/>
  <colors>
    <mruColors>
      <color rgb="FFC0E498"/>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85</xdr:col>
          <xdr:colOff>68580</xdr:colOff>
          <xdr:row>0</xdr:row>
          <xdr:rowOff>60960</xdr:rowOff>
        </xdr:from>
        <xdr:to>
          <xdr:col>86</xdr:col>
          <xdr:colOff>601980</xdr:colOff>
          <xdr:row>2</xdr:row>
          <xdr:rowOff>83820</xdr:rowOff>
        </xdr:to>
        <xdr:sp macro="" textlink="">
          <xdr:nvSpPr>
            <xdr:cNvPr id="8196" name="Button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uk-UA" sz="1000" b="0" i="0" u="none" strike="noStrike" baseline="0">
                  <a:solidFill>
                    <a:srgbClr val="000080"/>
                  </a:solidFill>
                  <a:latin typeface="Arial Cyr"/>
                  <a:cs typeface="Arial Cyr"/>
                </a:rPr>
                <a:t>Розрахувати ануїтетний платіж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65</xdr:col>
          <xdr:colOff>373380</xdr:colOff>
          <xdr:row>2</xdr:row>
          <xdr:rowOff>30480</xdr:rowOff>
        </xdr:to>
        <xdr:sp macro="" textlink="">
          <xdr:nvSpPr>
            <xdr:cNvPr id="8204" name="CommandButton1"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99060</xdr:colOff>
          <xdr:row>0</xdr:row>
          <xdr:rowOff>45720</xdr:rowOff>
        </xdr:from>
        <xdr:to>
          <xdr:col>79</xdr:col>
          <xdr:colOff>99060</xdr:colOff>
          <xdr:row>1</xdr:row>
          <xdr:rowOff>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uk-UA" sz="1000" b="0" i="0" u="none" strike="noStrike" baseline="0">
                  <a:solidFill>
                    <a:srgbClr val="000080"/>
                  </a:solidFill>
                  <a:latin typeface="Arial Cyr"/>
                  <a:cs typeface="Arial Cyr"/>
                </a:rPr>
                <a:t>Перебудувати графік</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1552574</xdr:rowOff>
    </xdr:from>
    <xdr:to>
      <xdr:col>13</xdr:col>
      <xdr:colOff>2667000</xdr:colOff>
      <xdr:row>0</xdr:row>
      <xdr:rowOff>1762125</xdr:rowOff>
    </xdr:to>
    <xdr:sp macro="" textlink="">
      <xdr:nvSpPr>
        <xdr:cNvPr id="2" name="Прямоугольник 64">
          <a:extLst>
            <a:ext uri="{FF2B5EF4-FFF2-40B4-BE49-F238E27FC236}">
              <a16:creationId xmlns:a16="http://schemas.microsoft.com/office/drawing/2014/main" id="{BC714DF3-004D-435F-AE87-98BDF5858E61}"/>
            </a:ext>
          </a:extLst>
        </xdr:cNvPr>
        <xdr:cNvSpPr/>
      </xdr:nvSpPr>
      <xdr:spPr>
        <a:xfrm>
          <a:off x="0" y="1552574"/>
          <a:ext cx="10477500" cy="209551"/>
        </a:xfrm>
        <a:prstGeom prst="rect">
          <a:avLst/>
        </a:prstGeom>
        <a:solidFill>
          <a:srgbClr val="EC8A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uk-UA"/>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ru-RU"/>
        </a:p>
      </xdr:txBody>
    </xdr:sp>
    <xdr:clientData/>
  </xdr:twoCellAnchor>
  <xdr:twoCellAnchor>
    <xdr:from>
      <xdr:col>2</xdr:col>
      <xdr:colOff>259977</xdr:colOff>
      <xdr:row>0</xdr:row>
      <xdr:rowOff>412377</xdr:rowOff>
    </xdr:from>
    <xdr:to>
      <xdr:col>7</xdr:col>
      <xdr:colOff>91242</xdr:colOff>
      <xdr:row>0</xdr:row>
      <xdr:rowOff>1193430</xdr:rowOff>
    </xdr:to>
    <xdr:sp macro="" textlink="">
      <xdr:nvSpPr>
        <xdr:cNvPr id="6" name="Прямокутник 5">
          <a:extLst>
            <a:ext uri="{FF2B5EF4-FFF2-40B4-BE49-F238E27FC236}">
              <a16:creationId xmlns:a16="http://schemas.microsoft.com/office/drawing/2014/main" id="{EA760257-CC80-4689-B034-D72208A73C5D}"/>
            </a:ext>
          </a:extLst>
        </xdr:cNvPr>
        <xdr:cNvSpPr/>
      </xdr:nvSpPr>
      <xdr:spPr>
        <a:xfrm>
          <a:off x="519953" y="412377"/>
          <a:ext cx="3721948" cy="781053"/>
        </a:xfrm>
        <a:prstGeom prst="rect">
          <a:avLst/>
        </a:prstGeom>
      </xdr:spPr>
      <xdr:txBody>
        <a:bodyPr wrap="square">
          <a:noAutofit/>
        </a:bodyPr>
        <a:lstStyle>
          <a:defPPr>
            <a:defRPr lang="uk-UA"/>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uk-UA" sz="2000" baseline="0">
              <a:solidFill>
                <a:schemeClr val="bg1"/>
              </a:solidFill>
              <a:latin typeface="KredoBank ExtBd" pitchFamily="50" charset="0"/>
              <a:cs typeface="Times New Roman" panose="02020603050405020304" pitchFamily="18" charset="0"/>
            </a:rPr>
            <a:t>Кредитний калькулятор                                Автостарт </a:t>
          </a:r>
          <a:r>
            <a:rPr lang="en-US" sz="2000" baseline="0">
              <a:solidFill>
                <a:schemeClr val="bg1"/>
              </a:solidFill>
              <a:latin typeface="KredoBank ExtBd" pitchFamily="50" charset="0"/>
              <a:cs typeface="Times New Roman" panose="02020603050405020304" pitchFamily="18" charset="0"/>
            </a:rPr>
            <a:t>NEW</a:t>
          </a:r>
          <a:endParaRPr lang="uk-UA" sz="2000" baseline="0">
            <a:solidFill>
              <a:schemeClr val="bg1"/>
            </a:solidFill>
            <a:latin typeface="KredoBank ExtBd" pitchFamily="50" charset="0"/>
            <a:cs typeface="Times New Roman" panose="02020603050405020304" pitchFamily="18" charset="0"/>
          </a:endParaRPr>
        </a:p>
      </xdr:txBody>
    </xdr:sp>
    <xdr:clientData/>
  </xdr:twoCellAnchor>
  <xdr:twoCellAnchor editAs="oneCell">
    <xdr:from>
      <xdr:col>11</xdr:col>
      <xdr:colOff>806824</xdr:colOff>
      <xdr:row>0</xdr:row>
      <xdr:rowOff>224117</xdr:rowOff>
    </xdr:from>
    <xdr:to>
      <xdr:col>13</xdr:col>
      <xdr:colOff>1702399</xdr:colOff>
      <xdr:row>0</xdr:row>
      <xdr:rowOff>1370377</xdr:rowOff>
    </xdr:to>
    <xdr:pic>
      <xdr:nvPicPr>
        <xdr:cNvPr id="9" name="Рисунок 8">
          <a:extLst>
            <a:ext uri="{FF2B5EF4-FFF2-40B4-BE49-F238E27FC236}">
              <a16:creationId xmlns:a16="http://schemas.microsoft.com/office/drawing/2014/main" id="{A51DFD94-06A2-4018-AEB3-4F5C9C2F30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7436" y="224117"/>
          <a:ext cx="4508351" cy="1146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183092</xdr:colOff>
      <xdr:row>20</xdr:row>
      <xdr:rowOff>206828</xdr:rowOff>
    </xdr:from>
    <xdr:to>
      <xdr:col>13</xdr:col>
      <xdr:colOff>1823708</xdr:colOff>
      <xdr:row>22</xdr:row>
      <xdr:rowOff>357602</xdr:rowOff>
    </xdr:to>
    <xdr:sp macro="" textlink="">
      <xdr:nvSpPr>
        <xdr:cNvPr id="15" name="Прямоугольник 64">
          <a:extLst>
            <a:ext uri="{FF2B5EF4-FFF2-40B4-BE49-F238E27FC236}">
              <a16:creationId xmlns:a16="http://schemas.microsoft.com/office/drawing/2014/main" id="{C81C46B0-09E7-421C-91B9-9C95D44036D2}"/>
            </a:ext>
          </a:extLst>
        </xdr:cNvPr>
        <xdr:cNvSpPr/>
      </xdr:nvSpPr>
      <xdr:spPr>
        <a:xfrm>
          <a:off x="8053463" y="6966857"/>
          <a:ext cx="4318502" cy="640631"/>
        </a:xfrm>
        <a:prstGeom prst="rect">
          <a:avLst/>
        </a:prstGeom>
        <a:solidFill>
          <a:srgbClr val="EC8A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uk-UA"/>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ru-RU"/>
        </a:p>
      </xdr:txBody>
    </xdr:sp>
    <xdr:clientData/>
  </xdr:twoCellAnchor>
  <xdr:twoCellAnchor>
    <xdr:from>
      <xdr:col>0</xdr:col>
      <xdr:colOff>74084</xdr:colOff>
      <xdr:row>0</xdr:row>
      <xdr:rowOff>1600200</xdr:rowOff>
    </xdr:from>
    <xdr:to>
      <xdr:col>14</xdr:col>
      <xdr:colOff>0</xdr:colOff>
      <xdr:row>0</xdr:row>
      <xdr:rowOff>1794934</xdr:rowOff>
    </xdr:to>
    <xdr:sp macro="" textlink="">
      <xdr:nvSpPr>
        <xdr:cNvPr id="16" name="Прямоугольник 64">
          <a:extLst>
            <a:ext uri="{FF2B5EF4-FFF2-40B4-BE49-F238E27FC236}">
              <a16:creationId xmlns:a16="http://schemas.microsoft.com/office/drawing/2014/main" id="{C164D639-58F4-4862-B882-F6AAC242746E}"/>
            </a:ext>
          </a:extLst>
        </xdr:cNvPr>
        <xdr:cNvSpPr/>
      </xdr:nvSpPr>
      <xdr:spPr>
        <a:xfrm>
          <a:off x="74084" y="1600200"/>
          <a:ext cx="12316036" cy="194734"/>
        </a:xfrm>
        <a:prstGeom prst="rect">
          <a:avLst/>
        </a:prstGeom>
        <a:solidFill>
          <a:srgbClr val="EC8A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uk-UA"/>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ru-RU"/>
        </a:p>
      </xdr:txBody>
    </xdr:sp>
    <xdr:clientData/>
  </xdr:twoCellAnchor>
  <xdr:twoCellAnchor>
    <xdr:from>
      <xdr:col>1</xdr:col>
      <xdr:colOff>9826</xdr:colOff>
      <xdr:row>10</xdr:row>
      <xdr:rowOff>21772</xdr:rowOff>
    </xdr:from>
    <xdr:to>
      <xdr:col>13</xdr:col>
      <xdr:colOff>1839686</xdr:colOff>
      <xdr:row>10</xdr:row>
      <xdr:rowOff>348343</xdr:rowOff>
    </xdr:to>
    <xdr:sp macro="" textlink="">
      <xdr:nvSpPr>
        <xdr:cNvPr id="17" name="Прямоугольник 64">
          <a:extLst>
            <a:ext uri="{FF2B5EF4-FFF2-40B4-BE49-F238E27FC236}">
              <a16:creationId xmlns:a16="http://schemas.microsoft.com/office/drawing/2014/main" id="{32607CE1-4832-45F9-BC2C-E4FA369B425F}"/>
            </a:ext>
          </a:extLst>
        </xdr:cNvPr>
        <xdr:cNvSpPr/>
      </xdr:nvSpPr>
      <xdr:spPr>
        <a:xfrm>
          <a:off x="118683" y="4397829"/>
          <a:ext cx="12269260" cy="326571"/>
        </a:xfrm>
        <a:prstGeom prst="rect">
          <a:avLst/>
        </a:prstGeom>
        <a:solidFill>
          <a:srgbClr val="EC8A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uk-UA"/>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ru-RU"/>
        </a:p>
      </xdr:txBody>
    </xdr:sp>
    <xdr:clientData/>
  </xdr:twoCellAnchor>
  <mc:AlternateContent xmlns:mc="http://schemas.openxmlformats.org/markup-compatibility/2006">
    <mc:Choice xmlns:a14="http://schemas.microsoft.com/office/drawing/2010/main" Requires="a14">
      <xdr:twoCellAnchor editAs="oneCell">
        <xdr:from>
          <xdr:col>11</xdr:col>
          <xdr:colOff>792480</xdr:colOff>
          <xdr:row>18</xdr:row>
          <xdr:rowOff>403860</xdr:rowOff>
        </xdr:from>
        <xdr:to>
          <xdr:col>88</xdr:col>
          <xdr:colOff>289560</xdr:colOff>
          <xdr:row>20</xdr:row>
          <xdr:rowOff>0</xdr:rowOff>
        </xdr:to>
        <xdr:sp macro="" textlink="">
          <xdr:nvSpPr>
            <xdr:cNvPr id="12293" name="Button 5" hidden="1">
              <a:extLst>
                <a:ext uri="{63B3BB69-23CF-44E3-9099-C40C66FF867C}">
                  <a14:compatExt spid="_x0000_s12293"/>
                </a:ext>
                <a:ext uri="{FF2B5EF4-FFF2-40B4-BE49-F238E27FC236}">
                  <a16:creationId xmlns:a16="http://schemas.microsoft.com/office/drawing/2014/main" id="{00000000-0008-0000-0400-0000053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uk-UA" sz="1000" b="1" i="0" u="none" strike="noStrike" baseline="0">
                  <a:solidFill>
                    <a:srgbClr val="008000"/>
                  </a:solidFill>
                  <a:latin typeface="Arial Cyr"/>
                  <a:cs typeface="Arial Cyr"/>
                </a:rPr>
                <a:t>Очистити графік погашення кредиту</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792480</xdr:colOff>
          <xdr:row>17</xdr:row>
          <xdr:rowOff>228600</xdr:rowOff>
        </xdr:from>
        <xdr:to>
          <xdr:col>88</xdr:col>
          <xdr:colOff>289560</xdr:colOff>
          <xdr:row>19</xdr:row>
          <xdr:rowOff>0</xdr:rowOff>
        </xdr:to>
        <xdr:sp macro="" textlink="">
          <xdr:nvSpPr>
            <xdr:cNvPr id="12294" name="Button 6" hidden="1">
              <a:extLst>
                <a:ext uri="{63B3BB69-23CF-44E3-9099-C40C66FF867C}">
                  <a14:compatExt spid="_x0000_s12294"/>
                </a:ext>
                <a:ext uri="{FF2B5EF4-FFF2-40B4-BE49-F238E27FC236}">
                  <a16:creationId xmlns:a16="http://schemas.microsoft.com/office/drawing/2014/main" id="{00000000-0008-0000-0400-000006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uk-UA" sz="1400" b="1" i="0" u="none" strike="noStrike" baseline="0">
                  <a:solidFill>
                    <a:srgbClr val="008000"/>
                  </a:solidFill>
                  <a:latin typeface="Calibri"/>
                  <a:ea typeface="Calibri"/>
                  <a:cs typeface="Calibri"/>
                </a:rPr>
                <a:t>Очистити дані</a:t>
              </a:r>
            </a:p>
          </xdr:txBody>
        </xdr:sp>
        <xdr:clientData fPrintsWithSheet="0"/>
      </xdr:twoCellAnchor>
    </mc:Choice>
    <mc:Fallback/>
  </mc:AlternateContent>
  <xdr:twoCellAnchor>
    <xdr:from>
      <xdr:col>9</xdr:col>
      <xdr:colOff>148015</xdr:colOff>
      <xdr:row>21</xdr:row>
      <xdr:rowOff>10886</xdr:rowOff>
    </xdr:from>
    <xdr:to>
      <xdr:col>13</xdr:col>
      <xdr:colOff>1839686</xdr:colOff>
      <xdr:row>22</xdr:row>
      <xdr:rowOff>348343</xdr:rowOff>
    </xdr:to>
    <xdr:sp macro="" textlink="">
      <xdr:nvSpPr>
        <xdr:cNvPr id="20" name="TextBox 19">
          <a:extLst>
            <a:ext uri="{FF2B5EF4-FFF2-40B4-BE49-F238E27FC236}">
              <a16:creationId xmlns:a16="http://schemas.microsoft.com/office/drawing/2014/main" id="{49713401-2461-4E41-BEE2-11EDA5BC17CC}"/>
            </a:ext>
          </a:extLst>
        </xdr:cNvPr>
        <xdr:cNvSpPr txBox="1"/>
      </xdr:nvSpPr>
      <xdr:spPr>
        <a:xfrm>
          <a:off x="8018386" y="6988629"/>
          <a:ext cx="4369557" cy="60960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ru-RU" sz="1600" b="1" i="0" u="none" strike="noStrike" kern="0" cap="none" spc="0" normalizeH="0" baseline="0" noProof="0">
              <a:ln>
                <a:noFill/>
              </a:ln>
              <a:solidFill>
                <a:prstClr val="white"/>
              </a:solidFill>
              <a:effectLst/>
              <a:uLnTx/>
              <a:uFillTx/>
              <a:latin typeface="Times New Roman" panose="02020603050405020304" pitchFamily="18" charset="0"/>
              <a:ea typeface="+mn-ea"/>
              <a:cs typeface="Times New Roman" panose="02020603050405020304" pitchFamily="18" charset="0"/>
            </a:rPr>
            <a:t>Першочергові витрати на придбання автомобіля</a:t>
          </a:r>
          <a:r>
            <a:rPr kumimoji="0" lang="uk-UA" sz="1600" b="1" i="0" u="none" strike="noStrike" kern="0" cap="none" spc="0" normalizeH="0" baseline="0" noProof="0">
              <a:ln>
                <a:noFill/>
              </a:ln>
              <a:solidFill>
                <a:prstClr val="white"/>
              </a:solidFill>
              <a:effectLst/>
              <a:uLnTx/>
              <a:uFillTx/>
              <a:latin typeface="Times New Roman" panose="02020603050405020304" pitchFamily="18" charset="0"/>
              <a:ea typeface="+mn-ea"/>
              <a:cs typeface="Times New Roman" panose="02020603050405020304" pitchFamily="18" charset="0"/>
            </a:rPr>
            <a:t>:</a:t>
          </a:r>
        </a:p>
      </xdr:txBody>
    </xdr:sp>
    <xdr:clientData/>
  </xdr:twoCellAnchor>
  <xdr:twoCellAnchor>
    <xdr:from>
      <xdr:col>0</xdr:col>
      <xdr:colOff>50800</xdr:colOff>
      <xdr:row>10</xdr:row>
      <xdr:rowOff>29633</xdr:rowOff>
    </xdr:from>
    <xdr:to>
      <xdr:col>4</xdr:col>
      <xdr:colOff>71688</xdr:colOff>
      <xdr:row>10</xdr:row>
      <xdr:rowOff>368299</xdr:rowOff>
    </xdr:to>
    <xdr:sp macro="" textlink="">
      <xdr:nvSpPr>
        <xdr:cNvPr id="21" name="TextBox 20">
          <a:extLst>
            <a:ext uri="{FF2B5EF4-FFF2-40B4-BE49-F238E27FC236}">
              <a16:creationId xmlns:a16="http://schemas.microsoft.com/office/drawing/2014/main" id="{22F3C071-32B4-4560-86F3-71CB262E5F7F}"/>
            </a:ext>
          </a:extLst>
        </xdr:cNvPr>
        <xdr:cNvSpPr txBox="1"/>
      </xdr:nvSpPr>
      <xdr:spPr>
        <a:xfrm>
          <a:off x="50800" y="4609253"/>
          <a:ext cx="2169728" cy="338666"/>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uk-UA" sz="1400" b="1">
              <a:solidFill>
                <a:schemeClr val="bg1"/>
              </a:solidFill>
              <a:latin typeface="Times New Roman" panose="02020603050405020304" pitchFamily="18" charset="0"/>
              <a:cs typeface="Times New Roman" panose="02020603050405020304" pitchFamily="18" charset="0"/>
            </a:rPr>
            <a:t>Умови</a:t>
          </a:r>
          <a:r>
            <a:rPr lang="uk-UA" sz="1400" b="1" baseline="0">
              <a:solidFill>
                <a:schemeClr val="bg1"/>
              </a:solidFill>
              <a:latin typeface="Times New Roman" panose="02020603050405020304" pitchFamily="18" charset="0"/>
              <a:cs typeface="Times New Roman" panose="02020603050405020304" pitchFamily="18" charset="0"/>
            </a:rPr>
            <a:t> страхування:</a:t>
          </a:r>
          <a:endParaRPr lang="uk-UA" sz="1400"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editAs="oneCell">
    <xdr:from>
      <xdr:col>12</xdr:col>
      <xdr:colOff>213360</xdr:colOff>
      <xdr:row>47</xdr:row>
      <xdr:rowOff>137160</xdr:rowOff>
    </xdr:from>
    <xdr:to>
      <xdr:col>84</xdr:col>
      <xdr:colOff>274320</xdr:colOff>
      <xdr:row>51</xdr:row>
      <xdr:rowOff>97972</xdr:rowOff>
    </xdr:to>
    <xdr:pic>
      <xdr:nvPicPr>
        <xdr:cNvPr id="25" name="Рисунок 22" descr="arrow.png">
          <a:extLst>
            <a:ext uri="{FF2B5EF4-FFF2-40B4-BE49-F238E27FC236}">
              <a16:creationId xmlns:a16="http://schemas.microsoft.com/office/drawing/2014/main" id="{32029D24-2A6D-48D9-AAF7-F0125DF9BD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7920" y="12801600"/>
          <a:ext cx="27432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141514</xdr:colOff>
      <xdr:row>18</xdr:row>
      <xdr:rowOff>1089</xdr:rowOff>
    </xdr:from>
    <xdr:to>
      <xdr:col>84</xdr:col>
      <xdr:colOff>247105</xdr:colOff>
      <xdr:row>20</xdr:row>
      <xdr:rowOff>13432</xdr:rowOff>
    </xdr:to>
    <xdr:pic>
      <xdr:nvPicPr>
        <xdr:cNvPr id="26" name="Рисунок 23" descr="arrow.png">
          <a:extLst>
            <a:ext uri="{FF2B5EF4-FFF2-40B4-BE49-F238E27FC236}">
              <a16:creationId xmlns:a16="http://schemas.microsoft.com/office/drawing/2014/main" id="{13BDE164-87AD-47F6-8E25-8A199A394A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7085" y="5857603"/>
          <a:ext cx="247105" cy="915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59267</xdr:colOff>
      <xdr:row>0</xdr:row>
      <xdr:rowOff>1533312</xdr:rowOff>
    </xdr:from>
    <xdr:to>
      <xdr:col>4</xdr:col>
      <xdr:colOff>70647</xdr:colOff>
      <xdr:row>1</xdr:row>
      <xdr:rowOff>18130</xdr:rowOff>
    </xdr:to>
    <xdr:sp macro="" textlink="">
      <xdr:nvSpPr>
        <xdr:cNvPr id="27" name="TextBox 26">
          <a:extLst>
            <a:ext uri="{FF2B5EF4-FFF2-40B4-BE49-F238E27FC236}">
              <a16:creationId xmlns:a16="http://schemas.microsoft.com/office/drawing/2014/main" id="{3F1F2B6E-4A02-4EBA-9E4E-157FC71866F9}"/>
            </a:ext>
          </a:extLst>
        </xdr:cNvPr>
        <xdr:cNvSpPr txBox="1"/>
      </xdr:nvSpPr>
      <xdr:spPr>
        <a:xfrm>
          <a:off x="59267" y="1533312"/>
          <a:ext cx="2160220" cy="328858"/>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uk-UA" sz="1400" b="1">
              <a:solidFill>
                <a:schemeClr val="bg1"/>
              </a:solidFill>
              <a:latin typeface="Times New Roman" panose="02020603050405020304" pitchFamily="18" charset="0"/>
              <a:cs typeface="Times New Roman" panose="02020603050405020304" pitchFamily="18" charset="0"/>
            </a:rPr>
            <a:t>Умови</a:t>
          </a:r>
          <a:r>
            <a:rPr lang="uk-UA" sz="1400" b="1" baseline="0">
              <a:solidFill>
                <a:schemeClr val="bg1"/>
              </a:solidFill>
              <a:latin typeface="Times New Roman" panose="02020603050405020304" pitchFamily="18" charset="0"/>
              <a:cs typeface="Times New Roman" panose="02020603050405020304" pitchFamily="18" charset="0"/>
            </a:rPr>
            <a:t> кредитування:</a:t>
          </a:r>
          <a:endParaRPr lang="uk-UA" sz="1400" b="1">
            <a:solidFill>
              <a:schemeClr val="bg1"/>
            </a:solidFill>
            <a:latin typeface="Times New Roman" panose="02020603050405020304" pitchFamily="18" charset="0"/>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7</xdr:col>
          <xdr:colOff>198120</xdr:colOff>
          <xdr:row>18</xdr:row>
          <xdr:rowOff>68580</xdr:rowOff>
        </xdr:from>
        <xdr:to>
          <xdr:col>88</xdr:col>
          <xdr:colOff>281940</xdr:colOff>
          <xdr:row>20</xdr:row>
          <xdr:rowOff>0</xdr:rowOff>
        </xdr:to>
        <xdr:sp macro="" textlink="">
          <xdr:nvSpPr>
            <xdr:cNvPr id="12303" name="Button 15" hidden="1">
              <a:extLst>
                <a:ext uri="{63B3BB69-23CF-44E3-9099-C40C66FF867C}">
                  <a14:compatExt spid="_x0000_s12303"/>
                </a:ext>
                <a:ext uri="{FF2B5EF4-FFF2-40B4-BE49-F238E27FC236}">
                  <a16:creationId xmlns:a16="http://schemas.microsoft.com/office/drawing/2014/main" id="{00000000-0008-0000-0400-00000F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uk-UA" sz="1200" b="1" i="0" u="none" strike="noStrike" baseline="0">
                  <a:solidFill>
                    <a:srgbClr val="008000"/>
                  </a:solidFill>
                  <a:latin typeface="Calibri"/>
                  <a:ea typeface="Calibri"/>
                  <a:cs typeface="Calibri"/>
                </a:rPr>
                <a:t>Розрахувати графік погашення кредиту</a:t>
              </a:r>
            </a:p>
          </xdr:txBody>
        </xdr:sp>
        <xdr:clientData fPrintsWithSheet="0"/>
      </xdr:twoCellAnchor>
    </mc:Choice>
    <mc:Fallback/>
  </mc:AlternateContent>
  <xdr:twoCellAnchor>
    <xdr:from>
      <xdr:col>1</xdr:col>
      <xdr:colOff>10886</xdr:colOff>
      <xdr:row>0</xdr:row>
      <xdr:rowOff>1273628</xdr:rowOff>
    </xdr:from>
    <xdr:to>
      <xdr:col>13</xdr:col>
      <xdr:colOff>1839686</xdr:colOff>
      <xdr:row>0</xdr:row>
      <xdr:rowOff>1556657</xdr:rowOff>
    </xdr:to>
    <xdr:sp macro="" textlink="">
      <xdr:nvSpPr>
        <xdr:cNvPr id="2" name="Прямоугольник 64">
          <a:extLst>
            <a:ext uri="{FF2B5EF4-FFF2-40B4-BE49-F238E27FC236}">
              <a16:creationId xmlns:a16="http://schemas.microsoft.com/office/drawing/2014/main" id="{A6B0284D-3E05-4993-9E5B-5A2473708EA3}"/>
            </a:ext>
          </a:extLst>
        </xdr:cNvPr>
        <xdr:cNvSpPr/>
      </xdr:nvSpPr>
      <xdr:spPr>
        <a:xfrm>
          <a:off x="119743" y="1273628"/>
          <a:ext cx="12268200" cy="283029"/>
        </a:xfrm>
        <a:prstGeom prst="rect">
          <a:avLst/>
        </a:prstGeom>
        <a:solidFill>
          <a:srgbClr val="EC8A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uk-UA"/>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ru-RU"/>
        </a:p>
      </xdr:txBody>
    </xdr:sp>
    <xdr:clientData/>
  </xdr:twoCellAnchor>
  <xdr:twoCellAnchor>
    <xdr:from>
      <xdr:col>0</xdr:col>
      <xdr:colOff>65314</xdr:colOff>
      <xdr:row>0</xdr:row>
      <xdr:rowOff>1262742</xdr:rowOff>
    </xdr:from>
    <xdr:to>
      <xdr:col>4</xdr:col>
      <xdr:colOff>67623</xdr:colOff>
      <xdr:row>1</xdr:row>
      <xdr:rowOff>533146</xdr:rowOff>
    </xdr:to>
    <xdr:sp macro="" textlink="">
      <xdr:nvSpPr>
        <xdr:cNvPr id="3" name="TextBox 2">
          <a:extLst>
            <a:ext uri="{FF2B5EF4-FFF2-40B4-BE49-F238E27FC236}">
              <a16:creationId xmlns:a16="http://schemas.microsoft.com/office/drawing/2014/main" id="{ACE0E411-AD07-4995-8306-B5A43EDE6BE8}"/>
            </a:ext>
          </a:extLst>
        </xdr:cNvPr>
        <xdr:cNvSpPr txBox="1"/>
      </xdr:nvSpPr>
      <xdr:spPr>
        <a:xfrm>
          <a:off x="65314" y="1262742"/>
          <a:ext cx="2157680" cy="848833"/>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uk-UA" sz="1400" b="1">
              <a:solidFill>
                <a:schemeClr val="bg1"/>
              </a:solidFill>
              <a:latin typeface="Times New Roman" panose="02020603050405020304" pitchFamily="18" charset="0"/>
              <a:cs typeface="Times New Roman" panose="02020603050405020304" pitchFamily="18" charset="0"/>
            </a:rPr>
            <a:t>Умови</a:t>
          </a:r>
          <a:r>
            <a:rPr lang="uk-UA" sz="1400" b="1" baseline="0">
              <a:solidFill>
                <a:schemeClr val="bg1"/>
              </a:solidFill>
              <a:latin typeface="Times New Roman" panose="02020603050405020304" pitchFamily="18" charset="0"/>
              <a:cs typeface="Times New Roman" panose="02020603050405020304" pitchFamily="18" charset="0"/>
            </a:rPr>
            <a:t> кредитування:</a:t>
          </a:r>
          <a:endParaRPr lang="uk-UA" sz="1400"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editAs="oneCell">
    <xdr:from>
      <xdr:col>1</xdr:col>
      <xdr:colOff>21771</xdr:colOff>
      <xdr:row>0</xdr:row>
      <xdr:rowOff>0</xdr:rowOff>
    </xdr:from>
    <xdr:to>
      <xdr:col>104</xdr:col>
      <xdr:colOff>149679</xdr:colOff>
      <xdr:row>0</xdr:row>
      <xdr:rowOff>179614</xdr:rowOff>
    </xdr:to>
    <xdr:pic>
      <xdr:nvPicPr>
        <xdr:cNvPr id="4" name="Picture 33">
          <a:extLst>
            <a:ext uri="{FF2B5EF4-FFF2-40B4-BE49-F238E27FC236}">
              <a16:creationId xmlns:a16="http://schemas.microsoft.com/office/drawing/2014/main" id="{0C73F929-3160-4B6E-AC92-BA9F117171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31323" b="35297"/>
        <a:stretch>
          <a:fillRect/>
        </a:stretch>
      </xdr:blipFill>
      <xdr:spPr bwMode="auto">
        <a:xfrm>
          <a:off x="126546" y="0"/>
          <a:ext cx="12370253" cy="1284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838200</xdr:colOff>
      <xdr:row>0</xdr:row>
      <xdr:rowOff>0</xdr:rowOff>
    </xdr:from>
    <xdr:to>
      <xdr:col>92</xdr:col>
      <xdr:colOff>342900</xdr:colOff>
      <xdr:row>1</xdr:row>
      <xdr:rowOff>2613</xdr:rowOff>
    </xdr:to>
    <xdr:pic>
      <xdr:nvPicPr>
        <xdr:cNvPr id="8" name="Picture 17">
          <a:extLst>
            <a:ext uri="{FF2B5EF4-FFF2-40B4-BE49-F238E27FC236}">
              <a16:creationId xmlns:a16="http://schemas.microsoft.com/office/drawing/2014/main" id="{FE0877A5-69EA-437B-ABBF-BDE8A00F995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29475" y="0"/>
          <a:ext cx="5238750" cy="1258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687368</xdr:colOff>
      <xdr:row>0</xdr:row>
      <xdr:rowOff>367392</xdr:rowOff>
    </xdr:from>
    <xdr:to>
      <xdr:col>88</xdr:col>
      <xdr:colOff>380340</xdr:colOff>
      <xdr:row>1</xdr:row>
      <xdr:rowOff>4444</xdr:rowOff>
    </xdr:to>
    <xdr:pic>
      <xdr:nvPicPr>
        <xdr:cNvPr id="10" name="Picture 2">
          <a:extLst>
            <a:ext uri="{FF2B5EF4-FFF2-40B4-BE49-F238E27FC236}">
              <a16:creationId xmlns:a16="http://schemas.microsoft.com/office/drawing/2014/main" id="{25F2BF29-C893-4F64-BCBE-FFE5DD3CC84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78643" y="367392"/>
          <a:ext cx="2831440" cy="991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259080</xdr:colOff>
          <xdr:row>1</xdr:row>
          <xdr:rowOff>45720</xdr:rowOff>
        </xdr:from>
        <xdr:to>
          <xdr:col>59</xdr:col>
          <xdr:colOff>99060</xdr:colOff>
          <xdr:row>3</xdr:row>
          <xdr:rowOff>106680</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0500-000001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uk-UA" sz="1000" b="0" i="0" u="none" strike="noStrike" baseline="0">
                  <a:solidFill>
                    <a:srgbClr val="000080"/>
                  </a:solidFill>
                  <a:latin typeface="Arial Cyr"/>
                  <a:cs typeface="Arial Cyr"/>
                </a:rPr>
                <a:t>Перебудувати графік</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137160</xdr:rowOff>
        </xdr:from>
        <xdr:to>
          <xdr:col>65</xdr:col>
          <xdr:colOff>266700</xdr:colOff>
          <xdr:row>2</xdr:row>
          <xdr:rowOff>175260</xdr:rowOff>
        </xdr:to>
        <xdr:sp macro="" textlink="">
          <xdr:nvSpPr>
            <xdr:cNvPr id="11275" name="CommandButton1" hidden="1">
              <a:extLst>
                <a:ext uri="{63B3BB69-23CF-44E3-9099-C40C66FF867C}">
                  <a14:compatExt spid="_x0000_s11275"/>
                </a:ext>
                <a:ext uri="{FF2B5EF4-FFF2-40B4-BE49-F238E27FC236}">
                  <a16:creationId xmlns:a16="http://schemas.microsoft.com/office/drawing/2014/main" id="{00000000-0008-0000-06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7.emf"/><Relationship Id="rId4" Type="http://schemas.openxmlformats.org/officeDocument/2006/relationships/control" Target="../activeX/activeX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Аркуш1"/>
  <dimension ref="A1:I65536"/>
  <sheetViews>
    <sheetView topLeftCell="BM1" zoomScale="80" zoomScaleNormal="80" workbookViewId="0">
      <selection activeCell="BV14" sqref="BV14"/>
    </sheetView>
  </sheetViews>
  <sheetFormatPr defaultRowHeight="14.4" x14ac:dyDescent="0.3"/>
  <cols>
    <col min="1" max="2" width="0" style="160" hidden="1" customWidth="1"/>
    <col min="3" max="3" width="13.109375" style="160" hidden="1" customWidth="1"/>
    <col min="4" max="4" width="12.33203125" style="160" hidden="1" customWidth="1"/>
    <col min="5" max="64" width="0" style="160" hidden="1" customWidth="1"/>
    <col min="65" max="16384" width="8.88671875" style="160"/>
  </cols>
  <sheetData>
    <row r="1" spans="2:8" x14ac:dyDescent="0.3">
      <c r="B1" s="158" t="s">
        <v>346</v>
      </c>
      <c r="C1" s="159" t="s">
        <v>399</v>
      </c>
      <c r="D1" s="159"/>
      <c r="G1" s="160" t="s">
        <v>379</v>
      </c>
    </row>
    <row r="2" spans="2:8" x14ac:dyDescent="0.3">
      <c r="B2" s="161"/>
      <c r="C2" s="162"/>
      <c r="D2" s="162"/>
    </row>
    <row r="3" spans="2:8" x14ac:dyDescent="0.3">
      <c r="B3" s="160" t="s">
        <v>368</v>
      </c>
      <c r="C3" s="163">
        <v>333333.33333333337</v>
      </c>
      <c r="D3" s="163"/>
      <c r="G3" s="160" t="s">
        <v>7</v>
      </c>
      <c r="H3" s="160" t="s">
        <v>400</v>
      </c>
    </row>
    <row r="4" spans="2:8" x14ac:dyDescent="0.3">
      <c r="B4" s="160" t="s">
        <v>369</v>
      </c>
      <c r="C4" s="163">
        <f>C3*E4</f>
        <v>233333.33333333334</v>
      </c>
      <c r="D4" s="163">
        <f>C4/C3</f>
        <v>0.7</v>
      </c>
      <c r="E4" s="160">
        <v>0.7</v>
      </c>
      <c r="G4" s="160" t="s">
        <v>342</v>
      </c>
    </row>
    <row r="5" spans="2:8" x14ac:dyDescent="0.3">
      <c r="B5" s="160" t="s">
        <v>370</v>
      </c>
      <c r="C5" s="163">
        <v>5000000</v>
      </c>
      <c r="D5" s="163"/>
      <c r="G5" s="160" t="s">
        <v>340</v>
      </c>
      <c r="H5" s="160">
        <v>60</v>
      </c>
    </row>
    <row r="6" spans="2:8" x14ac:dyDescent="0.3">
      <c r="C6" s="163"/>
      <c r="D6" s="163"/>
      <c r="G6" s="160" t="s">
        <v>339</v>
      </c>
      <c r="H6" s="160">
        <f>Ануїтетна_графік_Авто!E2</f>
        <v>12.99</v>
      </c>
    </row>
    <row r="7" spans="2:8" x14ac:dyDescent="0.3">
      <c r="C7" s="163"/>
      <c r="D7" s="163">
        <f>D6*1.7</f>
        <v>0</v>
      </c>
      <c r="E7" s="160">
        <f>D6+D5</f>
        <v>0</v>
      </c>
      <c r="G7" s="160" t="s">
        <v>391</v>
      </c>
    </row>
    <row r="8" spans="2:8" x14ac:dyDescent="0.3">
      <c r="B8" s="160" t="s">
        <v>371</v>
      </c>
      <c r="C8" s="163">
        <f>C3-C4</f>
        <v>100000.00000000003</v>
      </c>
      <c r="D8" s="163"/>
      <c r="G8" s="160" t="s">
        <v>378</v>
      </c>
      <c r="H8" s="160" t="s">
        <v>401</v>
      </c>
    </row>
    <row r="9" spans="2:8" x14ac:dyDescent="0.3">
      <c r="B9" s="160" t="s">
        <v>387</v>
      </c>
      <c r="C9" s="163" t="s">
        <v>398</v>
      </c>
      <c r="D9" s="163"/>
    </row>
    <row r="10" spans="2:8" x14ac:dyDescent="0.3">
      <c r="B10" s="160" t="s">
        <v>386</v>
      </c>
      <c r="C10" s="163" t="s">
        <v>398</v>
      </c>
      <c r="D10" s="163">
        <v>3960.0000000000005</v>
      </c>
      <c r="H10" s="160">
        <f>H4*C3</f>
        <v>0</v>
      </c>
    </row>
    <row r="11" spans="2:8" x14ac:dyDescent="0.3">
      <c r="B11" s="160" t="s">
        <v>388</v>
      </c>
      <c r="C11" s="160" t="s">
        <v>398</v>
      </c>
      <c r="H11" s="160">
        <f>H4*C8</f>
        <v>0</v>
      </c>
    </row>
    <row r="12" spans="2:8" x14ac:dyDescent="0.3">
      <c r="B12" s="161" t="s">
        <v>389</v>
      </c>
      <c r="C12" s="161" t="s">
        <v>398</v>
      </c>
      <c r="E12" s="160">
        <f>800000/100</f>
        <v>8000</v>
      </c>
    </row>
    <row r="13" spans="2:8" x14ac:dyDescent="0.3">
      <c r="B13" s="160" t="s">
        <v>392</v>
      </c>
      <c r="C13" s="163">
        <f>IF(C8=0,C3-C4+SUMIF(C10:C12,"Так",D10:D12),C8+SUMIF(C10:C12,"Так",D10:D12))</f>
        <v>100000.00000000003</v>
      </c>
      <c r="E13" s="160">
        <f>E12*70</f>
        <v>560000</v>
      </c>
    </row>
    <row r="14" spans="2:8" x14ac:dyDescent="0.3">
      <c r="C14" s="163"/>
    </row>
    <row r="15" spans="2:8" x14ac:dyDescent="0.3">
      <c r="C15" s="163"/>
    </row>
    <row r="16" spans="2:8" x14ac:dyDescent="0.3">
      <c r="C16" s="163"/>
      <c r="D16" s="160">
        <f>100000/70%</f>
        <v>142857.14285714287</v>
      </c>
    </row>
    <row r="17" spans="2:9" x14ac:dyDescent="0.3">
      <c r="C17" s="163"/>
      <c r="H17" s="160" t="s">
        <v>104</v>
      </c>
      <c r="I17" s="160" t="s">
        <v>358</v>
      </c>
    </row>
    <row r="18" spans="2:9" x14ac:dyDescent="0.3">
      <c r="C18" s="160" t="s">
        <v>104</v>
      </c>
      <c r="G18" s="160" t="s">
        <v>8</v>
      </c>
      <c r="H18" s="160" t="s">
        <v>402</v>
      </c>
    </row>
    <row r="19" spans="2:9" x14ac:dyDescent="0.3">
      <c r="B19" s="160" t="s">
        <v>306</v>
      </c>
      <c r="C19" s="160">
        <v>100</v>
      </c>
      <c r="G19" s="160" t="s">
        <v>9</v>
      </c>
      <c r="H19" s="160">
        <v>0</v>
      </c>
    </row>
    <row r="20" spans="2:9" x14ac:dyDescent="0.3">
      <c r="B20" s="160" t="s">
        <v>10</v>
      </c>
      <c r="C20" s="160" t="s">
        <v>19</v>
      </c>
      <c r="G20" s="160" t="s">
        <v>96</v>
      </c>
      <c r="H20" s="160">
        <v>35065</v>
      </c>
    </row>
    <row r="21" spans="2:9" x14ac:dyDescent="0.3">
      <c r="B21" s="160" t="s">
        <v>11</v>
      </c>
      <c r="C21" s="160" t="s">
        <v>19</v>
      </c>
    </row>
    <row r="22" spans="2:9" x14ac:dyDescent="0.3">
      <c r="B22" s="160" t="s">
        <v>12</v>
      </c>
      <c r="G22" s="160" t="s">
        <v>211</v>
      </c>
    </row>
    <row r="23" spans="2:9" x14ac:dyDescent="0.3">
      <c r="F23" s="160" t="s">
        <v>185</v>
      </c>
      <c r="G23" s="160" t="s">
        <v>201</v>
      </c>
    </row>
    <row r="24" spans="2:9" x14ac:dyDescent="0.3">
      <c r="B24" s="160" t="s">
        <v>200</v>
      </c>
      <c r="C24" s="160">
        <v>24</v>
      </c>
      <c r="G24" s="160" t="s">
        <v>202</v>
      </c>
    </row>
    <row r="25" spans="2:9" x14ac:dyDescent="0.3">
      <c r="B25" s="160" t="s">
        <v>206</v>
      </c>
      <c r="C25" s="160">
        <v>0</v>
      </c>
      <c r="G25" s="160" t="s">
        <v>203</v>
      </c>
    </row>
    <row r="26" spans="2:9" x14ac:dyDescent="0.3">
      <c r="G26" s="160" t="s">
        <v>204</v>
      </c>
    </row>
    <row r="27" spans="2:9" x14ac:dyDescent="0.3">
      <c r="G27" s="160" t="s">
        <v>205</v>
      </c>
    </row>
    <row r="29" spans="2:9" x14ac:dyDescent="0.3">
      <c r="B29" s="160" t="s">
        <v>360</v>
      </c>
      <c r="C29" s="160">
        <v>0</v>
      </c>
    </row>
    <row r="30" spans="2:9" x14ac:dyDescent="0.3">
      <c r="B30" s="160" t="s">
        <v>362</v>
      </c>
      <c r="C30" s="160">
        <v>0</v>
      </c>
    </row>
    <row r="32" spans="2:9" x14ac:dyDescent="0.3">
      <c r="C32" s="160" t="s">
        <v>104</v>
      </c>
      <c r="D32" s="160" t="s">
        <v>105</v>
      </c>
      <c r="E32" s="160" t="s">
        <v>358</v>
      </c>
    </row>
    <row r="33" spans="1:3" x14ac:dyDescent="0.3">
      <c r="A33" s="160" t="s">
        <v>97</v>
      </c>
      <c r="B33" s="160" t="s">
        <v>385</v>
      </c>
    </row>
    <row r="34" spans="1:3" x14ac:dyDescent="0.3">
      <c r="B34" s="160" t="s">
        <v>300</v>
      </c>
      <c r="C34" s="160">
        <v>2000000</v>
      </c>
    </row>
    <row r="35" spans="1:3" x14ac:dyDescent="0.3">
      <c r="B35" s="160" t="s">
        <v>3</v>
      </c>
    </row>
    <row r="36" spans="1:3" x14ac:dyDescent="0.3">
      <c r="B36" s="160" t="s">
        <v>4</v>
      </c>
    </row>
    <row r="38" spans="1:3" x14ac:dyDescent="0.3">
      <c r="A38" s="160" t="s">
        <v>98</v>
      </c>
      <c r="B38" s="160" t="s">
        <v>5</v>
      </c>
    </row>
    <row r="40" spans="1:3" x14ac:dyDescent="0.3">
      <c r="A40" s="160" t="s">
        <v>99</v>
      </c>
      <c r="B40" s="160" t="s">
        <v>0</v>
      </c>
    </row>
    <row r="41" spans="1:3" x14ac:dyDescent="0.3">
      <c r="B41" s="160" t="s">
        <v>381</v>
      </c>
    </row>
    <row r="42" spans="1:3" x14ac:dyDescent="0.3">
      <c r="B42" s="160" t="s">
        <v>382</v>
      </c>
    </row>
    <row r="43" spans="1:3" x14ac:dyDescent="0.3">
      <c r="B43" s="160" t="s">
        <v>383</v>
      </c>
    </row>
    <row r="45" spans="1:3" x14ac:dyDescent="0.3">
      <c r="A45" s="160" t="s">
        <v>100</v>
      </c>
      <c r="B45" s="160" t="s">
        <v>380</v>
      </c>
    </row>
    <row r="46" spans="1:3" x14ac:dyDescent="0.3">
      <c r="B46" s="160" t="s">
        <v>6</v>
      </c>
    </row>
    <row r="48" spans="1:3" x14ac:dyDescent="0.3">
      <c r="A48" s="160" t="s">
        <v>101</v>
      </c>
      <c r="B48" s="160" t="s">
        <v>301</v>
      </c>
    </row>
    <row r="49" spans="1:3" x14ac:dyDescent="0.3">
      <c r="B49" s="160" t="s">
        <v>302</v>
      </c>
    </row>
    <row r="51" spans="1:3" x14ac:dyDescent="0.3">
      <c r="A51" s="160" t="s">
        <v>102</v>
      </c>
      <c r="B51" s="160" t="s">
        <v>384</v>
      </c>
    </row>
    <row r="52" spans="1:3" x14ac:dyDescent="0.3">
      <c r="B52" s="160" t="s">
        <v>303</v>
      </c>
    </row>
    <row r="54" spans="1:3" x14ac:dyDescent="0.3">
      <c r="A54" s="160" t="s">
        <v>103</v>
      </c>
      <c r="B54" s="160" t="s">
        <v>1</v>
      </c>
      <c r="C54" s="160">
        <v>0</v>
      </c>
    </row>
    <row r="55" spans="1:3" x14ac:dyDescent="0.3">
      <c r="B55" s="160" t="s">
        <v>2</v>
      </c>
      <c r="C55" s="160">
        <v>0</v>
      </c>
    </row>
    <row r="58" spans="1:3" x14ac:dyDescent="0.3">
      <c r="A58" s="160" t="s">
        <v>173</v>
      </c>
      <c r="B58" s="160" t="s">
        <v>171</v>
      </c>
    </row>
    <row r="59" spans="1:3" x14ac:dyDescent="0.3">
      <c r="B59" s="160" t="s">
        <v>172</v>
      </c>
    </row>
    <row r="60" spans="1:3" x14ac:dyDescent="0.3">
      <c r="B60" s="160" t="str">
        <f>IF(C58="II","Cума доходу, отриманого в поточному році за один квартал",
IF(C58="III","Cума доходу, отриманого в поточному році за два квартали",
IF(C58="IV","Cума доходу, отриманого в поточному році за три квартали","Річна сума доходу, отримана позичальником від п.д. за рік, що передує звітному")))</f>
        <v>Річна сума доходу, отримана позичальником від п.д. за рік, що передує звітному</v>
      </c>
    </row>
    <row r="63" spans="1:3" x14ac:dyDescent="0.3">
      <c r="A63" s="160" t="s">
        <v>106</v>
      </c>
      <c r="B63" s="160" t="s">
        <v>107</v>
      </c>
    </row>
    <row r="64" spans="1:3" x14ac:dyDescent="0.3">
      <c r="B64" s="160" t="s">
        <v>108</v>
      </c>
    </row>
    <row r="65" spans="1:9" x14ac:dyDescent="0.3">
      <c r="B65" s="160" t="s">
        <v>109</v>
      </c>
    </row>
    <row r="66" spans="1:9" x14ac:dyDescent="0.3">
      <c r="B66" s="160" t="s">
        <v>110</v>
      </c>
      <c r="C66" s="160">
        <v>0</v>
      </c>
    </row>
    <row r="74" spans="1:9" x14ac:dyDescent="0.3">
      <c r="H74" s="160" t="s">
        <v>345</v>
      </c>
      <c r="I74" s="160" t="s">
        <v>351</v>
      </c>
    </row>
    <row r="75" spans="1:9" x14ac:dyDescent="0.3">
      <c r="B75" s="160" t="s">
        <v>164</v>
      </c>
      <c r="G75" s="160" t="s">
        <v>347</v>
      </c>
      <c r="H75" s="160">
        <f>IF(OR(H6&lt;&gt;"",H5&lt;&gt;""),(Ануїтетна_графік_Іпотека!B16/1200*(1+Ануїтетна_графік_Іпотека!B16/1200)^H5)/(((1+Ануїтетна_графік_Іпотека!B16/1200)^H5)-1)+H4/100,0)</f>
        <v>2.2747954273251859E-2</v>
      </c>
      <c r="I75" s="160">
        <f>IF(OR(H6&lt;&gt;"",H5&lt;&gt;""),1/H5+Ануїтетна_графік_Іпотека!B16/100*31/360+H4/100,0)</f>
        <v>2.7852500000000002E-2</v>
      </c>
    </row>
    <row r="76" spans="1:9" x14ac:dyDescent="0.3">
      <c r="B76" s="160" t="s">
        <v>135</v>
      </c>
      <c r="C76" s="160">
        <f>MAX(H75:H78)</f>
        <v>2.2747954273251859E-2</v>
      </c>
      <c r="G76" s="160" t="s">
        <v>348</v>
      </c>
      <c r="H76" s="160">
        <f>IFERROR(IF(AND(H6&lt;&gt;"",H5&lt;&gt;"",H7&lt;&gt;"",I6&lt;&gt;""),(Ануїтетна_графік_Іпотека!C16/1200*(1+Ануїтетна_графік_Іпотека!C16/1200)^(H5-H7))/(((1+Ануїтетна_графік_Іпотека!C16/1200)^(H5-H7))-1)+H4/100,0),0)</f>
        <v>0</v>
      </c>
      <c r="I76" s="160">
        <f>IF(AND(H6&lt;&gt;"",H5&lt;&gt;"",I6&lt;&gt;"",H7&lt;&gt;""),1/(H5-H7)+Ануїтетна_графік_Іпотека!C16/100*31/360+H4/100,0)</f>
        <v>0</v>
      </c>
    </row>
    <row r="77" spans="1:9" x14ac:dyDescent="0.3">
      <c r="B77" s="160" t="s">
        <v>136</v>
      </c>
      <c r="C77" s="160">
        <f>MAX(I75:I78)</f>
        <v>2.7852500000000002E-2</v>
      </c>
      <c r="G77" s="160" t="s">
        <v>349</v>
      </c>
      <c r="H77" s="160">
        <f>IFERROR(IF(AND(H6&lt;&gt;"",H5&lt;&gt;"",H7&lt;&gt;"",J6&lt;&gt;""),(Ануїтетна_графік_Іпотека!D16/1200*(1+Ануїтетна_графік_Іпотека!D16/1200)^(H5-H7-I7))/(((1+Ануїтетна_графік_Іпотека!D16/1200)^(H5-H7-I7))-1)+H4/100,0),0)</f>
        <v>0</v>
      </c>
      <c r="I77" s="160">
        <f>IF(AND(H6&lt;&gt;"",H5&lt;&gt;"",J6&lt;&gt;"",I7&lt;&gt;""),1/(H5-H7-I7)+Ануїтетна_графік_Іпотека!D16/100*31/360+H4/100,0)</f>
        <v>0</v>
      </c>
    </row>
    <row r="78" spans="1:9" x14ac:dyDescent="0.3">
      <c r="B78" s="160" t="s">
        <v>134</v>
      </c>
      <c r="C78" s="160">
        <f>IF(H3="ануїтет",C76,C77)</f>
        <v>2.2747954273251859E-2</v>
      </c>
      <c r="G78" s="160" t="s">
        <v>350</v>
      </c>
      <c r="H78" s="160">
        <f>IFERROR(IF(AND(H6&lt;&gt;"",H5&lt;&gt;"",J7&lt;&gt;"",K6&lt;&gt;""),(Ануїтетна_графік_Іпотека!E16/1200*(1+Ануїтетна_графік_Іпотека!E16/1200)^(H5-H7-I7-J7))/(((1+Ануїтетна_графік_Іпотека!E16/1200)^(H5-H7-I7-J7))-1)+H4/100,0),0)</f>
        <v>0</v>
      </c>
      <c r="I78" s="160">
        <f>IF(AND(H6&lt;&gt;"",H5&lt;&gt;"",K6&lt;&gt;"",J7&lt;&gt;""),1/(H5-H7-I7-J7)+Ануїтетна_графік_Іпотека!E16/100*31/360+H4/100,0)</f>
        <v>0</v>
      </c>
    </row>
    <row r="80" spans="1:9" x14ac:dyDescent="0.3">
      <c r="A80" s="160" t="s">
        <v>111</v>
      </c>
      <c r="B80" s="160" t="s">
        <v>112</v>
      </c>
      <c r="C80" s="160">
        <f>$H$91</f>
        <v>4000000</v>
      </c>
      <c r="G80" s="160" t="s">
        <v>162</v>
      </c>
    </row>
    <row r="81" spans="1:9" x14ac:dyDescent="0.3">
      <c r="B81" s="160" t="s">
        <v>113</v>
      </c>
      <c r="C81" s="160">
        <f>C29+C30</f>
        <v>0</v>
      </c>
    </row>
    <row r="82" spans="1:9" x14ac:dyDescent="0.3">
      <c r="B82" s="160" t="s">
        <v>111</v>
      </c>
      <c r="C82" s="160">
        <f>MAX(C80-C81,0)</f>
        <v>4000000</v>
      </c>
      <c r="G82" s="160" t="s">
        <v>130</v>
      </c>
      <c r="H82" s="160">
        <f>IF(AND(C1="Автокредит",C3&lt;=1500000),30,IF(AND(C1="Автокредит",C3&gt;1500000,C3&lt;=2500000),40,IF(AND(C1="Автокредит",C3&gt;2500000),50,IF(AND(C1="Іпотечний кредит",C3&lt;=2500000),30,IF(AND(C1="Іпотечний кредит",C3&gt;2500000,C3&lt;=3000000),40,IF(AND(C1="Іпотечний кредит",C3&gt;3000000),50,0))))))</f>
        <v>30</v>
      </c>
      <c r="I82" s="160" t="s">
        <v>397</v>
      </c>
    </row>
    <row r="83" spans="1:9" x14ac:dyDescent="0.3">
      <c r="G83" s="160" t="s">
        <v>133</v>
      </c>
      <c r="H83" s="160">
        <v>0.65</v>
      </c>
    </row>
    <row r="84" spans="1:9" x14ac:dyDescent="0.3">
      <c r="A84" s="160" t="s">
        <v>114</v>
      </c>
      <c r="B84" s="160" t="s">
        <v>148</v>
      </c>
      <c r="C84" s="160" t="s">
        <v>104</v>
      </c>
      <c r="D84" s="160" t="s">
        <v>105</v>
      </c>
      <c r="E84" s="160" t="s">
        <v>358</v>
      </c>
      <c r="G84" s="160" t="s">
        <v>138</v>
      </c>
      <c r="H84" s="160">
        <v>1</v>
      </c>
    </row>
    <row r="85" spans="1:9" x14ac:dyDescent="0.3">
      <c r="B85" s="160" t="s">
        <v>121</v>
      </c>
      <c r="C85" s="160">
        <f>IFERROR(VLOOKUP(C40,'коефіцієнт витрат'!B2:C6,2,),70%)</f>
        <v>0.7</v>
      </c>
      <c r="D85" s="160">
        <f>IFERROR(VLOOKUP(D40,'коефіцієнт витрат'!B2:C6,2,),70%)</f>
        <v>0.7</v>
      </c>
      <c r="E85" s="160">
        <f>IFERROR(VLOOKUP(E40,'коефіцієнт витрат'!B2:C6,2,),70%)</f>
        <v>0.7</v>
      </c>
      <c r="G85" s="160" t="s">
        <v>139</v>
      </c>
      <c r="H85" s="160">
        <v>1.266</v>
      </c>
    </row>
    <row r="86" spans="1:9" x14ac:dyDescent="0.3">
      <c r="B86" s="160" t="s">
        <v>115</v>
      </c>
      <c r="C86" s="160">
        <f>IF(C33="Чистий дохід за мінусом податків",1,0.805)*C34-C35</f>
        <v>1610000</v>
      </c>
      <c r="D86" s="160">
        <f>IF(D33="Чистий дохід за мінусом податків",1,0.805)*D34-D35</f>
        <v>0</v>
      </c>
      <c r="E86" s="160">
        <f>IF(E33="Чистий дохід за мінусом податків",1,0.805)*E34-E35</f>
        <v>0</v>
      </c>
      <c r="G86" s="160" t="s">
        <v>293</v>
      </c>
      <c r="H86" s="160">
        <v>1420.07</v>
      </c>
    </row>
    <row r="87" spans="1:9" x14ac:dyDescent="0.3">
      <c r="B87" s="160" t="s">
        <v>116</v>
      </c>
      <c r="C87" s="160">
        <f>C38</f>
        <v>0</v>
      </c>
      <c r="D87" s="160">
        <f>D38</f>
        <v>0</v>
      </c>
      <c r="E87" s="160">
        <f>E38</f>
        <v>0</v>
      </c>
      <c r="G87" s="160" t="s">
        <v>150</v>
      </c>
      <c r="H87" s="160">
        <v>4000000</v>
      </c>
    </row>
    <row r="88" spans="1:9" x14ac:dyDescent="0.3">
      <c r="B88" s="160" t="s">
        <v>117</v>
      </c>
      <c r="C88" s="160">
        <f>(C41-C42)-MAX(C85*(C41-C42),C43)</f>
        <v>0</v>
      </c>
      <c r="D88" s="160">
        <f>(D41-D42)-MAX(D85*(D41-D42),D43)</f>
        <v>0</v>
      </c>
      <c r="E88" s="160">
        <f>(E41-E42)-MAX(E85*(E41-E42),E43)</f>
        <v>0</v>
      </c>
      <c r="G88" s="160" t="s">
        <v>158</v>
      </c>
      <c r="H88" s="160">
        <f>IF(AND(C1="Автокредит",C5&lt;=1000000),0.7,IF(AND(C1="Автокредит",C5&gt;1000000,C5&lt;=2000000),0.6,IF(AND(C1="Автокредит",C5&gt;2000000),0.5,0.8)))</f>
        <v>0.5</v>
      </c>
      <c r="I88" s="160" t="s">
        <v>352</v>
      </c>
    </row>
    <row r="89" spans="1:9" x14ac:dyDescent="0.3">
      <c r="B89" s="160" t="s">
        <v>118</v>
      </c>
      <c r="C89" s="160">
        <f>C45</f>
        <v>0</v>
      </c>
      <c r="D89" s="160">
        <f>D45</f>
        <v>0</v>
      </c>
      <c r="E89" s="160">
        <f>E45</f>
        <v>0</v>
      </c>
      <c r="G89" s="160" t="s">
        <v>304</v>
      </c>
      <c r="H89" s="160">
        <v>1</v>
      </c>
    </row>
    <row r="90" spans="1:9" x14ac:dyDescent="0.3">
      <c r="B90" s="160" t="s">
        <v>119</v>
      </c>
      <c r="C90" s="160">
        <f>C48-C49</f>
        <v>0</v>
      </c>
      <c r="D90" s="160">
        <f>D48-D49</f>
        <v>0</v>
      </c>
      <c r="E90" s="160">
        <f>E48-E49</f>
        <v>0</v>
      </c>
      <c r="G90" s="160" t="s">
        <v>390</v>
      </c>
      <c r="H90" s="160">
        <v>1</v>
      </c>
    </row>
    <row r="91" spans="1:9" x14ac:dyDescent="0.3">
      <c r="B91" s="160" t="s">
        <v>120</v>
      </c>
      <c r="C91" s="160">
        <f>(C51-C52)</f>
        <v>0</v>
      </c>
      <c r="D91" s="160">
        <f>(D51-D52)</f>
        <v>0</v>
      </c>
      <c r="E91" s="160">
        <f>(E51-E52)</f>
        <v>0</v>
      </c>
      <c r="G91" s="160" t="s">
        <v>112</v>
      </c>
      <c r="H91" s="160">
        <f>IF(C1="Поточні потреби під заставу нерухомості",2000000,4000000)</f>
        <v>4000000</v>
      </c>
      <c r="I91" s="160" t="s">
        <v>393</v>
      </c>
    </row>
    <row r="92" spans="1:9" x14ac:dyDescent="0.3">
      <c r="B92" s="160" t="s">
        <v>127</v>
      </c>
      <c r="C92" s="160">
        <f>SUM(C86:C91)</f>
        <v>1610000</v>
      </c>
      <c r="D92" s="160">
        <f>SUM(D86:D91)</f>
        <v>0</v>
      </c>
      <c r="E92" s="160">
        <f>SUM(E86:E91)</f>
        <v>0</v>
      </c>
    </row>
    <row r="93" spans="1:9" x14ac:dyDescent="0.3">
      <c r="B93" s="160" t="s">
        <v>128</v>
      </c>
      <c r="C93" s="160">
        <f>C92+D92+IF(C9="Так",E92,0)</f>
        <v>1610000</v>
      </c>
    </row>
    <row r="95" spans="1:9" x14ac:dyDescent="0.3">
      <c r="A95" s="160" t="s">
        <v>129</v>
      </c>
      <c r="B95" s="160" t="s">
        <v>130</v>
      </c>
      <c r="C95" s="160">
        <f>H82</f>
        <v>30</v>
      </c>
    </row>
    <row r="96" spans="1:9" x14ac:dyDescent="0.3">
      <c r="B96" s="160" t="s">
        <v>131</v>
      </c>
      <c r="C96" s="160">
        <f>IF(C3&lt;&gt;"",C4/C3*100,0)</f>
        <v>70</v>
      </c>
    </row>
    <row r="97" spans="1:4" x14ac:dyDescent="0.3">
      <c r="B97" s="160" t="s">
        <v>129</v>
      </c>
      <c r="C97" s="160">
        <f>IF(C1="Поточні потреби під заставу нерухомості",C82,IF(C96&gt;C95,C3-C4+(D10+D11+D12)*H90,C3-(C3*C95/100)+(D10+D11+D12)*H90))</f>
        <v>103960.00000000003</v>
      </c>
    </row>
    <row r="99" spans="1:4" x14ac:dyDescent="0.3">
      <c r="A99" s="160" t="s">
        <v>132</v>
      </c>
      <c r="B99" s="160" t="s">
        <v>133</v>
      </c>
      <c r="C99" s="160">
        <f>H83</f>
        <v>0.65</v>
      </c>
    </row>
    <row r="100" spans="1:4" x14ac:dyDescent="0.3">
      <c r="B100" s="160" t="s">
        <v>305</v>
      </c>
      <c r="C100" s="160">
        <f>C54+D54+E54+C55+D55+E55</f>
        <v>0</v>
      </c>
    </row>
    <row r="101" spans="1:4" x14ac:dyDescent="0.3">
      <c r="B101" s="160" t="s">
        <v>132</v>
      </c>
      <c r="C101" s="160">
        <f>IF(C78&lt;&gt;0,(C99*C93-C100)/C78,0)</f>
        <v>46004136.786512055</v>
      </c>
    </row>
    <row r="103" spans="1:4" x14ac:dyDescent="0.3">
      <c r="A103" s="160" t="s">
        <v>137</v>
      </c>
      <c r="B103" s="160" t="s">
        <v>138</v>
      </c>
      <c r="C103" s="160">
        <f>H84</f>
        <v>1</v>
      </c>
    </row>
    <row r="104" spans="1:4" x14ac:dyDescent="0.3">
      <c r="B104" s="160" t="s">
        <v>139</v>
      </c>
      <c r="C104" s="160">
        <f>H85</f>
        <v>1.266</v>
      </c>
    </row>
    <row r="105" spans="1:4" x14ac:dyDescent="0.3">
      <c r="B105" s="160" t="s">
        <v>293</v>
      </c>
      <c r="C105" s="160">
        <f>H86</f>
        <v>1420.07</v>
      </c>
    </row>
    <row r="106" spans="1:4" x14ac:dyDescent="0.3">
      <c r="C106" s="160" t="s">
        <v>104</v>
      </c>
      <c r="D106" s="160" t="s">
        <v>358</v>
      </c>
    </row>
    <row r="107" spans="1:4" x14ac:dyDescent="0.3">
      <c r="B107" s="160" t="s">
        <v>294</v>
      </c>
      <c r="C107" s="160">
        <f>IF(C112&lt;=4,VLOOKUP(C112,'Таблиця МП_БВС'!H:I,2,),IF(C112&gt;4,'Таблиця МП_БВС'!$I$7+(C112-4)*C105,0))</f>
        <v>5120.17</v>
      </c>
      <c r="D107" s="160">
        <f>IF(D112&lt;=4,VLOOKUP(D112,'Таблиця МП_БВС'!H:I,2,),IF(D112&gt;4,'Таблиця МП_БВС'!$I$7+(D112-4)*C105,0))</f>
        <v>5120.17</v>
      </c>
    </row>
    <row r="108" spans="1:4" x14ac:dyDescent="0.3">
      <c r="B108" s="160" t="s">
        <v>140</v>
      </c>
      <c r="C108" s="160">
        <f>IFERROR(VLOOKUP(C20,'Таблиця МП_БВС'!$B:$E,4,),1.33)</f>
        <v>1.33</v>
      </c>
      <c r="D108" s="160">
        <f>IFERROR(VLOOKUP(D20,'Таблиця МП_БВС'!$B:$E,4,),1)</f>
        <v>1</v>
      </c>
    </row>
    <row r="109" spans="1:4" x14ac:dyDescent="0.3">
      <c r="B109" s="160" t="s">
        <v>141</v>
      </c>
      <c r="C109" s="160">
        <f>IFERROR(VLOOKUP(C21,'Таблиця МП_БВС'!$B:$E,4,),1.33)</f>
        <v>1.33</v>
      </c>
      <c r="D109" s="160">
        <f>IFERROR(VLOOKUP(D21,'Таблиця МП_БВС'!$B:$E,4,),1)</f>
        <v>1</v>
      </c>
    </row>
    <row r="110" spans="1:4" x14ac:dyDescent="0.3">
      <c r="B110" s="160" t="s">
        <v>142</v>
      </c>
      <c r="C110" s="160">
        <f>IFERROR(VLOOKUP(C22,'Таблиця МП_БВС'!$B:$E,4,),1.33)</f>
        <v>1.33</v>
      </c>
      <c r="D110" s="160">
        <f>IFERROR(VLOOKUP(C22,'Таблиця МП_БВС'!$B:$E,4,),1)</f>
        <v>1</v>
      </c>
    </row>
    <row r="111" spans="1:4" x14ac:dyDescent="0.3">
      <c r="B111" s="160" t="s">
        <v>17</v>
      </c>
      <c r="C111" s="160">
        <f>IF(C1="Автокредит",MAX(C108,C109),MAX(C108,C109,C110))</f>
        <v>1.33</v>
      </c>
      <c r="D111" s="160">
        <f>MAX(D108,D109,D110)</f>
        <v>1</v>
      </c>
    </row>
    <row r="112" spans="1:4" x14ac:dyDescent="0.3">
      <c r="B112" s="160" t="s">
        <v>143</v>
      </c>
      <c r="C112" s="160">
        <f>1+IF(OR(H18="одружений(на)",H18="не зареєстрований шлюб"),1,0)+H19</f>
        <v>1</v>
      </c>
      <c r="D112" s="160">
        <f>1+IF(OR(I18="одружений(на)",I18="не зареєстрований шлюб"),1,0)+I19</f>
        <v>1</v>
      </c>
    </row>
    <row r="113" spans="1:4" x14ac:dyDescent="0.3">
      <c r="B113" s="160" t="s">
        <v>144</v>
      </c>
      <c r="C113" s="160">
        <f>MAX(C19,C107*C111*$C$104)</f>
        <v>8621.2398426</v>
      </c>
      <c r="D113" s="160">
        <f>IF(C9="Так",MAX(D19,D107*D111*$C$104),0)</f>
        <v>0</v>
      </c>
    </row>
    <row r="114" spans="1:4" x14ac:dyDescent="0.3">
      <c r="B114" s="160" t="s">
        <v>137</v>
      </c>
      <c r="C114" s="160">
        <f>IF(C78&lt;&gt;0,(C103*C93-C100-C113-D113)/C78,0)</f>
        <v>70396605.379164949</v>
      </c>
    </row>
    <row r="116" spans="1:4" x14ac:dyDescent="0.3">
      <c r="A116" s="160" t="s">
        <v>147</v>
      </c>
      <c r="B116" s="160" t="s">
        <v>148</v>
      </c>
    </row>
    <row r="118" spans="1:4" x14ac:dyDescent="0.3">
      <c r="A118" s="160" t="s">
        <v>149</v>
      </c>
      <c r="B118" s="160" t="s">
        <v>150</v>
      </c>
      <c r="C118" s="160">
        <f>H87</f>
        <v>4000000</v>
      </c>
    </row>
    <row r="119" spans="1:4" x14ac:dyDescent="0.3">
      <c r="B119" s="160" t="s">
        <v>151</v>
      </c>
      <c r="C119" s="160">
        <f>C63+C64+C65+C66</f>
        <v>0</v>
      </c>
    </row>
    <row r="120" spans="1:4" x14ac:dyDescent="0.3">
      <c r="B120" s="160" t="s">
        <v>149</v>
      </c>
      <c r="C120" s="160">
        <f>C118-C119</f>
        <v>4000000</v>
      </c>
    </row>
    <row r="122" spans="1:4" x14ac:dyDescent="0.3">
      <c r="A122" s="160" t="s">
        <v>152</v>
      </c>
      <c r="B122" s="160" t="s">
        <v>112</v>
      </c>
      <c r="C122" s="160">
        <f>$H$91</f>
        <v>4000000</v>
      </c>
    </row>
    <row r="124" spans="1:4" x14ac:dyDescent="0.3">
      <c r="B124" s="160" t="s">
        <v>152</v>
      </c>
      <c r="C124" s="160">
        <f>IF(C123+H5*31&lt;=C122,C80,0)</f>
        <v>4000000</v>
      </c>
    </row>
    <row r="126" spans="1:4" x14ac:dyDescent="0.3">
      <c r="A126" s="160" t="s">
        <v>153</v>
      </c>
      <c r="B126" s="160" t="s">
        <v>153</v>
      </c>
      <c r="C126" s="160">
        <f>IF(C13=0,C3-C4+SUMIF(C10:C12,"Так",D10:D12),C13)</f>
        <v>100000.00000000003</v>
      </c>
    </row>
    <row r="128" spans="1:4" x14ac:dyDescent="0.3">
      <c r="A128" s="160" t="s">
        <v>154</v>
      </c>
      <c r="B128" s="160" t="s">
        <v>148</v>
      </c>
    </row>
    <row r="129" spans="1:3" x14ac:dyDescent="0.3">
      <c r="A129" s="160" t="s">
        <v>155</v>
      </c>
      <c r="B129" s="160" t="s">
        <v>148</v>
      </c>
    </row>
    <row r="130" spans="1:3" x14ac:dyDescent="0.3">
      <c r="A130" s="160" t="s">
        <v>156</v>
      </c>
      <c r="B130" s="160" t="s">
        <v>148</v>
      </c>
    </row>
    <row r="132" spans="1:3" x14ac:dyDescent="0.3">
      <c r="A132" s="160" t="s">
        <v>157</v>
      </c>
      <c r="B132" s="160" t="s">
        <v>158</v>
      </c>
      <c r="C132" s="160">
        <f>H88</f>
        <v>0.5</v>
      </c>
    </row>
    <row r="133" spans="1:3" x14ac:dyDescent="0.3">
      <c r="B133" s="160" t="s">
        <v>157</v>
      </c>
      <c r="C133" s="160">
        <f>IF(C5&gt;0,C132*C5,0)</f>
        <v>2500000</v>
      </c>
    </row>
    <row r="135" spans="1:3" x14ac:dyDescent="0.3">
      <c r="B135" s="160" t="s">
        <v>161</v>
      </c>
      <c r="C135" s="160">
        <f>ROUNDDOWN(MAX(MIN(C82,C97,C101,C114,C120,C124,C126,C133),0)*H89,-2)</f>
        <v>100000</v>
      </c>
    </row>
    <row r="138" spans="1:3" x14ac:dyDescent="0.3">
      <c r="B138" s="160" t="s">
        <v>165</v>
      </c>
    </row>
    <row r="139" spans="1:3" x14ac:dyDescent="0.3">
      <c r="A139" s="160" t="s">
        <v>176</v>
      </c>
      <c r="B139" s="160" t="s">
        <v>214</v>
      </c>
      <c r="C139" s="160">
        <f>IF(H3 = "класика",C135*C77,IF(AND(C1="Автокредит",H3 = "ануїтет"),ROUND(Ануїтетна_графік_Авто!C33,2),ROUND(Ануїтетна_графік_Іпотека!C33,2)))</f>
        <v>33016.53</v>
      </c>
    </row>
    <row r="140" spans="1:3" x14ac:dyDescent="0.3">
      <c r="A140" s="160" t="s">
        <v>307</v>
      </c>
      <c r="B140" s="160" t="s">
        <v>308</v>
      </c>
      <c r="C140" s="160">
        <f>IFERROR(MAX(C19,'Таблиця МП_БВС'!I4*MAX('Таблиця МП_БВС'!$E$3:$E$47)*H85),0)</f>
        <v>8621.2398426</v>
      </c>
    </row>
    <row r="141" spans="1:3" x14ac:dyDescent="0.3">
      <c r="A141" s="160" t="s">
        <v>177</v>
      </c>
      <c r="B141" s="160" t="s">
        <v>309</v>
      </c>
      <c r="C141" s="160">
        <f>MAX(C92-C140-C54-C55,0)</f>
        <v>1601378.7601574</v>
      </c>
    </row>
    <row r="142" spans="1:3" x14ac:dyDescent="0.3">
      <c r="A142" s="160" t="s">
        <v>178</v>
      </c>
      <c r="B142" s="160" t="s">
        <v>167</v>
      </c>
      <c r="C142" s="160">
        <f>IF(C92=0,0,C92/(C140+C54+C55+C139))</f>
        <v>38.666816356547358</v>
      </c>
    </row>
    <row r="143" spans="1:3" x14ac:dyDescent="0.3">
      <c r="A143" s="160" t="s">
        <v>179</v>
      </c>
      <c r="B143" s="160" t="s">
        <v>168</v>
      </c>
      <c r="C143" s="160">
        <f>IF(C92=0,0,(C139+C54+C55)/C92)</f>
        <v>2.050716149068323E-2</v>
      </c>
    </row>
    <row r="144" spans="1:3" x14ac:dyDescent="0.3">
      <c r="A144" s="160" t="s">
        <v>180</v>
      </c>
      <c r="B144" s="160" t="s">
        <v>169</v>
      </c>
      <c r="C144" s="160">
        <f>IF(C5=0,0,C135*(1+H6/100*31/360)/C5)</f>
        <v>2.0223716666666666E-2</v>
      </c>
    </row>
    <row r="145" spans="1:4" x14ac:dyDescent="0.3">
      <c r="A145" s="160" t="s">
        <v>181</v>
      </c>
      <c r="B145" s="160" t="s">
        <v>175</v>
      </c>
      <c r="C145" s="160">
        <f>IF(C58="I",C59,C59/4)</f>
        <v>0</v>
      </c>
    </row>
    <row r="146" spans="1:4" x14ac:dyDescent="0.3">
      <c r="B146" s="160" t="s">
        <v>174</v>
      </c>
      <c r="C146" s="160">
        <f>IF(C58="I",C60,
IF(C58="II",C60,
IF(C58="III",C60/2,
IF(C58="IV",C60/3,0))))</f>
        <v>0</v>
      </c>
      <c r="D146" s="160" t="s">
        <v>213</v>
      </c>
    </row>
    <row r="147" spans="1:4" x14ac:dyDescent="0.3">
      <c r="B147" s="160" t="s">
        <v>170</v>
      </c>
      <c r="C147" s="160" t="str">
        <f>IF(OR(C145=0,C146=0),"Позич не здійснює п.д.",IF(C58="I",(C145/C146-1)*100%,(C146/C145-1)*100%))</f>
        <v>Позич не здійснює п.д.</v>
      </c>
    </row>
    <row r="149" spans="1:4" x14ac:dyDescent="0.3">
      <c r="B149" s="160" t="s">
        <v>182</v>
      </c>
    </row>
    <row r="150" spans="1:4" x14ac:dyDescent="0.3">
      <c r="A150" s="160">
        <v>1</v>
      </c>
      <c r="B150" s="160" t="s">
        <v>167</v>
      </c>
      <c r="C150" s="160">
        <f>IF(C142&lt;=0.5,0,IF(C142&lt;=1,600,IF(C142&lt;=1.05,1000,IF(C142&lt;=1.1,1200,IF(C142&lt;=1.15,1400,1500)))))</f>
        <v>1500</v>
      </c>
    </row>
    <row r="151" spans="1:4" x14ac:dyDescent="0.3">
      <c r="A151" s="160">
        <v>2</v>
      </c>
      <c r="B151" s="160" t="s">
        <v>169</v>
      </c>
      <c r="C151" s="160">
        <f>IF(C144&lt;0.5,1250,IF(C144&lt;0.7,1000,IF(C144&lt;0.8,750,IF(C144&lt;1,500,IF(C144&lt;1.3,250,0)))))</f>
        <v>1250</v>
      </c>
    </row>
    <row r="152" spans="1:4" x14ac:dyDescent="0.3">
      <c r="A152" s="160">
        <v>3</v>
      </c>
      <c r="B152" s="160" t="s">
        <v>168</v>
      </c>
      <c r="C152" s="160">
        <f>IF(C143&lt;0.85,1000,IF(C143&lt;0.9,800,IF(C143&lt;0.95,600,IF(C143&lt;1,400,200))))</f>
        <v>1000</v>
      </c>
    </row>
    <row r="153" spans="1:4" x14ac:dyDescent="0.3">
      <c r="A153" s="160">
        <v>4</v>
      </c>
      <c r="B153" s="160" t="s">
        <v>166</v>
      </c>
      <c r="C153" s="160">
        <f>IF(C141&gt;=C139,500,0)</f>
        <v>500</v>
      </c>
    </row>
    <row r="154" spans="1:4" x14ac:dyDescent="0.3">
      <c r="B154" s="160" t="s">
        <v>183</v>
      </c>
    </row>
    <row r="155" spans="1:4" x14ac:dyDescent="0.3">
      <c r="A155" s="160">
        <v>5</v>
      </c>
      <c r="B155" s="160" t="s">
        <v>184</v>
      </c>
      <c r="C155" s="160">
        <f>IF(C24&lt;=35,84,IF(C24&lt;=83,87,IF(C24&lt;=195,92,98)))</f>
        <v>84</v>
      </c>
    </row>
    <row r="156" spans="1:4" x14ac:dyDescent="0.3">
      <c r="A156" s="160">
        <v>6</v>
      </c>
      <c r="B156" s="160" t="s">
        <v>185</v>
      </c>
      <c r="C156" s="160">
        <f>SUM(C157:C160)</f>
        <v>87</v>
      </c>
    </row>
    <row r="157" spans="1:4" x14ac:dyDescent="0.3">
      <c r="B157" s="160" t="s">
        <v>207</v>
      </c>
      <c r="C157" s="160">
        <f>IF(AND(H23="так",H24="так",H25="ні",H26="ні",H27="ні"),81,
IF(AND(H23="так",H24="так",H25="ні",H26="ні",H27="так"),81,
IF(AND(H23="так",H24="ні",H25="ні",H26="ні",H27="так"),81,
IF(AND(H23="так",H24="ні",H25="так",H26="ні",H27="ні"),81,
IF(AND(H23="так",H24="так",H25="ні",H26="так",H27="ні"),81,
IF(AND(H23="ні",H24="так",H25="ні",H26="так",H27="ні"),81,
IF(AND(H23="ні",H24="так",H25="так",H26="так",H27="ні"),81,
IF(AND(H23="ні",H24="так",H25="ні",H26="так",H27="так"),81,0))))))))</f>
        <v>0</v>
      </c>
    </row>
    <row r="158" spans="1:4" x14ac:dyDescent="0.3">
      <c r="B158" s="160" t="s">
        <v>208</v>
      </c>
      <c r="C158" s="160">
        <f>IF(AND(H23="так",H24="так",H25="так",H26="ні",H27="ні"),90,
IF(AND(H23="ні",H24="так",H25="ні",H26="ні",H27="ні"),90,
IF(AND(H23="так",H24="так",H25="так",H26="ні",H27="так"),90,
IF(AND(H23="ні",H24="так",H25="ні",H26="ні",H27="так"),90,
IF(AND(H23="ні",H24="ні",H25="так",H26="ні",H27="так"),90,
IF(AND(H23="ні",H24="ні",H25="ні",H26="так",H27="ні"),90,
IF(AND(H23="так",H24="ні",H25="так",H26="так",H27="так"),90,0)))))))</f>
        <v>0</v>
      </c>
    </row>
    <row r="159" spans="1:4" x14ac:dyDescent="0.3">
      <c r="B159" s="160" t="s">
        <v>209</v>
      </c>
      <c r="C159" s="160">
        <f>IF(AND(H23="так",H24="ні",H25="ні",H26="ні",H27="ні"),87,
IF(AND(H23="так",H24="так",H25="так",H26="так",H27="ні"),87,
IF(AND(H23="так",H24="ні",H25="так",H26="так",H27="ні"),87,
IF(AND(H23="так",H24="ні",H25="ні",H26="так",H27="так"),87,
IF(AND(H23="ні",H24="ні",H25="так",H26="так",H27="ні"),87,
IF(AND(H23="ні",H24="ні",H25="ні",H26="так",H27="так"),87,
IF(AND(H23="так",H24="ні",H25="ні",H26="так",H27="ні"),87,
IF(AND(H23="ні",H24="ні",H25="так",H26="ні",H27="ні"),87,
IF(AND(H23="ні",H24="ні",H25="ні",H26="ні",H27="ні"),87,
IF(AND(H23="",H24="",H25="",H26="",H27=""),87,0))))))))))</f>
        <v>87</v>
      </c>
    </row>
    <row r="160" spans="1:4" x14ac:dyDescent="0.3">
      <c r="B160" s="160" t="s">
        <v>210</v>
      </c>
      <c r="C160" s="160">
        <f>IF(AND(H23="так",H24="ні",H25="так",H26="ні",H27="так"),94,
IF(AND(H23="ні",H24="так",H25="так",H26="ні",H27="ні"),94,
IF(AND(H23="ні",H24="так",H25="так",H26="ні",H27="так"),94,
IF(AND(H23="ні",H24="ні",H25="ні",H26="ні",H27="так"),94,
IF(AND(H23="так",H24="так",H25="так",H26="так",H27="так"),94,
IF(AND(H23="ні",H24="так",H25="так",H26="так",H27="так"),94,
IF(AND(H23="ні",H24="ні",H25="так",H26="так",H27="так"),94,0)))))))</f>
        <v>0</v>
      </c>
    </row>
    <row r="161" spans="1:3" x14ac:dyDescent="0.3">
      <c r="A161" s="160">
        <v>7</v>
      </c>
      <c r="B161" s="160" t="s">
        <v>186</v>
      </c>
      <c r="C161" s="160">
        <f ca="1">IF(DATEDIF(H20,TODAY(),"Y")&lt;=25,87,
IF(DATEDIF(H20,TODAY(),"Y")&lt;=40,88,
IF(DATEDIF(H20,TODAY(),"Y")&lt;=48,89,
IF(DATEDIF(H20,TODAY(),"Y")&lt;=55,92,93))))</f>
        <v>88</v>
      </c>
    </row>
    <row r="162" spans="1:3" x14ac:dyDescent="0.3">
      <c r="A162" s="160">
        <v>8</v>
      </c>
      <c r="B162" s="160" t="s">
        <v>187</v>
      </c>
      <c r="C162" s="160">
        <f>SUM(C163:C165)</f>
        <v>92</v>
      </c>
    </row>
    <row r="163" spans="1:3" x14ac:dyDescent="0.3">
      <c r="B163" s="160" t="s">
        <v>207</v>
      </c>
      <c r="C163" s="160">
        <f>IF(AND(H18="не одружений(на)",H19&gt;0),92,
IF(AND(H18="не одружений(на)",H19=0),92,
IF(AND(H18="розлучений(на)",H19&gt;0),92,
IF(AND(H18="не зареєстрований шлюб",H19=0),92,0))))</f>
        <v>92</v>
      </c>
    </row>
    <row r="164" spans="1:3" x14ac:dyDescent="0.3">
      <c r="B164" s="160" t="s">
        <v>208</v>
      </c>
      <c r="C164" s="160">
        <f>IF(AND(H18="вдова/вдівець",H19=0),90,
IF(AND(H18="одружений(на)",H19&gt;0),90,
IF(AND(H18="не зареєстрований шлюб",H19&gt;0),90,0)))</f>
        <v>0</v>
      </c>
    </row>
    <row r="165" spans="1:3" x14ac:dyDescent="0.3">
      <c r="B165" s="160" t="s">
        <v>209</v>
      </c>
      <c r="C165" s="160">
        <f>IF(AND(H18="вдова/вдівець",H19&gt;0),88,
IF(AND(H18="одружений(на)",H19=0),88,
IF(AND(H18="розлучений(на)",H19=0),88,0)))</f>
        <v>0</v>
      </c>
    </row>
    <row r="166" spans="1:3" x14ac:dyDescent="0.3">
      <c r="A166" s="160">
        <v>9</v>
      </c>
      <c r="B166" s="160" t="s">
        <v>212</v>
      </c>
      <c r="C166" s="160">
        <f>IF(C25&lt;=7,200,IF(C25&lt;=30,100,IF(C25&lt;=60,50,IF(C25&lt;=90,25,0))))</f>
        <v>200</v>
      </c>
    </row>
    <row r="167" spans="1:3" x14ac:dyDescent="0.3">
      <c r="A167" s="160">
        <v>10</v>
      </c>
      <c r="B167" s="160" t="s">
        <v>188</v>
      </c>
      <c r="C167" s="160">
        <f>IF(OR(C147&gt;=10%,C147="Позич не здійснює п.д."),173,
IF(AND(C147&gt;=0%,C147&lt;10%),100,
IF(AND(C147&gt;=-10%,C147&lt;0%),20,
IF(OR(AND(C145&lt;=0,C146&gt;0),AND(C146&lt;0,C145&gt;0)),50,
IF(OR(C147&lt;-10%,AND(C145&lt;=0,C146&lt;=0),AND(C145&gt;0,C146&lt;=0),AND(C146&gt;0,C145&lt;=0),AND(C146=0,C145&gt;0),AND(C145=0,C146&gt;0)),0,0)))))</f>
        <v>173</v>
      </c>
    </row>
    <row r="169" spans="1:3" x14ac:dyDescent="0.3">
      <c r="A169" s="160" t="s">
        <v>216</v>
      </c>
      <c r="B169" s="160" t="s">
        <v>215</v>
      </c>
      <c r="C169" s="160">
        <f ca="1">SUM(C150:C153)+MIN(0.3/0.7*SUM(C150:C153),C155+C156+C161+C162+C166+C167)</f>
        <v>4974</v>
      </c>
    </row>
    <row r="170" spans="1:3" x14ac:dyDescent="0.3">
      <c r="B170" s="160" t="s">
        <v>217</v>
      </c>
      <c r="C170" s="160">
        <f ca="1">IF(C169&lt;1250,5,IF(C169&lt;2000,4,IF(C169&lt;3000,3,IF(C169&lt;3500,2,1))))</f>
        <v>1</v>
      </c>
    </row>
    <row r="171" spans="1:3" x14ac:dyDescent="0.3">
      <c r="B171" s="160" t="s">
        <v>218</v>
      </c>
      <c r="C171" s="160">
        <f>IF(C143&lt;=0.5,1,IF(C143&lt;=0.6,2,IF(C143&lt;=0.7,3,IF(C143&lt;=0.8,4,5))))</f>
        <v>1</v>
      </c>
    </row>
    <row r="172" spans="1:3" x14ac:dyDescent="0.3">
      <c r="B172" s="160" t="s">
        <v>219</v>
      </c>
      <c r="C172" s="160">
        <f>IF(C25&lt;=7,1,IF(C25&lt;=30,2,IF(C25&lt;=60,3,IF(C25&lt;=90,4,5))))</f>
        <v>1</v>
      </c>
    </row>
    <row r="174" spans="1:3" x14ac:dyDescent="0.3">
      <c r="B174" s="160" t="s">
        <v>292</v>
      </c>
      <c r="C174" s="160">
        <f ca="1">IF(AND(H23="ні",H24="ні",H25="ні",H26="ні",H27="ні"),MAX(C170,C171,C172,2),MAX(C170,C171,C172))</f>
        <v>1</v>
      </c>
    </row>
    <row r="177" s="160" customFormat="1" x14ac:dyDescent="0.3"/>
    <row r="178" s="160" customFormat="1" x14ac:dyDescent="0.3"/>
    <row r="179" s="160" customFormat="1" x14ac:dyDescent="0.3"/>
    <row r="180" s="160" customFormat="1" x14ac:dyDescent="0.3"/>
    <row r="181" s="160" customFormat="1" x14ac:dyDescent="0.3"/>
    <row r="182" s="160" customFormat="1" x14ac:dyDescent="0.3"/>
    <row r="183" s="160" customFormat="1" x14ac:dyDescent="0.3"/>
    <row r="184" s="160" customFormat="1" x14ac:dyDescent="0.3"/>
    <row r="185" s="160" customFormat="1" x14ac:dyDescent="0.3"/>
    <row r="186" s="160" customFormat="1" x14ac:dyDescent="0.3"/>
    <row r="187" s="160" customFormat="1" x14ac:dyDescent="0.3"/>
    <row r="188" s="160" customFormat="1" x14ac:dyDescent="0.3"/>
    <row r="189" s="160" customFormat="1" x14ac:dyDescent="0.3"/>
    <row r="190" s="160" customFormat="1" x14ac:dyDescent="0.3"/>
    <row r="191" s="160" customFormat="1" x14ac:dyDescent="0.3"/>
    <row r="192" s="160" customFormat="1" x14ac:dyDescent="0.3"/>
    <row r="193" s="160" customFormat="1" x14ac:dyDescent="0.3"/>
    <row r="194" s="160" customFormat="1" x14ac:dyDescent="0.3"/>
    <row r="195" s="160" customFormat="1" x14ac:dyDescent="0.3"/>
    <row r="196" s="160" customFormat="1" x14ac:dyDescent="0.3"/>
    <row r="197" s="160" customFormat="1" x14ac:dyDescent="0.3"/>
    <row r="198" s="160" customFormat="1" x14ac:dyDescent="0.3"/>
    <row r="199" s="160" customFormat="1" x14ac:dyDescent="0.3"/>
    <row r="200" s="160" customFormat="1" x14ac:dyDescent="0.3"/>
    <row r="201" s="160" customFormat="1" x14ac:dyDescent="0.3"/>
    <row r="202" s="160" customFormat="1" x14ac:dyDescent="0.3"/>
    <row r="203" s="160" customFormat="1" x14ac:dyDescent="0.3"/>
    <row r="204" s="160" customFormat="1" x14ac:dyDescent="0.3"/>
    <row r="205" s="160" customFormat="1" x14ac:dyDescent="0.3"/>
    <row r="206" s="160" customFormat="1" x14ac:dyDescent="0.3"/>
    <row r="207" s="160" customFormat="1" x14ac:dyDescent="0.3"/>
    <row r="208" s="160" customFormat="1" x14ac:dyDescent="0.3"/>
    <row r="209" s="160" customFormat="1" x14ac:dyDescent="0.3"/>
    <row r="210" s="160" customFormat="1" x14ac:dyDescent="0.3"/>
    <row r="211" s="160" customFormat="1" x14ac:dyDescent="0.3"/>
    <row r="212" s="160" customFormat="1" x14ac:dyDescent="0.3"/>
    <row r="213" s="160" customFormat="1" x14ac:dyDescent="0.3"/>
    <row r="214" s="160" customFormat="1" x14ac:dyDescent="0.3"/>
    <row r="215" s="160" customFormat="1" x14ac:dyDescent="0.3"/>
    <row r="216" s="160" customFormat="1" x14ac:dyDescent="0.3"/>
    <row r="217" s="160" customFormat="1" x14ac:dyDescent="0.3"/>
    <row r="218" s="160" customFormat="1" x14ac:dyDescent="0.3"/>
    <row r="219" s="160" customFormat="1" x14ac:dyDescent="0.3"/>
    <row r="220" s="160" customFormat="1" x14ac:dyDescent="0.3"/>
    <row r="221" s="160" customFormat="1" x14ac:dyDescent="0.3"/>
    <row r="222" s="160" customFormat="1" x14ac:dyDescent="0.3"/>
    <row r="223" s="160" customFormat="1" x14ac:dyDescent="0.3"/>
    <row r="224" s="160" customFormat="1" x14ac:dyDescent="0.3"/>
    <row r="225" s="160" customFormat="1" x14ac:dyDescent="0.3"/>
    <row r="226" s="160" customFormat="1" x14ac:dyDescent="0.3"/>
    <row r="227" s="160" customFormat="1" x14ac:dyDescent="0.3"/>
    <row r="228" s="160" customFormat="1" x14ac:dyDescent="0.3"/>
    <row r="229" s="160" customFormat="1" x14ac:dyDescent="0.3"/>
    <row r="230" s="160" customFormat="1" x14ac:dyDescent="0.3"/>
    <row r="231" s="160" customFormat="1" x14ac:dyDescent="0.3"/>
    <row r="232" s="160" customFormat="1" x14ac:dyDescent="0.3"/>
    <row r="233" s="160" customFormat="1" x14ac:dyDescent="0.3"/>
    <row r="234" s="160" customFormat="1" x14ac:dyDescent="0.3"/>
    <row r="235" s="160" customFormat="1" x14ac:dyDescent="0.3"/>
    <row r="236" s="160" customFormat="1" x14ac:dyDescent="0.3"/>
    <row r="237" s="160" customFormat="1" x14ac:dyDescent="0.3"/>
    <row r="238" s="160" customFormat="1" x14ac:dyDescent="0.3"/>
    <row r="239" s="160" customFormat="1" x14ac:dyDescent="0.3"/>
    <row r="240" s="160" customFormat="1" x14ac:dyDescent="0.3"/>
    <row r="241" s="160" customFormat="1" x14ac:dyDescent="0.3"/>
    <row r="242" s="160" customFormat="1" x14ac:dyDescent="0.3"/>
    <row r="243" s="160" customFormat="1" x14ac:dyDescent="0.3"/>
    <row r="244" s="160" customFormat="1" x14ac:dyDescent="0.3"/>
    <row r="245" s="160" customFormat="1" x14ac:dyDescent="0.3"/>
    <row r="246" s="160" customFormat="1" x14ac:dyDescent="0.3"/>
    <row r="247" s="160" customFormat="1" x14ac:dyDescent="0.3"/>
    <row r="248" s="160" customFormat="1" x14ac:dyDescent="0.3"/>
    <row r="249" s="160" customFormat="1" x14ac:dyDescent="0.3"/>
    <row r="250" s="160" customFormat="1" x14ac:dyDescent="0.3"/>
    <row r="251" s="160" customFormat="1" x14ac:dyDescent="0.3"/>
    <row r="252" s="160" customFormat="1" x14ac:dyDescent="0.3"/>
    <row r="253" s="160" customFormat="1" x14ac:dyDescent="0.3"/>
    <row r="254" s="160" customFormat="1" x14ac:dyDescent="0.3"/>
    <row r="255" s="160" customFormat="1" x14ac:dyDescent="0.3"/>
    <row r="256" s="160" customFormat="1" x14ac:dyDescent="0.3"/>
    <row r="257" s="160" customFormat="1" x14ac:dyDescent="0.3"/>
    <row r="258" s="160" customFormat="1" x14ac:dyDescent="0.3"/>
    <row r="259" s="160" customFormat="1" x14ac:dyDescent="0.3"/>
    <row r="260" s="160" customFormat="1" x14ac:dyDescent="0.3"/>
    <row r="261" s="160" customFormat="1" x14ac:dyDescent="0.3"/>
    <row r="262" s="160" customFormat="1" x14ac:dyDescent="0.3"/>
    <row r="263" s="160" customFormat="1" x14ac:dyDescent="0.3"/>
    <row r="264" s="160" customFormat="1" x14ac:dyDescent="0.3"/>
    <row r="265" s="160" customFormat="1" x14ac:dyDescent="0.3"/>
    <row r="266" s="160" customFormat="1" x14ac:dyDescent="0.3"/>
    <row r="267" s="160" customFormat="1" x14ac:dyDescent="0.3"/>
    <row r="268" s="160" customFormat="1" x14ac:dyDescent="0.3"/>
    <row r="269" s="160" customFormat="1" x14ac:dyDescent="0.3"/>
    <row r="270" s="160" customFormat="1" x14ac:dyDescent="0.3"/>
    <row r="271" s="160" customFormat="1" x14ac:dyDescent="0.3"/>
    <row r="272" s="160" customFormat="1" x14ac:dyDescent="0.3"/>
    <row r="273" s="160" customFormat="1" x14ac:dyDescent="0.3"/>
    <row r="274" s="160" customFormat="1" x14ac:dyDescent="0.3"/>
    <row r="275" s="160" customFormat="1" x14ac:dyDescent="0.3"/>
    <row r="276" s="160" customFormat="1" x14ac:dyDescent="0.3"/>
    <row r="277" s="160" customFormat="1" x14ac:dyDescent="0.3"/>
    <row r="278" s="160" customFormat="1" x14ac:dyDescent="0.3"/>
    <row r="279" s="160" customFormat="1" x14ac:dyDescent="0.3"/>
    <row r="280" s="160" customFormat="1" x14ac:dyDescent="0.3"/>
    <row r="281" s="160" customFormat="1" x14ac:dyDescent="0.3"/>
    <row r="282" s="160" customFormat="1" x14ac:dyDescent="0.3"/>
    <row r="283" s="160" customFormat="1" x14ac:dyDescent="0.3"/>
    <row r="284" s="160" customFormat="1" x14ac:dyDescent="0.3"/>
    <row r="285" s="160" customFormat="1" x14ac:dyDescent="0.3"/>
    <row r="286" s="160" customFormat="1" x14ac:dyDescent="0.3"/>
    <row r="287" s="160" customFormat="1" x14ac:dyDescent="0.3"/>
    <row r="288" s="160" customFormat="1" x14ac:dyDescent="0.3"/>
    <row r="289" s="160" customFormat="1" x14ac:dyDescent="0.3"/>
    <row r="290" s="160" customFormat="1" x14ac:dyDescent="0.3"/>
    <row r="291" s="160" customFormat="1" x14ac:dyDescent="0.3"/>
    <row r="292" s="160" customFormat="1" x14ac:dyDescent="0.3"/>
    <row r="293" s="160" customFormat="1" x14ac:dyDescent="0.3"/>
    <row r="294" s="160" customFormat="1" x14ac:dyDescent="0.3"/>
    <row r="295" s="160" customFormat="1" x14ac:dyDescent="0.3"/>
    <row r="296" s="160" customFormat="1" x14ac:dyDescent="0.3"/>
    <row r="297" s="160" customFormat="1" x14ac:dyDescent="0.3"/>
    <row r="298" s="160" customFormat="1" x14ac:dyDescent="0.3"/>
    <row r="299" s="160" customFormat="1" x14ac:dyDescent="0.3"/>
    <row r="300" s="160" customFormat="1" x14ac:dyDescent="0.3"/>
    <row r="301" s="160" customFormat="1" x14ac:dyDescent="0.3"/>
    <row r="302" s="160" customFormat="1" x14ac:dyDescent="0.3"/>
    <row r="303" s="160" customFormat="1" x14ac:dyDescent="0.3"/>
    <row r="304" s="160" customFormat="1" x14ac:dyDescent="0.3"/>
    <row r="305" s="160" customFormat="1" x14ac:dyDescent="0.3"/>
    <row r="306" s="160" customFormat="1" x14ac:dyDescent="0.3"/>
    <row r="307" s="160" customFormat="1" x14ac:dyDescent="0.3"/>
    <row r="308" s="160" customFormat="1" x14ac:dyDescent="0.3"/>
    <row r="309" s="160" customFormat="1" x14ac:dyDescent="0.3"/>
    <row r="310" s="160" customFormat="1" x14ac:dyDescent="0.3"/>
    <row r="311" s="160" customFormat="1" x14ac:dyDescent="0.3"/>
    <row r="312" s="160" customFormat="1" x14ac:dyDescent="0.3"/>
    <row r="313" s="160" customFormat="1" x14ac:dyDescent="0.3"/>
    <row r="314" s="160" customFormat="1" x14ac:dyDescent="0.3"/>
    <row r="315" s="160" customFormat="1" x14ac:dyDescent="0.3"/>
    <row r="316" s="160" customFormat="1" x14ac:dyDescent="0.3"/>
    <row r="317" s="160" customFormat="1" x14ac:dyDescent="0.3"/>
    <row r="318" s="160" customFormat="1" x14ac:dyDescent="0.3"/>
    <row r="319" s="160" customFormat="1" x14ac:dyDescent="0.3"/>
    <row r="320" s="160" customFormat="1" x14ac:dyDescent="0.3"/>
    <row r="321" s="160" customFormat="1" x14ac:dyDescent="0.3"/>
    <row r="322" s="160" customFormat="1" x14ac:dyDescent="0.3"/>
    <row r="323" s="160" customFormat="1" x14ac:dyDescent="0.3"/>
    <row r="324" s="160" customFormat="1" x14ac:dyDescent="0.3"/>
    <row r="325" s="160" customFormat="1" x14ac:dyDescent="0.3"/>
    <row r="326" s="160" customFormat="1" x14ac:dyDescent="0.3"/>
    <row r="327" s="160" customFormat="1" x14ac:dyDescent="0.3"/>
    <row r="328" s="160" customFormat="1" x14ac:dyDescent="0.3"/>
    <row r="329" s="160" customFormat="1" x14ac:dyDescent="0.3"/>
    <row r="330" s="160" customFormat="1" x14ac:dyDescent="0.3"/>
    <row r="331" s="160" customFormat="1" x14ac:dyDescent="0.3"/>
    <row r="332" s="160" customFormat="1" x14ac:dyDescent="0.3"/>
    <row r="333" s="160" customFormat="1" x14ac:dyDescent="0.3"/>
    <row r="334" s="160" customFormat="1" x14ac:dyDescent="0.3"/>
    <row r="335" s="160" customFormat="1" x14ac:dyDescent="0.3"/>
    <row r="336" s="160" customFormat="1" x14ac:dyDescent="0.3"/>
    <row r="337" s="160" customFormat="1" x14ac:dyDescent="0.3"/>
    <row r="338" s="160" customFormat="1" x14ac:dyDescent="0.3"/>
    <row r="339" s="160" customFormat="1" x14ac:dyDescent="0.3"/>
    <row r="340" s="160" customFormat="1" x14ac:dyDescent="0.3"/>
    <row r="341" s="160" customFormat="1" x14ac:dyDescent="0.3"/>
    <row r="342" s="160" customFormat="1" x14ac:dyDescent="0.3"/>
    <row r="343" s="160" customFormat="1" x14ac:dyDescent="0.3"/>
    <row r="344" s="160" customFormat="1" x14ac:dyDescent="0.3"/>
    <row r="345" s="160" customFormat="1" x14ac:dyDescent="0.3"/>
    <row r="346" s="160" customFormat="1" x14ac:dyDescent="0.3"/>
    <row r="347" s="160" customFormat="1" x14ac:dyDescent="0.3"/>
    <row r="348" s="160" customFormat="1" x14ac:dyDescent="0.3"/>
    <row r="349" s="160" customFormat="1" x14ac:dyDescent="0.3"/>
    <row r="350" s="160" customFormat="1" x14ac:dyDescent="0.3"/>
    <row r="351" s="160" customFormat="1" x14ac:dyDescent="0.3"/>
    <row r="352" s="160" customFormat="1" x14ac:dyDescent="0.3"/>
    <row r="353" s="160" customFormat="1" x14ac:dyDescent="0.3"/>
    <row r="354" s="160" customFormat="1" x14ac:dyDescent="0.3"/>
    <row r="355" s="160" customFormat="1" x14ac:dyDescent="0.3"/>
    <row r="356" s="160" customFormat="1" x14ac:dyDescent="0.3"/>
    <row r="357" s="160" customFormat="1" x14ac:dyDescent="0.3"/>
    <row r="358" s="160" customFormat="1" x14ac:dyDescent="0.3"/>
    <row r="359" s="160" customFormat="1" x14ac:dyDescent="0.3"/>
    <row r="360" s="160" customFormat="1" x14ac:dyDescent="0.3"/>
    <row r="361" s="160" customFormat="1" x14ac:dyDescent="0.3"/>
    <row r="362" s="160" customFormat="1" x14ac:dyDescent="0.3"/>
    <row r="363" s="160" customFormat="1" x14ac:dyDescent="0.3"/>
    <row r="364" s="160" customFormat="1" x14ac:dyDescent="0.3"/>
    <row r="365" s="160" customFormat="1" x14ac:dyDescent="0.3"/>
    <row r="366" s="160" customFormat="1" x14ac:dyDescent="0.3"/>
    <row r="367" s="160" customFormat="1" x14ac:dyDescent="0.3"/>
    <row r="368" s="160" customFormat="1" x14ac:dyDescent="0.3"/>
    <row r="369" s="160" customFormat="1" x14ac:dyDescent="0.3"/>
    <row r="370" s="160" customFormat="1" x14ac:dyDescent="0.3"/>
    <row r="371" s="160" customFormat="1" x14ac:dyDescent="0.3"/>
    <row r="372" s="160" customFormat="1" x14ac:dyDescent="0.3"/>
    <row r="373" s="160" customFormat="1" x14ac:dyDescent="0.3"/>
    <row r="374" s="160" customFormat="1" x14ac:dyDescent="0.3"/>
    <row r="375" s="160" customFormat="1" x14ac:dyDescent="0.3"/>
    <row r="376" s="160" customFormat="1" x14ac:dyDescent="0.3"/>
    <row r="377" s="160" customFormat="1" x14ac:dyDescent="0.3"/>
    <row r="378" s="160" customFormat="1" x14ac:dyDescent="0.3"/>
    <row r="379" s="160" customFormat="1" x14ac:dyDescent="0.3"/>
    <row r="380" s="160" customFormat="1" x14ac:dyDescent="0.3"/>
    <row r="381" s="160" customFormat="1" x14ac:dyDescent="0.3"/>
    <row r="382" s="160" customFormat="1" x14ac:dyDescent="0.3"/>
    <row r="383" s="160" customFormat="1" x14ac:dyDescent="0.3"/>
    <row r="384" s="160" customFormat="1" x14ac:dyDescent="0.3"/>
    <row r="385" s="160" customFormat="1" x14ac:dyDescent="0.3"/>
    <row r="386" s="160" customFormat="1" x14ac:dyDescent="0.3"/>
    <row r="387" s="160" customFormat="1" x14ac:dyDescent="0.3"/>
    <row r="388" s="160" customFormat="1" x14ac:dyDescent="0.3"/>
    <row r="389" s="160" customFormat="1" x14ac:dyDescent="0.3"/>
    <row r="390" s="160" customFormat="1" x14ac:dyDescent="0.3"/>
    <row r="391" s="160" customFormat="1" x14ac:dyDescent="0.3"/>
    <row r="392" s="160" customFormat="1" x14ac:dyDescent="0.3"/>
    <row r="393" s="160" customFormat="1" x14ac:dyDescent="0.3"/>
    <row r="394" s="160" customFormat="1" x14ac:dyDescent="0.3"/>
    <row r="395" s="160" customFormat="1" x14ac:dyDescent="0.3"/>
    <row r="396" s="160" customFormat="1" x14ac:dyDescent="0.3"/>
    <row r="397" s="160" customFormat="1" x14ac:dyDescent="0.3"/>
    <row r="398" s="160" customFormat="1" x14ac:dyDescent="0.3"/>
    <row r="399" s="160" customFormat="1" x14ac:dyDescent="0.3"/>
    <row r="400" s="160" customFormat="1" x14ac:dyDescent="0.3"/>
    <row r="401" s="160" customFormat="1" x14ac:dyDescent="0.3"/>
    <row r="402" s="160" customFormat="1" x14ac:dyDescent="0.3"/>
    <row r="403" s="160" customFormat="1" x14ac:dyDescent="0.3"/>
    <row r="404" s="160" customFormat="1" x14ac:dyDescent="0.3"/>
    <row r="405" s="160" customFormat="1" x14ac:dyDescent="0.3"/>
    <row r="406" s="160" customFormat="1" x14ac:dyDescent="0.3"/>
    <row r="407" s="160" customFormat="1" x14ac:dyDescent="0.3"/>
    <row r="408" s="160" customFormat="1" x14ac:dyDescent="0.3"/>
    <row r="409" s="160" customFormat="1" x14ac:dyDescent="0.3"/>
    <row r="410" s="160" customFormat="1" x14ac:dyDescent="0.3"/>
    <row r="411" s="160" customFormat="1" x14ac:dyDescent="0.3"/>
    <row r="412" s="160" customFormat="1" x14ac:dyDescent="0.3"/>
    <row r="413" s="160" customFormat="1" x14ac:dyDescent="0.3"/>
    <row r="414" s="160" customFormat="1" x14ac:dyDescent="0.3"/>
    <row r="415" s="160" customFormat="1" x14ac:dyDescent="0.3"/>
    <row r="416" s="160" customFormat="1" x14ac:dyDescent="0.3"/>
    <row r="417" s="160" customFormat="1" x14ac:dyDescent="0.3"/>
    <row r="418" s="160" customFormat="1" x14ac:dyDescent="0.3"/>
    <row r="419" s="160" customFormat="1" x14ac:dyDescent="0.3"/>
    <row r="420" s="160" customFormat="1" x14ac:dyDescent="0.3"/>
    <row r="421" s="160" customFormat="1" x14ac:dyDescent="0.3"/>
    <row r="422" s="160" customFormat="1" x14ac:dyDescent="0.3"/>
    <row r="423" s="160" customFormat="1" x14ac:dyDescent="0.3"/>
    <row r="424" s="160" customFormat="1" x14ac:dyDescent="0.3"/>
    <row r="425" s="160" customFormat="1" x14ac:dyDescent="0.3"/>
    <row r="426" s="160" customFormat="1" x14ac:dyDescent="0.3"/>
    <row r="427" s="160" customFormat="1" x14ac:dyDescent="0.3"/>
    <row r="428" s="160" customFormat="1" x14ac:dyDescent="0.3"/>
    <row r="429" s="160" customFormat="1" x14ac:dyDescent="0.3"/>
    <row r="430" s="160" customFormat="1" x14ac:dyDescent="0.3"/>
    <row r="431" s="160" customFormat="1" x14ac:dyDescent="0.3"/>
    <row r="432" s="160" customFormat="1" x14ac:dyDescent="0.3"/>
    <row r="433" s="160" customFormat="1" x14ac:dyDescent="0.3"/>
    <row r="434" s="160" customFormat="1" x14ac:dyDescent="0.3"/>
    <row r="435" s="160" customFormat="1" x14ac:dyDescent="0.3"/>
    <row r="436" s="160" customFormat="1" x14ac:dyDescent="0.3"/>
    <row r="437" s="160" customFormat="1" x14ac:dyDescent="0.3"/>
    <row r="438" s="160" customFormat="1" x14ac:dyDescent="0.3"/>
    <row r="439" s="160" customFormat="1" x14ac:dyDescent="0.3"/>
    <row r="440" s="160" customFormat="1" x14ac:dyDescent="0.3"/>
    <row r="441" s="160" customFormat="1" x14ac:dyDescent="0.3"/>
    <row r="442" s="160" customFormat="1" x14ac:dyDescent="0.3"/>
    <row r="443" s="160" customFormat="1" x14ac:dyDescent="0.3"/>
    <row r="444" s="160" customFormat="1" x14ac:dyDescent="0.3"/>
    <row r="445" s="160" customFormat="1" x14ac:dyDescent="0.3"/>
    <row r="446" s="160" customFormat="1" x14ac:dyDescent="0.3"/>
    <row r="447" s="160" customFormat="1" x14ac:dyDescent="0.3"/>
    <row r="448" s="160" customFormat="1" x14ac:dyDescent="0.3"/>
    <row r="449" s="160" customFormat="1" x14ac:dyDescent="0.3"/>
    <row r="450" s="160" customFormat="1" x14ac:dyDescent="0.3"/>
    <row r="451" s="160" customFormat="1" x14ac:dyDescent="0.3"/>
    <row r="452" s="160" customFormat="1" x14ac:dyDescent="0.3"/>
    <row r="453" s="160" customFormat="1" x14ac:dyDescent="0.3"/>
    <row r="454" s="160" customFormat="1" x14ac:dyDescent="0.3"/>
    <row r="455" s="160" customFormat="1" x14ac:dyDescent="0.3"/>
    <row r="456" s="160" customFormat="1" x14ac:dyDescent="0.3"/>
    <row r="457" s="160" customFormat="1" x14ac:dyDescent="0.3"/>
    <row r="458" s="160" customFormat="1" x14ac:dyDescent="0.3"/>
    <row r="459" s="160" customFormat="1" x14ac:dyDescent="0.3"/>
    <row r="460" s="160" customFormat="1" x14ac:dyDescent="0.3"/>
    <row r="461" s="160" customFormat="1" x14ac:dyDescent="0.3"/>
    <row r="462" s="160" customFormat="1" x14ac:dyDescent="0.3"/>
    <row r="463" s="160" customFormat="1" x14ac:dyDescent="0.3"/>
    <row r="464" s="160" customFormat="1" x14ac:dyDescent="0.3"/>
    <row r="465" s="160" customFormat="1" x14ac:dyDescent="0.3"/>
    <row r="466" s="160" customFormat="1" x14ac:dyDescent="0.3"/>
    <row r="467" s="160" customFormat="1" x14ac:dyDescent="0.3"/>
    <row r="468" s="160" customFormat="1" x14ac:dyDescent="0.3"/>
    <row r="469" s="160" customFormat="1" x14ac:dyDescent="0.3"/>
    <row r="470" s="160" customFormat="1" x14ac:dyDescent="0.3"/>
    <row r="471" s="160" customFormat="1" x14ac:dyDescent="0.3"/>
    <row r="472" s="160" customFormat="1" x14ac:dyDescent="0.3"/>
    <row r="473" s="160" customFormat="1" x14ac:dyDescent="0.3"/>
    <row r="474" s="160" customFormat="1" x14ac:dyDescent="0.3"/>
    <row r="475" s="160" customFormat="1" x14ac:dyDescent="0.3"/>
    <row r="476" s="160" customFormat="1" x14ac:dyDescent="0.3"/>
    <row r="477" s="160" customFormat="1" x14ac:dyDescent="0.3"/>
    <row r="478" s="160" customFormat="1" x14ac:dyDescent="0.3"/>
    <row r="479" s="160" customFormat="1" x14ac:dyDescent="0.3"/>
    <row r="480" s="160" customFormat="1" x14ac:dyDescent="0.3"/>
    <row r="481" s="160" customFormat="1" x14ac:dyDescent="0.3"/>
    <row r="482" s="160" customFormat="1" x14ac:dyDescent="0.3"/>
    <row r="483" s="160" customFormat="1" x14ac:dyDescent="0.3"/>
    <row r="484" s="160" customFormat="1" x14ac:dyDescent="0.3"/>
    <row r="485" s="160" customFormat="1" x14ac:dyDescent="0.3"/>
    <row r="486" s="160" customFormat="1" x14ac:dyDescent="0.3"/>
    <row r="487" s="160" customFormat="1" x14ac:dyDescent="0.3"/>
    <row r="488" s="160" customFormat="1" x14ac:dyDescent="0.3"/>
    <row r="489" s="160" customFormat="1" x14ac:dyDescent="0.3"/>
    <row r="490" s="160" customFormat="1" x14ac:dyDescent="0.3"/>
    <row r="491" s="160" customFormat="1" x14ac:dyDescent="0.3"/>
    <row r="492" s="160" customFormat="1" x14ac:dyDescent="0.3"/>
    <row r="493" s="160" customFormat="1" x14ac:dyDescent="0.3"/>
    <row r="494" s="160" customFormat="1" x14ac:dyDescent="0.3"/>
    <row r="495" s="160" customFormat="1" x14ac:dyDescent="0.3"/>
    <row r="496" s="160" customFormat="1" x14ac:dyDescent="0.3"/>
    <row r="497" s="160" customFormat="1" x14ac:dyDescent="0.3"/>
    <row r="498" s="160" customFormat="1" x14ac:dyDescent="0.3"/>
    <row r="499" s="160" customFormat="1" x14ac:dyDescent="0.3"/>
    <row r="500" s="160" customFormat="1" x14ac:dyDescent="0.3"/>
    <row r="501" s="160" customFormat="1" x14ac:dyDescent="0.3"/>
    <row r="502" s="160" customFormat="1" x14ac:dyDescent="0.3"/>
    <row r="503" s="160" customFormat="1" x14ac:dyDescent="0.3"/>
    <row r="504" s="160" customFormat="1" x14ac:dyDescent="0.3"/>
    <row r="505" s="160" customFormat="1" x14ac:dyDescent="0.3"/>
    <row r="506" s="160" customFormat="1" x14ac:dyDescent="0.3"/>
    <row r="507" s="160" customFormat="1" x14ac:dyDescent="0.3"/>
    <row r="508" s="160" customFormat="1" x14ac:dyDescent="0.3"/>
    <row r="509" s="160" customFormat="1" x14ac:dyDescent="0.3"/>
    <row r="510" s="160" customFormat="1" x14ac:dyDescent="0.3"/>
    <row r="511" s="160" customFormat="1" x14ac:dyDescent="0.3"/>
    <row r="512" s="160" customFormat="1" x14ac:dyDescent="0.3"/>
    <row r="513" s="160" customFormat="1" x14ac:dyDescent="0.3"/>
    <row r="514" s="160" customFormat="1" x14ac:dyDescent="0.3"/>
    <row r="515" s="160" customFormat="1" x14ac:dyDescent="0.3"/>
    <row r="516" s="160" customFormat="1" x14ac:dyDescent="0.3"/>
    <row r="517" s="160" customFormat="1" x14ac:dyDescent="0.3"/>
    <row r="518" s="160" customFormat="1" x14ac:dyDescent="0.3"/>
    <row r="519" s="160" customFormat="1" x14ac:dyDescent="0.3"/>
    <row r="520" s="160" customFormat="1" x14ac:dyDescent="0.3"/>
    <row r="521" s="160" customFormat="1" x14ac:dyDescent="0.3"/>
    <row r="522" s="160" customFormat="1" x14ac:dyDescent="0.3"/>
    <row r="523" s="160" customFormat="1" x14ac:dyDescent="0.3"/>
    <row r="524" s="160" customFormat="1" x14ac:dyDescent="0.3"/>
    <row r="525" s="160" customFormat="1" x14ac:dyDescent="0.3"/>
    <row r="526" s="160" customFormat="1" x14ac:dyDescent="0.3"/>
    <row r="527" s="160" customFormat="1" x14ac:dyDescent="0.3"/>
    <row r="528" s="160" customFormat="1" x14ac:dyDescent="0.3"/>
    <row r="529" s="160" customFormat="1" x14ac:dyDescent="0.3"/>
    <row r="530" s="160" customFormat="1" x14ac:dyDescent="0.3"/>
    <row r="531" s="160" customFormat="1" x14ac:dyDescent="0.3"/>
    <row r="532" s="160" customFormat="1" x14ac:dyDescent="0.3"/>
    <row r="533" s="160" customFormat="1" x14ac:dyDescent="0.3"/>
    <row r="534" s="160" customFormat="1" x14ac:dyDescent="0.3"/>
    <row r="535" s="160" customFormat="1" x14ac:dyDescent="0.3"/>
    <row r="536" s="160" customFormat="1" x14ac:dyDescent="0.3"/>
    <row r="537" s="160" customFormat="1" x14ac:dyDescent="0.3"/>
    <row r="538" s="160" customFormat="1" x14ac:dyDescent="0.3"/>
    <row r="539" s="160" customFormat="1" x14ac:dyDescent="0.3"/>
    <row r="540" s="160" customFormat="1" x14ac:dyDescent="0.3"/>
    <row r="541" s="160" customFormat="1" x14ac:dyDescent="0.3"/>
    <row r="542" s="160" customFormat="1" x14ac:dyDescent="0.3"/>
    <row r="543" s="160" customFormat="1" x14ac:dyDescent="0.3"/>
    <row r="544" s="160" customFormat="1" x14ac:dyDescent="0.3"/>
    <row r="545" s="160" customFormat="1" x14ac:dyDescent="0.3"/>
    <row r="546" s="160" customFormat="1" x14ac:dyDescent="0.3"/>
    <row r="547" s="160" customFormat="1" x14ac:dyDescent="0.3"/>
    <row r="548" s="160" customFormat="1" x14ac:dyDescent="0.3"/>
    <row r="549" s="160" customFormat="1" x14ac:dyDescent="0.3"/>
    <row r="550" s="160" customFormat="1" x14ac:dyDescent="0.3"/>
    <row r="551" s="160" customFormat="1" x14ac:dyDescent="0.3"/>
    <row r="552" s="160" customFormat="1" x14ac:dyDescent="0.3"/>
    <row r="553" s="160" customFormat="1" x14ac:dyDescent="0.3"/>
    <row r="554" s="160" customFormat="1" x14ac:dyDescent="0.3"/>
    <row r="555" s="160" customFormat="1" x14ac:dyDescent="0.3"/>
    <row r="556" s="160" customFormat="1" x14ac:dyDescent="0.3"/>
    <row r="557" s="160" customFormat="1" x14ac:dyDescent="0.3"/>
    <row r="558" s="160" customFormat="1" x14ac:dyDescent="0.3"/>
    <row r="559" s="160" customFormat="1" x14ac:dyDescent="0.3"/>
    <row r="560" s="160" customFormat="1" x14ac:dyDescent="0.3"/>
    <row r="561" s="160" customFormat="1" x14ac:dyDescent="0.3"/>
    <row r="562" s="160" customFormat="1" x14ac:dyDescent="0.3"/>
    <row r="563" s="160" customFormat="1" x14ac:dyDescent="0.3"/>
    <row r="564" s="160" customFormat="1" x14ac:dyDescent="0.3"/>
    <row r="565" s="160" customFormat="1" x14ac:dyDescent="0.3"/>
    <row r="566" s="160" customFormat="1" x14ac:dyDescent="0.3"/>
    <row r="567" s="160" customFormat="1" x14ac:dyDescent="0.3"/>
    <row r="568" s="160" customFormat="1" x14ac:dyDescent="0.3"/>
    <row r="569" s="160" customFormat="1" x14ac:dyDescent="0.3"/>
    <row r="570" s="160" customFormat="1" x14ac:dyDescent="0.3"/>
    <row r="571" s="160" customFormat="1" x14ac:dyDescent="0.3"/>
    <row r="572" s="160" customFormat="1" x14ac:dyDescent="0.3"/>
    <row r="573" s="160" customFormat="1" x14ac:dyDescent="0.3"/>
    <row r="574" s="160" customFormat="1" x14ac:dyDescent="0.3"/>
    <row r="575" s="160" customFormat="1" x14ac:dyDescent="0.3"/>
    <row r="576" s="160" customFormat="1" x14ac:dyDescent="0.3"/>
    <row r="577" s="160" customFormat="1" x14ac:dyDescent="0.3"/>
    <row r="578" s="160" customFormat="1" x14ac:dyDescent="0.3"/>
    <row r="579" s="160" customFormat="1" x14ac:dyDescent="0.3"/>
    <row r="580" s="160" customFormat="1" x14ac:dyDescent="0.3"/>
    <row r="581" s="160" customFormat="1" x14ac:dyDescent="0.3"/>
    <row r="582" s="160" customFormat="1" x14ac:dyDescent="0.3"/>
    <row r="583" s="160" customFormat="1" x14ac:dyDescent="0.3"/>
    <row r="584" s="160" customFormat="1" x14ac:dyDescent="0.3"/>
    <row r="585" s="160" customFormat="1" x14ac:dyDescent="0.3"/>
    <row r="586" s="160" customFormat="1" x14ac:dyDescent="0.3"/>
    <row r="587" s="160" customFormat="1" x14ac:dyDescent="0.3"/>
    <row r="588" s="160" customFormat="1" x14ac:dyDescent="0.3"/>
    <row r="589" s="160" customFormat="1" x14ac:dyDescent="0.3"/>
    <row r="590" s="160" customFormat="1" x14ac:dyDescent="0.3"/>
    <row r="591" s="160" customFormat="1" x14ac:dyDescent="0.3"/>
    <row r="592" s="160" customFormat="1" x14ac:dyDescent="0.3"/>
    <row r="593" s="160" customFormat="1" x14ac:dyDescent="0.3"/>
    <row r="594" s="160" customFormat="1" x14ac:dyDescent="0.3"/>
    <row r="595" s="160" customFormat="1" x14ac:dyDescent="0.3"/>
    <row r="596" s="160" customFormat="1" x14ac:dyDescent="0.3"/>
    <row r="597" s="160" customFormat="1" x14ac:dyDescent="0.3"/>
    <row r="598" s="160" customFormat="1" x14ac:dyDescent="0.3"/>
    <row r="599" s="160" customFormat="1" x14ac:dyDescent="0.3"/>
    <row r="600" s="160" customFormat="1" x14ac:dyDescent="0.3"/>
    <row r="601" s="160" customFormat="1" x14ac:dyDescent="0.3"/>
    <row r="602" s="160" customFormat="1" x14ac:dyDescent="0.3"/>
    <row r="603" s="160" customFormat="1" x14ac:dyDescent="0.3"/>
    <row r="604" s="160" customFormat="1" x14ac:dyDescent="0.3"/>
    <row r="605" s="160" customFormat="1" x14ac:dyDescent="0.3"/>
    <row r="606" s="160" customFormat="1" x14ac:dyDescent="0.3"/>
    <row r="607" s="160" customFormat="1" x14ac:dyDescent="0.3"/>
    <row r="608" s="160" customFormat="1" x14ac:dyDescent="0.3"/>
    <row r="609" s="160" customFormat="1" x14ac:dyDescent="0.3"/>
    <row r="610" s="160" customFormat="1" x14ac:dyDescent="0.3"/>
    <row r="611" s="160" customFormat="1" x14ac:dyDescent="0.3"/>
    <row r="612" s="160" customFormat="1" x14ac:dyDescent="0.3"/>
    <row r="613" s="160" customFormat="1" x14ac:dyDescent="0.3"/>
    <row r="614" s="160" customFormat="1" x14ac:dyDescent="0.3"/>
    <row r="615" s="160" customFormat="1" x14ac:dyDescent="0.3"/>
    <row r="616" s="160" customFormat="1" x14ac:dyDescent="0.3"/>
    <row r="617" s="160" customFormat="1" x14ac:dyDescent="0.3"/>
    <row r="618" s="160" customFormat="1" x14ac:dyDescent="0.3"/>
    <row r="619" s="160" customFormat="1" x14ac:dyDescent="0.3"/>
    <row r="620" s="160" customFormat="1" x14ac:dyDescent="0.3"/>
    <row r="621" s="160" customFormat="1" x14ac:dyDescent="0.3"/>
    <row r="622" s="160" customFormat="1" x14ac:dyDescent="0.3"/>
    <row r="623" s="160" customFormat="1" x14ac:dyDescent="0.3"/>
    <row r="624" s="160" customFormat="1" x14ac:dyDescent="0.3"/>
    <row r="625" s="160" customFormat="1" x14ac:dyDescent="0.3"/>
    <row r="626" s="160" customFormat="1" x14ac:dyDescent="0.3"/>
    <row r="627" s="160" customFormat="1" x14ac:dyDescent="0.3"/>
    <row r="628" s="160" customFormat="1" x14ac:dyDescent="0.3"/>
    <row r="629" s="160" customFormat="1" x14ac:dyDescent="0.3"/>
    <row r="630" s="160" customFormat="1" x14ac:dyDescent="0.3"/>
    <row r="631" s="160" customFormat="1" x14ac:dyDescent="0.3"/>
    <row r="632" s="160" customFormat="1" x14ac:dyDescent="0.3"/>
    <row r="633" s="160" customFormat="1" x14ac:dyDescent="0.3"/>
    <row r="634" s="160" customFormat="1" x14ac:dyDescent="0.3"/>
    <row r="635" s="160" customFormat="1" x14ac:dyDescent="0.3"/>
    <row r="636" s="160" customFormat="1" x14ac:dyDescent="0.3"/>
    <row r="637" s="160" customFormat="1" x14ac:dyDescent="0.3"/>
    <row r="638" s="160" customFormat="1" x14ac:dyDescent="0.3"/>
    <row r="639" s="160" customFormat="1" x14ac:dyDescent="0.3"/>
    <row r="640" s="160" customFormat="1" x14ac:dyDescent="0.3"/>
    <row r="641" s="160" customFormat="1" x14ac:dyDescent="0.3"/>
    <row r="642" s="160" customFormat="1" x14ac:dyDescent="0.3"/>
    <row r="643" s="160" customFormat="1" x14ac:dyDescent="0.3"/>
    <row r="644" s="160" customFormat="1" x14ac:dyDescent="0.3"/>
    <row r="645" s="160" customFormat="1" x14ac:dyDescent="0.3"/>
    <row r="646" s="160" customFormat="1" x14ac:dyDescent="0.3"/>
    <row r="647" s="160" customFormat="1" x14ac:dyDescent="0.3"/>
    <row r="648" s="160" customFormat="1" x14ac:dyDescent="0.3"/>
    <row r="649" s="160" customFormat="1" x14ac:dyDescent="0.3"/>
    <row r="650" s="160" customFormat="1" x14ac:dyDescent="0.3"/>
    <row r="651" s="160" customFormat="1" x14ac:dyDescent="0.3"/>
    <row r="652" s="160" customFormat="1" x14ac:dyDescent="0.3"/>
    <row r="653" s="160" customFormat="1" x14ac:dyDescent="0.3"/>
    <row r="654" s="160" customFormat="1" x14ac:dyDescent="0.3"/>
    <row r="655" s="160" customFormat="1" x14ac:dyDescent="0.3"/>
    <row r="656" s="160" customFormat="1" x14ac:dyDescent="0.3"/>
    <row r="657" s="160" customFormat="1" x14ac:dyDescent="0.3"/>
    <row r="658" s="160" customFormat="1" x14ac:dyDescent="0.3"/>
    <row r="659" s="160" customFormat="1" x14ac:dyDescent="0.3"/>
    <row r="660" s="160" customFormat="1" x14ac:dyDescent="0.3"/>
    <row r="661" s="160" customFormat="1" x14ac:dyDescent="0.3"/>
    <row r="662" s="160" customFormat="1" x14ac:dyDescent="0.3"/>
    <row r="663" s="160" customFormat="1" x14ac:dyDescent="0.3"/>
    <row r="664" s="160" customFormat="1" x14ac:dyDescent="0.3"/>
    <row r="665" s="160" customFormat="1" x14ac:dyDescent="0.3"/>
    <row r="666" s="160" customFormat="1" x14ac:dyDescent="0.3"/>
    <row r="667" s="160" customFormat="1" x14ac:dyDescent="0.3"/>
    <row r="668" s="160" customFormat="1" x14ac:dyDescent="0.3"/>
    <row r="669" s="160" customFormat="1" x14ac:dyDescent="0.3"/>
    <row r="670" s="160" customFormat="1" x14ac:dyDescent="0.3"/>
    <row r="671" s="160" customFormat="1" x14ac:dyDescent="0.3"/>
    <row r="672" s="160" customFormat="1" x14ac:dyDescent="0.3"/>
    <row r="673" s="160" customFormat="1" x14ac:dyDescent="0.3"/>
    <row r="674" s="160" customFormat="1" x14ac:dyDescent="0.3"/>
    <row r="675" s="160" customFormat="1" x14ac:dyDescent="0.3"/>
    <row r="676" s="160" customFormat="1" x14ac:dyDescent="0.3"/>
    <row r="677" s="160" customFormat="1" x14ac:dyDescent="0.3"/>
    <row r="678" s="160" customFormat="1" x14ac:dyDescent="0.3"/>
    <row r="679" s="160" customFormat="1" x14ac:dyDescent="0.3"/>
    <row r="680" s="160" customFormat="1" x14ac:dyDescent="0.3"/>
    <row r="681" s="160" customFormat="1" x14ac:dyDescent="0.3"/>
    <row r="682" s="160" customFormat="1" x14ac:dyDescent="0.3"/>
    <row r="683" s="160" customFormat="1" x14ac:dyDescent="0.3"/>
    <row r="684" s="160" customFormat="1" x14ac:dyDescent="0.3"/>
    <row r="685" s="160" customFormat="1" x14ac:dyDescent="0.3"/>
    <row r="686" s="160" customFormat="1" x14ac:dyDescent="0.3"/>
    <row r="687" s="160" customFormat="1" x14ac:dyDescent="0.3"/>
    <row r="688" s="160" customFormat="1" x14ac:dyDescent="0.3"/>
    <row r="689" s="160" customFormat="1" x14ac:dyDescent="0.3"/>
    <row r="690" s="160" customFormat="1" x14ac:dyDescent="0.3"/>
    <row r="691" s="160" customFormat="1" x14ac:dyDescent="0.3"/>
    <row r="692" s="160" customFormat="1" x14ac:dyDescent="0.3"/>
    <row r="693" s="160" customFormat="1" x14ac:dyDescent="0.3"/>
    <row r="694" s="160" customFormat="1" x14ac:dyDescent="0.3"/>
    <row r="695" s="160" customFormat="1" x14ac:dyDescent="0.3"/>
    <row r="696" s="160" customFormat="1" x14ac:dyDescent="0.3"/>
    <row r="697" s="160" customFormat="1" x14ac:dyDescent="0.3"/>
    <row r="698" s="160" customFormat="1" x14ac:dyDescent="0.3"/>
    <row r="699" s="160" customFormat="1" x14ac:dyDescent="0.3"/>
    <row r="700" s="160" customFormat="1" x14ac:dyDescent="0.3"/>
    <row r="701" s="160" customFormat="1" x14ac:dyDescent="0.3"/>
    <row r="702" s="160" customFormat="1" x14ac:dyDescent="0.3"/>
    <row r="703" s="160" customFormat="1" x14ac:dyDescent="0.3"/>
    <row r="704" s="160" customFormat="1" x14ac:dyDescent="0.3"/>
    <row r="705" s="160" customFormat="1" x14ac:dyDescent="0.3"/>
    <row r="706" s="160" customFormat="1" x14ac:dyDescent="0.3"/>
    <row r="707" s="160" customFormat="1" x14ac:dyDescent="0.3"/>
    <row r="708" s="160" customFormat="1" x14ac:dyDescent="0.3"/>
    <row r="709" s="160" customFormat="1" x14ac:dyDescent="0.3"/>
    <row r="710" s="160" customFormat="1" x14ac:dyDescent="0.3"/>
    <row r="711" s="160" customFormat="1" x14ac:dyDescent="0.3"/>
    <row r="712" s="160" customFormat="1" x14ac:dyDescent="0.3"/>
    <row r="713" s="160" customFormat="1" x14ac:dyDescent="0.3"/>
    <row r="714" s="160" customFormat="1" x14ac:dyDescent="0.3"/>
    <row r="715" s="160" customFormat="1" x14ac:dyDescent="0.3"/>
    <row r="716" s="160" customFormat="1" x14ac:dyDescent="0.3"/>
    <row r="717" s="160" customFormat="1" x14ac:dyDescent="0.3"/>
    <row r="718" s="160" customFormat="1" x14ac:dyDescent="0.3"/>
    <row r="719" s="160" customFormat="1" x14ac:dyDescent="0.3"/>
    <row r="720" s="160" customFormat="1" x14ac:dyDescent="0.3"/>
    <row r="721" s="160" customFormat="1" x14ac:dyDescent="0.3"/>
    <row r="722" s="160" customFormat="1" x14ac:dyDescent="0.3"/>
    <row r="723" s="160" customFormat="1" x14ac:dyDescent="0.3"/>
    <row r="724" s="160" customFormat="1" x14ac:dyDescent="0.3"/>
    <row r="725" s="160" customFormat="1" x14ac:dyDescent="0.3"/>
    <row r="726" s="160" customFormat="1" x14ac:dyDescent="0.3"/>
    <row r="727" s="160" customFormat="1" x14ac:dyDescent="0.3"/>
    <row r="728" s="160" customFormat="1" x14ac:dyDescent="0.3"/>
    <row r="729" s="160" customFormat="1" x14ac:dyDescent="0.3"/>
    <row r="730" s="160" customFormat="1" x14ac:dyDescent="0.3"/>
    <row r="731" s="160" customFormat="1" x14ac:dyDescent="0.3"/>
    <row r="732" s="160" customFormat="1" x14ac:dyDescent="0.3"/>
    <row r="733" s="160" customFormat="1" x14ac:dyDescent="0.3"/>
    <row r="734" s="160" customFormat="1" x14ac:dyDescent="0.3"/>
    <row r="735" s="160" customFormat="1" x14ac:dyDescent="0.3"/>
    <row r="736" s="160" customFormat="1" x14ac:dyDescent="0.3"/>
    <row r="737" s="160" customFormat="1" x14ac:dyDescent="0.3"/>
    <row r="738" s="160" customFormat="1" x14ac:dyDescent="0.3"/>
    <row r="739" s="160" customFormat="1" x14ac:dyDescent="0.3"/>
    <row r="740" s="160" customFormat="1" x14ac:dyDescent="0.3"/>
    <row r="741" s="160" customFormat="1" x14ac:dyDescent="0.3"/>
    <row r="742" s="160" customFormat="1" x14ac:dyDescent="0.3"/>
    <row r="743" s="160" customFormat="1" x14ac:dyDescent="0.3"/>
    <row r="744" s="160" customFormat="1" x14ac:dyDescent="0.3"/>
    <row r="745" s="160" customFormat="1" x14ac:dyDescent="0.3"/>
    <row r="746" s="160" customFormat="1" x14ac:dyDescent="0.3"/>
    <row r="747" s="160" customFormat="1" x14ac:dyDescent="0.3"/>
    <row r="748" s="160" customFormat="1" x14ac:dyDescent="0.3"/>
    <row r="749" s="160" customFormat="1" x14ac:dyDescent="0.3"/>
    <row r="750" s="160" customFormat="1" x14ac:dyDescent="0.3"/>
    <row r="751" s="160" customFormat="1" x14ac:dyDescent="0.3"/>
    <row r="752" s="160" customFormat="1" x14ac:dyDescent="0.3"/>
    <row r="753" s="160" customFormat="1" x14ac:dyDescent="0.3"/>
    <row r="754" s="160" customFormat="1" x14ac:dyDescent="0.3"/>
    <row r="755" s="160" customFormat="1" x14ac:dyDescent="0.3"/>
    <row r="756" s="160" customFormat="1" x14ac:dyDescent="0.3"/>
    <row r="757" s="160" customFormat="1" x14ac:dyDescent="0.3"/>
    <row r="758" s="160" customFormat="1" x14ac:dyDescent="0.3"/>
    <row r="759" s="160" customFormat="1" x14ac:dyDescent="0.3"/>
    <row r="760" s="160" customFormat="1" x14ac:dyDescent="0.3"/>
    <row r="761" s="160" customFormat="1" x14ac:dyDescent="0.3"/>
    <row r="762" s="160" customFormat="1" x14ac:dyDescent="0.3"/>
    <row r="763" s="160" customFormat="1" x14ac:dyDescent="0.3"/>
    <row r="764" s="160" customFormat="1" x14ac:dyDescent="0.3"/>
    <row r="765" s="160" customFormat="1" x14ac:dyDescent="0.3"/>
    <row r="766" s="160" customFormat="1" x14ac:dyDescent="0.3"/>
    <row r="767" s="160" customFormat="1" x14ac:dyDescent="0.3"/>
    <row r="768" s="160" customFormat="1" x14ac:dyDescent="0.3"/>
    <row r="769" s="160" customFormat="1" x14ac:dyDescent="0.3"/>
    <row r="770" s="160" customFormat="1" x14ac:dyDescent="0.3"/>
    <row r="771" s="160" customFormat="1" x14ac:dyDescent="0.3"/>
    <row r="772" s="160" customFormat="1" x14ac:dyDescent="0.3"/>
    <row r="773" s="160" customFormat="1" x14ac:dyDescent="0.3"/>
    <row r="774" s="160" customFormat="1" x14ac:dyDescent="0.3"/>
    <row r="775" s="160" customFormat="1" x14ac:dyDescent="0.3"/>
    <row r="776" s="160" customFormat="1" x14ac:dyDescent="0.3"/>
    <row r="777" s="160" customFormat="1" x14ac:dyDescent="0.3"/>
    <row r="778" s="160" customFormat="1" x14ac:dyDescent="0.3"/>
    <row r="779" s="160" customFormat="1" x14ac:dyDescent="0.3"/>
    <row r="780" s="160" customFormat="1" x14ac:dyDescent="0.3"/>
    <row r="781" s="160" customFormat="1" x14ac:dyDescent="0.3"/>
    <row r="782" s="160" customFormat="1" x14ac:dyDescent="0.3"/>
    <row r="783" s="160" customFormat="1" x14ac:dyDescent="0.3"/>
    <row r="784" s="160" customFormat="1" x14ac:dyDescent="0.3"/>
    <row r="785" s="160" customFormat="1" x14ac:dyDescent="0.3"/>
    <row r="786" s="160" customFormat="1" x14ac:dyDescent="0.3"/>
    <row r="787" s="160" customFormat="1" x14ac:dyDescent="0.3"/>
    <row r="788" s="160" customFormat="1" x14ac:dyDescent="0.3"/>
    <row r="789" s="160" customFormat="1" x14ac:dyDescent="0.3"/>
    <row r="790" s="160" customFormat="1" x14ac:dyDescent="0.3"/>
    <row r="791" s="160" customFormat="1" x14ac:dyDescent="0.3"/>
    <row r="792" s="160" customFormat="1" x14ac:dyDescent="0.3"/>
    <row r="793" s="160" customFormat="1" x14ac:dyDescent="0.3"/>
    <row r="794" s="160" customFormat="1" x14ac:dyDescent="0.3"/>
    <row r="795" s="160" customFormat="1" x14ac:dyDescent="0.3"/>
    <row r="796" s="160" customFormat="1" x14ac:dyDescent="0.3"/>
    <row r="797" s="160" customFormat="1" x14ac:dyDescent="0.3"/>
    <row r="798" s="160" customFormat="1" x14ac:dyDescent="0.3"/>
    <row r="799" s="160" customFormat="1" x14ac:dyDescent="0.3"/>
    <row r="800" s="160" customFormat="1" x14ac:dyDescent="0.3"/>
    <row r="801" s="160" customFormat="1" x14ac:dyDescent="0.3"/>
    <row r="802" s="160" customFormat="1" x14ac:dyDescent="0.3"/>
    <row r="803" s="160" customFormat="1" x14ac:dyDescent="0.3"/>
    <row r="804" s="160" customFormat="1" x14ac:dyDescent="0.3"/>
    <row r="805" s="160" customFormat="1" x14ac:dyDescent="0.3"/>
    <row r="806" s="160" customFormat="1" x14ac:dyDescent="0.3"/>
    <row r="807" s="160" customFormat="1" x14ac:dyDescent="0.3"/>
    <row r="808" s="160" customFormat="1" x14ac:dyDescent="0.3"/>
    <row r="809" s="160" customFormat="1" x14ac:dyDescent="0.3"/>
    <row r="810" s="160" customFormat="1" x14ac:dyDescent="0.3"/>
    <row r="811" s="160" customFormat="1" x14ac:dyDescent="0.3"/>
    <row r="812" s="160" customFormat="1" x14ac:dyDescent="0.3"/>
    <row r="813" s="160" customFormat="1" x14ac:dyDescent="0.3"/>
    <row r="814" s="160" customFormat="1" x14ac:dyDescent="0.3"/>
    <row r="815" s="160" customFormat="1" x14ac:dyDescent="0.3"/>
    <row r="816" s="160" customFormat="1" x14ac:dyDescent="0.3"/>
    <row r="817" s="160" customFormat="1" x14ac:dyDescent="0.3"/>
    <row r="818" s="160" customFormat="1" x14ac:dyDescent="0.3"/>
    <row r="819" s="160" customFormat="1" x14ac:dyDescent="0.3"/>
    <row r="820" s="160" customFormat="1" x14ac:dyDescent="0.3"/>
    <row r="821" s="160" customFormat="1" x14ac:dyDescent="0.3"/>
    <row r="822" s="160" customFormat="1" x14ac:dyDescent="0.3"/>
    <row r="823" s="160" customFormat="1" x14ac:dyDescent="0.3"/>
    <row r="824" s="160" customFormat="1" x14ac:dyDescent="0.3"/>
    <row r="825" s="160" customFormat="1" x14ac:dyDescent="0.3"/>
    <row r="826" s="160" customFormat="1" x14ac:dyDescent="0.3"/>
    <row r="827" s="160" customFormat="1" x14ac:dyDescent="0.3"/>
    <row r="828" s="160" customFormat="1" x14ac:dyDescent="0.3"/>
    <row r="829" s="160" customFormat="1" x14ac:dyDescent="0.3"/>
    <row r="830" s="160" customFormat="1" x14ac:dyDescent="0.3"/>
    <row r="831" s="160" customFormat="1" x14ac:dyDescent="0.3"/>
    <row r="832" s="160" customFormat="1" x14ac:dyDescent="0.3"/>
    <row r="833" s="160" customFormat="1" x14ac:dyDescent="0.3"/>
    <row r="834" s="160" customFormat="1" x14ac:dyDescent="0.3"/>
    <row r="835" s="160" customFormat="1" x14ac:dyDescent="0.3"/>
    <row r="836" s="160" customFormat="1" x14ac:dyDescent="0.3"/>
    <row r="837" s="160" customFormat="1" x14ac:dyDescent="0.3"/>
    <row r="838" s="160" customFormat="1" x14ac:dyDescent="0.3"/>
    <row r="839" s="160" customFormat="1" x14ac:dyDescent="0.3"/>
    <row r="840" s="160" customFormat="1" x14ac:dyDescent="0.3"/>
    <row r="841" s="160" customFormat="1" x14ac:dyDescent="0.3"/>
    <row r="842" s="160" customFormat="1" x14ac:dyDescent="0.3"/>
    <row r="843" s="160" customFormat="1" x14ac:dyDescent="0.3"/>
    <row r="844" s="160" customFormat="1" x14ac:dyDescent="0.3"/>
    <row r="845" s="160" customFormat="1" x14ac:dyDescent="0.3"/>
    <row r="846" s="160" customFormat="1" x14ac:dyDescent="0.3"/>
    <row r="847" s="160" customFormat="1" x14ac:dyDescent="0.3"/>
    <row r="848" s="160" customFormat="1" x14ac:dyDescent="0.3"/>
    <row r="849" s="160" customFormat="1" x14ac:dyDescent="0.3"/>
    <row r="850" s="160" customFormat="1" x14ac:dyDescent="0.3"/>
    <row r="851" s="160" customFormat="1" x14ac:dyDescent="0.3"/>
    <row r="852" s="160" customFormat="1" x14ac:dyDescent="0.3"/>
    <row r="853" s="160" customFormat="1" x14ac:dyDescent="0.3"/>
    <row r="854" s="160" customFormat="1" x14ac:dyDescent="0.3"/>
    <row r="855" s="160" customFormat="1" x14ac:dyDescent="0.3"/>
    <row r="856" s="160" customFormat="1" x14ac:dyDescent="0.3"/>
    <row r="857" s="160" customFormat="1" x14ac:dyDescent="0.3"/>
    <row r="858" s="160" customFormat="1" x14ac:dyDescent="0.3"/>
    <row r="859" s="160" customFormat="1" x14ac:dyDescent="0.3"/>
    <row r="860" s="160" customFormat="1" x14ac:dyDescent="0.3"/>
    <row r="861" s="160" customFormat="1" x14ac:dyDescent="0.3"/>
    <row r="862" s="160" customFormat="1" x14ac:dyDescent="0.3"/>
    <row r="863" s="160" customFormat="1" x14ac:dyDescent="0.3"/>
    <row r="864" s="160" customFormat="1" x14ac:dyDescent="0.3"/>
    <row r="865" s="160" customFormat="1" x14ac:dyDescent="0.3"/>
    <row r="866" s="160" customFormat="1" x14ac:dyDescent="0.3"/>
    <row r="867" s="160" customFormat="1" x14ac:dyDescent="0.3"/>
    <row r="868" s="160" customFormat="1" x14ac:dyDescent="0.3"/>
    <row r="869" s="160" customFormat="1" x14ac:dyDescent="0.3"/>
    <row r="870" s="160" customFormat="1" x14ac:dyDescent="0.3"/>
    <row r="871" s="160" customFormat="1" x14ac:dyDescent="0.3"/>
    <row r="872" s="160" customFormat="1" x14ac:dyDescent="0.3"/>
    <row r="873" s="160" customFormat="1" x14ac:dyDescent="0.3"/>
    <row r="874" s="160" customFormat="1" x14ac:dyDescent="0.3"/>
    <row r="875" s="160" customFormat="1" x14ac:dyDescent="0.3"/>
    <row r="876" s="160" customFormat="1" x14ac:dyDescent="0.3"/>
    <row r="877" s="160" customFormat="1" x14ac:dyDescent="0.3"/>
    <row r="878" s="160" customFormat="1" x14ac:dyDescent="0.3"/>
    <row r="879" s="160" customFormat="1" x14ac:dyDescent="0.3"/>
    <row r="880" s="160" customFormat="1" x14ac:dyDescent="0.3"/>
    <row r="881" s="160" customFormat="1" x14ac:dyDescent="0.3"/>
    <row r="882" s="160" customFormat="1" x14ac:dyDescent="0.3"/>
    <row r="883" s="160" customFormat="1" x14ac:dyDescent="0.3"/>
    <row r="884" s="160" customFormat="1" x14ac:dyDescent="0.3"/>
    <row r="885" s="160" customFormat="1" x14ac:dyDescent="0.3"/>
    <row r="886" s="160" customFormat="1" x14ac:dyDescent="0.3"/>
    <row r="887" s="160" customFormat="1" x14ac:dyDescent="0.3"/>
    <row r="888" s="160" customFormat="1" x14ac:dyDescent="0.3"/>
    <row r="889" s="160" customFormat="1" x14ac:dyDescent="0.3"/>
    <row r="890" s="160" customFormat="1" x14ac:dyDescent="0.3"/>
    <row r="891" s="160" customFormat="1" x14ac:dyDescent="0.3"/>
    <row r="892" s="160" customFormat="1" x14ac:dyDescent="0.3"/>
    <row r="893" s="160" customFormat="1" x14ac:dyDescent="0.3"/>
    <row r="894" s="160" customFormat="1" x14ac:dyDescent="0.3"/>
    <row r="895" s="160" customFormat="1" x14ac:dyDescent="0.3"/>
    <row r="896" s="160" customFormat="1" x14ac:dyDescent="0.3"/>
    <row r="897" s="160" customFormat="1" x14ac:dyDescent="0.3"/>
    <row r="898" s="160" customFormat="1" x14ac:dyDescent="0.3"/>
    <row r="899" s="160" customFormat="1" x14ac:dyDescent="0.3"/>
    <row r="900" s="160" customFormat="1" x14ac:dyDescent="0.3"/>
    <row r="901" s="160" customFormat="1" x14ac:dyDescent="0.3"/>
    <row r="902" s="160" customFormat="1" x14ac:dyDescent="0.3"/>
    <row r="903" s="160" customFormat="1" x14ac:dyDescent="0.3"/>
    <row r="904" s="160" customFormat="1" x14ac:dyDescent="0.3"/>
    <row r="905" s="160" customFormat="1" x14ac:dyDescent="0.3"/>
    <row r="906" s="160" customFormat="1" x14ac:dyDescent="0.3"/>
    <row r="907" s="160" customFormat="1" x14ac:dyDescent="0.3"/>
    <row r="908" s="160" customFormat="1" x14ac:dyDescent="0.3"/>
    <row r="909" s="160" customFormat="1" x14ac:dyDescent="0.3"/>
    <row r="910" s="160" customFormat="1" x14ac:dyDescent="0.3"/>
    <row r="911" s="160" customFormat="1" x14ac:dyDescent="0.3"/>
    <row r="912" s="160" customFormat="1" x14ac:dyDescent="0.3"/>
    <row r="913" s="160" customFormat="1" x14ac:dyDescent="0.3"/>
    <row r="914" s="160" customFormat="1" x14ac:dyDescent="0.3"/>
    <row r="915" s="160" customFormat="1" x14ac:dyDescent="0.3"/>
    <row r="916" s="160" customFormat="1" x14ac:dyDescent="0.3"/>
    <row r="917" s="160" customFormat="1" x14ac:dyDescent="0.3"/>
    <row r="918" s="160" customFormat="1" x14ac:dyDescent="0.3"/>
    <row r="919" s="160" customFormat="1" x14ac:dyDescent="0.3"/>
    <row r="920" s="160" customFormat="1" x14ac:dyDescent="0.3"/>
    <row r="921" s="160" customFormat="1" x14ac:dyDescent="0.3"/>
    <row r="922" s="160" customFormat="1" x14ac:dyDescent="0.3"/>
    <row r="923" s="160" customFormat="1" x14ac:dyDescent="0.3"/>
    <row r="924" s="160" customFormat="1" x14ac:dyDescent="0.3"/>
    <row r="925" s="160" customFormat="1" x14ac:dyDescent="0.3"/>
    <row r="926" s="160" customFormat="1" x14ac:dyDescent="0.3"/>
    <row r="927" s="160" customFormat="1" x14ac:dyDescent="0.3"/>
    <row r="928" s="160" customFormat="1" x14ac:dyDescent="0.3"/>
    <row r="929" s="160" customFormat="1" x14ac:dyDescent="0.3"/>
    <row r="930" s="160" customFormat="1" x14ac:dyDescent="0.3"/>
    <row r="931" s="160" customFormat="1" x14ac:dyDescent="0.3"/>
    <row r="932" s="160" customFormat="1" x14ac:dyDescent="0.3"/>
    <row r="933" s="160" customFormat="1" x14ac:dyDescent="0.3"/>
    <row r="934" s="160" customFormat="1" x14ac:dyDescent="0.3"/>
    <row r="935" s="160" customFormat="1" x14ac:dyDescent="0.3"/>
    <row r="936" s="160" customFormat="1" x14ac:dyDescent="0.3"/>
    <row r="937" s="160" customFormat="1" x14ac:dyDescent="0.3"/>
    <row r="938" s="160" customFormat="1" x14ac:dyDescent="0.3"/>
    <row r="939" s="160" customFormat="1" x14ac:dyDescent="0.3"/>
    <row r="940" s="160" customFormat="1" x14ac:dyDescent="0.3"/>
    <row r="941" s="160" customFormat="1" x14ac:dyDescent="0.3"/>
    <row r="942" s="160" customFormat="1" x14ac:dyDescent="0.3"/>
    <row r="943" s="160" customFormat="1" x14ac:dyDescent="0.3"/>
    <row r="944" s="160" customFormat="1" x14ac:dyDescent="0.3"/>
    <row r="945" s="160" customFormat="1" x14ac:dyDescent="0.3"/>
    <row r="946" s="160" customFormat="1" x14ac:dyDescent="0.3"/>
    <row r="947" s="160" customFormat="1" x14ac:dyDescent="0.3"/>
    <row r="948" s="160" customFormat="1" x14ac:dyDescent="0.3"/>
    <row r="949" s="160" customFormat="1" x14ac:dyDescent="0.3"/>
    <row r="950" s="160" customFormat="1" x14ac:dyDescent="0.3"/>
    <row r="951" s="160" customFormat="1" x14ac:dyDescent="0.3"/>
    <row r="952" s="160" customFormat="1" x14ac:dyDescent="0.3"/>
    <row r="953" s="160" customFormat="1" x14ac:dyDescent="0.3"/>
    <row r="954" s="160" customFormat="1" x14ac:dyDescent="0.3"/>
    <row r="955" s="160" customFormat="1" x14ac:dyDescent="0.3"/>
    <row r="956" s="160" customFormat="1" x14ac:dyDescent="0.3"/>
    <row r="957" s="160" customFormat="1" x14ac:dyDescent="0.3"/>
    <row r="958" s="160" customFormat="1" x14ac:dyDescent="0.3"/>
    <row r="959" s="160" customFormat="1" x14ac:dyDescent="0.3"/>
    <row r="960" s="160" customFormat="1" x14ac:dyDescent="0.3"/>
    <row r="961" s="160" customFormat="1" x14ac:dyDescent="0.3"/>
    <row r="962" s="160" customFormat="1" x14ac:dyDescent="0.3"/>
    <row r="963" s="160" customFormat="1" x14ac:dyDescent="0.3"/>
    <row r="964" s="160" customFormat="1" x14ac:dyDescent="0.3"/>
    <row r="965" s="160" customFormat="1" x14ac:dyDescent="0.3"/>
    <row r="966" s="160" customFormat="1" x14ac:dyDescent="0.3"/>
    <row r="967" s="160" customFormat="1" x14ac:dyDescent="0.3"/>
    <row r="968" s="160" customFormat="1" x14ac:dyDescent="0.3"/>
    <row r="969" s="160" customFormat="1" x14ac:dyDescent="0.3"/>
    <row r="970" s="160" customFormat="1" x14ac:dyDescent="0.3"/>
    <row r="971" s="160" customFormat="1" x14ac:dyDescent="0.3"/>
    <row r="972" s="160" customFormat="1" x14ac:dyDescent="0.3"/>
    <row r="973" s="160" customFormat="1" x14ac:dyDescent="0.3"/>
    <row r="974" s="160" customFormat="1" x14ac:dyDescent="0.3"/>
    <row r="975" s="160" customFormat="1" x14ac:dyDescent="0.3"/>
    <row r="976" s="160" customFormat="1" x14ac:dyDescent="0.3"/>
    <row r="977" s="160" customFormat="1" x14ac:dyDescent="0.3"/>
    <row r="978" s="160" customFormat="1" x14ac:dyDescent="0.3"/>
    <row r="979" s="160" customFormat="1" x14ac:dyDescent="0.3"/>
    <row r="980" s="160" customFormat="1" x14ac:dyDescent="0.3"/>
    <row r="981" s="160" customFormat="1" x14ac:dyDescent="0.3"/>
    <row r="982" s="160" customFormat="1" x14ac:dyDescent="0.3"/>
    <row r="983" s="160" customFormat="1" x14ac:dyDescent="0.3"/>
    <row r="984" s="160" customFormat="1" x14ac:dyDescent="0.3"/>
    <row r="985" s="160" customFormat="1" x14ac:dyDescent="0.3"/>
    <row r="986" s="160" customFormat="1" x14ac:dyDescent="0.3"/>
    <row r="987" s="160" customFormat="1" x14ac:dyDescent="0.3"/>
    <row r="988" s="160" customFormat="1" x14ac:dyDescent="0.3"/>
    <row r="989" s="160" customFormat="1" x14ac:dyDescent="0.3"/>
    <row r="990" s="160" customFormat="1" x14ac:dyDescent="0.3"/>
    <row r="991" s="160" customFormat="1" x14ac:dyDescent="0.3"/>
    <row r="992" s="160" customFormat="1" x14ac:dyDescent="0.3"/>
    <row r="993" s="160" customFormat="1" x14ac:dyDescent="0.3"/>
    <row r="994" s="160" customFormat="1" x14ac:dyDescent="0.3"/>
    <row r="995" s="160" customFormat="1" x14ac:dyDescent="0.3"/>
    <row r="996" s="160" customFormat="1" x14ac:dyDescent="0.3"/>
    <row r="997" s="160" customFormat="1" x14ac:dyDescent="0.3"/>
    <row r="998" s="160" customFormat="1" x14ac:dyDescent="0.3"/>
    <row r="999" s="160" customFormat="1" x14ac:dyDescent="0.3"/>
    <row r="1000" s="160" customFormat="1" x14ac:dyDescent="0.3"/>
    <row r="1001" s="160" customFormat="1" x14ac:dyDescent="0.3"/>
    <row r="1002" s="160" customFormat="1" x14ac:dyDescent="0.3"/>
    <row r="1003" s="160" customFormat="1" x14ac:dyDescent="0.3"/>
    <row r="1004" s="160" customFormat="1" x14ac:dyDescent="0.3"/>
    <row r="1005" s="160" customFormat="1" x14ac:dyDescent="0.3"/>
    <row r="1006" s="160" customFormat="1" x14ac:dyDescent="0.3"/>
    <row r="1007" s="160" customFormat="1" x14ac:dyDescent="0.3"/>
    <row r="1008" s="160" customFormat="1" x14ac:dyDescent="0.3"/>
    <row r="1009" s="160" customFormat="1" x14ac:dyDescent="0.3"/>
    <row r="1010" s="160" customFormat="1" x14ac:dyDescent="0.3"/>
    <row r="1011" s="160" customFormat="1" x14ac:dyDescent="0.3"/>
    <row r="1012" s="160" customFormat="1" x14ac:dyDescent="0.3"/>
    <row r="1013" s="160" customFormat="1" x14ac:dyDescent="0.3"/>
    <row r="1014" s="160" customFormat="1" x14ac:dyDescent="0.3"/>
    <row r="1015" s="160" customFormat="1" x14ac:dyDescent="0.3"/>
    <row r="1016" s="160" customFormat="1" x14ac:dyDescent="0.3"/>
    <row r="1017" s="160" customFormat="1" x14ac:dyDescent="0.3"/>
    <row r="1018" s="160" customFormat="1" x14ac:dyDescent="0.3"/>
    <row r="1019" s="160" customFormat="1" x14ac:dyDescent="0.3"/>
    <row r="1020" s="160" customFormat="1" x14ac:dyDescent="0.3"/>
    <row r="1021" s="160" customFormat="1" x14ac:dyDescent="0.3"/>
    <row r="1022" s="160" customFormat="1" x14ac:dyDescent="0.3"/>
    <row r="1023" s="160" customFormat="1" x14ac:dyDescent="0.3"/>
    <row r="1024" s="160" customFormat="1" x14ac:dyDescent="0.3"/>
    <row r="1025" s="160" customFormat="1" x14ac:dyDescent="0.3"/>
    <row r="1026" s="160" customFormat="1" x14ac:dyDescent="0.3"/>
    <row r="1027" s="160" customFormat="1" x14ac:dyDescent="0.3"/>
    <row r="1028" s="160" customFormat="1" x14ac:dyDescent="0.3"/>
    <row r="1029" s="160" customFormat="1" x14ac:dyDescent="0.3"/>
    <row r="1030" s="160" customFormat="1" x14ac:dyDescent="0.3"/>
    <row r="1031" s="160" customFormat="1" x14ac:dyDescent="0.3"/>
    <row r="1032" s="160" customFormat="1" x14ac:dyDescent="0.3"/>
    <row r="1033" s="160" customFormat="1" x14ac:dyDescent="0.3"/>
    <row r="1034" s="160" customFormat="1" x14ac:dyDescent="0.3"/>
    <row r="1035" s="160" customFormat="1" x14ac:dyDescent="0.3"/>
    <row r="1036" s="160" customFormat="1" x14ac:dyDescent="0.3"/>
    <row r="1037" s="160" customFormat="1" x14ac:dyDescent="0.3"/>
    <row r="1038" s="160" customFormat="1" x14ac:dyDescent="0.3"/>
    <row r="1039" s="160" customFormat="1" x14ac:dyDescent="0.3"/>
    <row r="1040" s="160" customFormat="1" x14ac:dyDescent="0.3"/>
    <row r="1041" s="160" customFormat="1" x14ac:dyDescent="0.3"/>
    <row r="1042" s="160" customFormat="1" x14ac:dyDescent="0.3"/>
    <row r="1043" s="160" customFormat="1" x14ac:dyDescent="0.3"/>
    <row r="1044" s="160" customFormat="1" x14ac:dyDescent="0.3"/>
    <row r="1045" s="160" customFormat="1" x14ac:dyDescent="0.3"/>
    <row r="1046" s="160" customFormat="1" x14ac:dyDescent="0.3"/>
    <row r="1047" s="160" customFormat="1" x14ac:dyDescent="0.3"/>
    <row r="1048" s="160" customFormat="1" x14ac:dyDescent="0.3"/>
    <row r="1049" s="160" customFormat="1" x14ac:dyDescent="0.3"/>
    <row r="1050" s="160" customFormat="1" x14ac:dyDescent="0.3"/>
    <row r="1051" s="160" customFormat="1" x14ac:dyDescent="0.3"/>
    <row r="1052" s="160" customFormat="1" x14ac:dyDescent="0.3"/>
    <row r="1053" s="160" customFormat="1" x14ac:dyDescent="0.3"/>
    <row r="1054" s="160" customFormat="1" x14ac:dyDescent="0.3"/>
    <row r="1055" s="160" customFormat="1" x14ac:dyDescent="0.3"/>
    <row r="1056" s="160" customFormat="1" x14ac:dyDescent="0.3"/>
    <row r="1057" s="160" customFormat="1" x14ac:dyDescent="0.3"/>
    <row r="1058" s="160" customFormat="1" x14ac:dyDescent="0.3"/>
    <row r="1059" s="160" customFormat="1" x14ac:dyDescent="0.3"/>
    <row r="1060" s="160" customFormat="1" x14ac:dyDescent="0.3"/>
    <row r="1061" s="160" customFormat="1" x14ac:dyDescent="0.3"/>
    <row r="1062" s="160" customFormat="1" x14ac:dyDescent="0.3"/>
    <row r="1063" s="160" customFormat="1" x14ac:dyDescent="0.3"/>
    <row r="1064" s="160" customFormat="1" x14ac:dyDescent="0.3"/>
    <row r="1065" s="160" customFormat="1" x14ac:dyDescent="0.3"/>
    <row r="1066" s="160" customFormat="1" x14ac:dyDescent="0.3"/>
    <row r="1067" s="160" customFormat="1" x14ac:dyDescent="0.3"/>
    <row r="1068" s="160" customFormat="1" x14ac:dyDescent="0.3"/>
    <row r="1069" s="160" customFormat="1" x14ac:dyDescent="0.3"/>
    <row r="1070" s="160" customFormat="1" x14ac:dyDescent="0.3"/>
    <row r="1071" s="160" customFormat="1" x14ac:dyDescent="0.3"/>
    <row r="1072" s="160" customFormat="1" x14ac:dyDescent="0.3"/>
    <row r="1073" s="160" customFormat="1" x14ac:dyDescent="0.3"/>
    <row r="1074" s="160" customFormat="1" x14ac:dyDescent="0.3"/>
    <row r="1075" s="160" customFormat="1" x14ac:dyDescent="0.3"/>
    <row r="1076" s="160" customFormat="1" x14ac:dyDescent="0.3"/>
    <row r="1077" s="160" customFormat="1" x14ac:dyDescent="0.3"/>
    <row r="1078" s="160" customFormat="1" x14ac:dyDescent="0.3"/>
    <row r="1079" s="160" customFormat="1" x14ac:dyDescent="0.3"/>
    <row r="1080" s="160" customFormat="1" x14ac:dyDescent="0.3"/>
    <row r="1081" s="160" customFormat="1" x14ac:dyDescent="0.3"/>
    <row r="1082" s="160" customFormat="1" x14ac:dyDescent="0.3"/>
    <row r="1083" s="160" customFormat="1" x14ac:dyDescent="0.3"/>
    <row r="1084" s="160" customFormat="1" x14ac:dyDescent="0.3"/>
    <row r="1085" s="160" customFormat="1" x14ac:dyDescent="0.3"/>
    <row r="1086" s="160" customFormat="1" x14ac:dyDescent="0.3"/>
    <row r="1087" s="160" customFormat="1" x14ac:dyDescent="0.3"/>
    <row r="1088" s="160" customFormat="1" x14ac:dyDescent="0.3"/>
    <row r="1089" s="160" customFormat="1" x14ac:dyDescent="0.3"/>
    <row r="1090" s="160" customFormat="1" x14ac:dyDescent="0.3"/>
    <row r="1091" s="160" customFormat="1" x14ac:dyDescent="0.3"/>
    <row r="1092" s="160" customFormat="1" x14ac:dyDescent="0.3"/>
    <row r="1093" s="160" customFormat="1" x14ac:dyDescent="0.3"/>
    <row r="1094" s="160" customFormat="1" x14ac:dyDescent="0.3"/>
    <row r="1095" s="160" customFormat="1" x14ac:dyDescent="0.3"/>
    <row r="1096" s="160" customFormat="1" x14ac:dyDescent="0.3"/>
    <row r="1097" s="160" customFormat="1" x14ac:dyDescent="0.3"/>
    <row r="1098" s="160" customFormat="1" x14ac:dyDescent="0.3"/>
    <row r="1099" s="160" customFormat="1" x14ac:dyDescent="0.3"/>
    <row r="1100" s="160" customFormat="1" x14ac:dyDescent="0.3"/>
    <row r="1101" s="160" customFormat="1" x14ac:dyDescent="0.3"/>
    <row r="1102" s="160" customFormat="1" x14ac:dyDescent="0.3"/>
    <row r="1103" s="160" customFormat="1" x14ac:dyDescent="0.3"/>
    <row r="1104" s="160" customFormat="1" x14ac:dyDescent="0.3"/>
    <row r="1105" s="160" customFormat="1" x14ac:dyDescent="0.3"/>
    <row r="1106" s="160" customFormat="1" x14ac:dyDescent="0.3"/>
    <row r="1107" s="160" customFormat="1" x14ac:dyDescent="0.3"/>
    <row r="1108" s="160" customFormat="1" x14ac:dyDescent="0.3"/>
    <row r="1109" s="160" customFormat="1" x14ac:dyDescent="0.3"/>
    <row r="1110" s="160" customFormat="1" x14ac:dyDescent="0.3"/>
    <row r="1111" s="160" customFormat="1" x14ac:dyDescent="0.3"/>
    <row r="1112" s="160" customFormat="1" x14ac:dyDescent="0.3"/>
    <row r="1113" s="160" customFormat="1" x14ac:dyDescent="0.3"/>
    <row r="1114" s="160" customFormat="1" x14ac:dyDescent="0.3"/>
    <row r="1115" s="160" customFormat="1" x14ac:dyDescent="0.3"/>
    <row r="1116" s="160" customFormat="1" x14ac:dyDescent="0.3"/>
    <row r="1117" s="160" customFormat="1" x14ac:dyDescent="0.3"/>
    <row r="1118" s="160" customFormat="1" x14ac:dyDescent="0.3"/>
    <row r="1119" s="160" customFormat="1" x14ac:dyDescent="0.3"/>
    <row r="1120" s="160" customFormat="1" x14ac:dyDescent="0.3"/>
    <row r="1121" s="160" customFormat="1" x14ac:dyDescent="0.3"/>
    <row r="1122" s="160" customFormat="1" x14ac:dyDescent="0.3"/>
    <row r="1123" s="160" customFormat="1" x14ac:dyDescent="0.3"/>
    <row r="1124" s="160" customFormat="1" x14ac:dyDescent="0.3"/>
    <row r="1125" s="160" customFormat="1" x14ac:dyDescent="0.3"/>
    <row r="1126" s="160" customFormat="1" x14ac:dyDescent="0.3"/>
    <row r="1127" s="160" customFormat="1" x14ac:dyDescent="0.3"/>
    <row r="1128" s="160" customFormat="1" x14ac:dyDescent="0.3"/>
    <row r="1129" s="160" customFormat="1" x14ac:dyDescent="0.3"/>
    <row r="1130" s="160" customFormat="1" x14ac:dyDescent="0.3"/>
    <row r="1131" s="160" customFormat="1" x14ac:dyDescent="0.3"/>
    <row r="1132" s="160" customFormat="1" x14ac:dyDescent="0.3"/>
    <row r="1133" s="160" customFormat="1" x14ac:dyDescent="0.3"/>
    <row r="1134" s="160" customFormat="1" x14ac:dyDescent="0.3"/>
    <row r="1135" s="160" customFormat="1" x14ac:dyDescent="0.3"/>
    <row r="1136" s="160" customFormat="1" x14ac:dyDescent="0.3"/>
    <row r="1137" s="160" customFormat="1" x14ac:dyDescent="0.3"/>
    <row r="1138" s="160" customFormat="1" x14ac:dyDescent="0.3"/>
    <row r="1139" s="160" customFormat="1" x14ac:dyDescent="0.3"/>
    <row r="1140" s="160" customFormat="1" x14ac:dyDescent="0.3"/>
    <row r="1141" s="160" customFormat="1" x14ac:dyDescent="0.3"/>
    <row r="1142" s="160" customFormat="1" x14ac:dyDescent="0.3"/>
    <row r="1143" s="160" customFormat="1" x14ac:dyDescent="0.3"/>
    <row r="1144" s="160" customFormat="1" x14ac:dyDescent="0.3"/>
    <row r="1145" s="160" customFormat="1" x14ac:dyDescent="0.3"/>
    <row r="1146" s="160" customFormat="1" x14ac:dyDescent="0.3"/>
    <row r="1147" s="160" customFormat="1" x14ac:dyDescent="0.3"/>
    <row r="1148" s="160" customFormat="1" x14ac:dyDescent="0.3"/>
    <row r="1149" s="160" customFormat="1" x14ac:dyDescent="0.3"/>
    <row r="1150" s="160" customFormat="1" x14ac:dyDescent="0.3"/>
    <row r="1151" s="160" customFormat="1" x14ac:dyDescent="0.3"/>
    <row r="1152" s="160" customFormat="1" x14ac:dyDescent="0.3"/>
    <row r="1153" s="160" customFormat="1" x14ac:dyDescent="0.3"/>
    <row r="1154" s="160" customFormat="1" x14ac:dyDescent="0.3"/>
    <row r="1155" s="160" customFormat="1" x14ac:dyDescent="0.3"/>
    <row r="1156" s="160" customFormat="1" x14ac:dyDescent="0.3"/>
    <row r="1157" s="160" customFormat="1" x14ac:dyDescent="0.3"/>
    <row r="1158" s="160" customFormat="1" x14ac:dyDescent="0.3"/>
    <row r="1159" s="160" customFormat="1" x14ac:dyDescent="0.3"/>
    <row r="1160" s="160" customFormat="1" x14ac:dyDescent="0.3"/>
    <row r="1161" s="160" customFormat="1" x14ac:dyDescent="0.3"/>
    <row r="1162" s="160" customFormat="1" x14ac:dyDescent="0.3"/>
    <row r="1163" s="160" customFormat="1" x14ac:dyDescent="0.3"/>
    <row r="1164" s="160" customFormat="1" x14ac:dyDescent="0.3"/>
    <row r="1165" s="160" customFormat="1" x14ac:dyDescent="0.3"/>
    <row r="1166" s="160" customFormat="1" x14ac:dyDescent="0.3"/>
    <row r="1167" s="160" customFormat="1" x14ac:dyDescent="0.3"/>
    <row r="1168" s="160" customFormat="1" x14ac:dyDescent="0.3"/>
    <row r="1169" s="160" customFormat="1" x14ac:dyDescent="0.3"/>
    <row r="1170" s="160" customFormat="1" x14ac:dyDescent="0.3"/>
    <row r="1171" s="160" customFormat="1" x14ac:dyDescent="0.3"/>
    <row r="1172" s="160" customFormat="1" x14ac:dyDescent="0.3"/>
    <row r="1173" s="160" customFormat="1" x14ac:dyDescent="0.3"/>
    <row r="1174" s="160" customFormat="1" x14ac:dyDescent="0.3"/>
    <row r="1175" s="160" customFormat="1" x14ac:dyDescent="0.3"/>
    <row r="1176" s="160" customFormat="1" x14ac:dyDescent="0.3"/>
    <row r="1177" s="160" customFormat="1" x14ac:dyDescent="0.3"/>
    <row r="1178" s="160" customFormat="1" x14ac:dyDescent="0.3"/>
    <row r="1179" s="160" customFormat="1" x14ac:dyDescent="0.3"/>
    <row r="1180" s="160" customFormat="1" x14ac:dyDescent="0.3"/>
    <row r="1181" s="160" customFormat="1" x14ac:dyDescent="0.3"/>
    <row r="1182" s="160" customFormat="1" x14ac:dyDescent="0.3"/>
    <row r="1183" s="160" customFormat="1" x14ac:dyDescent="0.3"/>
    <row r="1184" s="160" customFormat="1" x14ac:dyDescent="0.3"/>
    <row r="1185" s="160" customFormat="1" x14ac:dyDescent="0.3"/>
    <row r="1186" s="160" customFormat="1" x14ac:dyDescent="0.3"/>
    <row r="1187" s="160" customFormat="1" x14ac:dyDescent="0.3"/>
    <row r="1188" s="160" customFormat="1" x14ac:dyDescent="0.3"/>
    <row r="1189" s="160" customFormat="1" x14ac:dyDescent="0.3"/>
    <row r="1190" s="160" customFormat="1" x14ac:dyDescent="0.3"/>
    <row r="1191" s="160" customFormat="1" x14ac:dyDescent="0.3"/>
    <row r="1192" s="160" customFormat="1" x14ac:dyDescent="0.3"/>
    <row r="1193" s="160" customFormat="1" x14ac:dyDescent="0.3"/>
    <row r="1194" s="160" customFormat="1" x14ac:dyDescent="0.3"/>
    <row r="1195" s="160" customFormat="1" x14ac:dyDescent="0.3"/>
    <row r="1196" s="160" customFormat="1" x14ac:dyDescent="0.3"/>
    <row r="1197" s="160" customFormat="1" x14ac:dyDescent="0.3"/>
    <row r="1198" s="160" customFormat="1" x14ac:dyDescent="0.3"/>
    <row r="1199" s="160" customFormat="1" x14ac:dyDescent="0.3"/>
    <row r="1200" s="160" customFormat="1" x14ac:dyDescent="0.3"/>
    <row r="1201" s="160" customFormat="1" x14ac:dyDescent="0.3"/>
    <row r="1202" s="160" customFormat="1" x14ac:dyDescent="0.3"/>
    <row r="1203" s="160" customFormat="1" x14ac:dyDescent="0.3"/>
    <row r="1204" s="160" customFormat="1" x14ac:dyDescent="0.3"/>
    <row r="1205" s="160" customFormat="1" x14ac:dyDescent="0.3"/>
    <row r="1206" s="160" customFormat="1" x14ac:dyDescent="0.3"/>
    <row r="1207" s="160" customFormat="1" x14ac:dyDescent="0.3"/>
    <row r="1208" s="160" customFormat="1" x14ac:dyDescent="0.3"/>
    <row r="1209" s="160" customFormat="1" x14ac:dyDescent="0.3"/>
    <row r="1210" s="160" customFormat="1" x14ac:dyDescent="0.3"/>
    <row r="1211" s="160" customFormat="1" x14ac:dyDescent="0.3"/>
    <row r="1212" s="160" customFormat="1" x14ac:dyDescent="0.3"/>
    <row r="1213" s="160" customFormat="1" x14ac:dyDescent="0.3"/>
    <row r="1214" s="160" customFormat="1" x14ac:dyDescent="0.3"/>
    <row r="1215" s="160" customFormat="1" x14ac:dyDescent="0.3"/>
    <row r="1216" s="160" customFormat="1" x14ac:dyDescent="0.3"/>
    <row r="1217" s="160" customFormat="1" x14ac:dyDescent="0.3"/>
    <row r="1218" s="160" customFormat="1" x14ac:dyDescent="0.3"/>
    <row r="1219" s="160" customFormat="1" x14ac:dyDescent="0.3"/>
    <row r="1220" s="160" customFormat="1" x14ac:dyDescent="0.3"/>
    <row r="1221" s="160" customFormat="1" x14ac:dyDescent="0.3"/>
    <row r="1222" s="160" customFormat="1" x14ac:dyDescent="0.3"/>
    <row r="1223" s="160" customFormat="1" x14ac:dyDescent="0.3"/>
    <row r="1224" s="160" customFormat="1" x14ac:dyDescent="0.3"/>
    <row r="1225" s="160" customFormat="1" x14ac:dyDescent="0.3"/>
    <row r="1226" s="160" customFormat="1" x14ac:dyDescent="0.3"/>
    <row r="1227" s="160" customFormat="1" x14ac:dyDescent="0.3"/>
    <row r="1228" s="160" customFormat="1" x14ac:dyDescent="0.3"/>
    <row r="1229" s="160" customFormat="1" x14ac:dyDescent="0.3"/>
    <row r="1230" s="160" customFormat="1" x14ac:dyDescent="0.3"/>
    <row r="1231" s="160" customFormat="1" x14ac:dyDescent="0.3"/>
    <row r="1232" s="160" customFormat="1" x14ac:dyDescent="0.3"/>
    <row r="1233" s="160" customFormat="1" x14ac:dyDescent="0.3"/>
    <row r="1234" s="160" customFormat="1" x14ac:dyDescent="0.3"/>
    <row r="1235" s="160" customFormat="1" x14ac:dyDescent="0.3"/>
    <row r="1236" s="160" customFormat="1" x14ac:dyDescent="0.3"/>
    <row r="1237" s="160" customFormat="1" x14ac:dyDescent="0.3"/>
    <row r="1238" s="160" customFormat="1" x14ac:dyDescent="0.3"/>
    <row r="1239" s="160" customFormat="1" x14ac:dyDescent="0.3"/>
    <row r="1240" s="160" customFormat="1" x14ac:dyDescent="0.3"/>
    <row r="1241" s="160" customFormat="1" x14ac:dyDescent="0.3"/>
    <row r="1242" s="160" customFormat="1" x14ac:dyDescent="0.3"/>
    <row r="1243" s="160" customFormat="1" x14ac:dyDescent="0.3"/>
    <row r="1244" s="160" customFormat="1" x14ac:dyDescent="0.3"/>
    <row r="1245" s="160" customFormat="1" x14ac:dyDescent="0.3"/>
    <row r="1246" s="160" customFormat="1" x14ac:dyDescent="0.3"/>
    <row r="1247" s="160" customFormat="1" x14ac:dyDescent="0.3"/>
    <row r="1248" s="160" customFormat="1" x14ac:dyDescent="0.3"/>
    <row r="1249" s="160" customFormat="1" x14ac:dyDescent="0.3"/>
    <row r="1250" s="160" customFormat="1" x14ac:dyDescent="0.3"/>
    <row r="1251" s="160" customFormat="1" x14ac:dyDescent="0.3"/>
    <row r="1252" s="160" customFormat="1" x14ac:dyDescent="0.3"/>
    <row r="1253" s="160" customFormat="1" x14ac:dyDescent="0.3"/>
    <row r="1254" s="160" customFormat="1" x14ac:dyDescent="0.3"/>
    <row r="1255" s="160" customFormat="1" x14ac:dyDescent="0.3"/>
    <row r="1256" s="160" customFormat="1" x14ac:dyDescent="0.3"/>
    <row r="1257" s="160" customFormat="1" x14ac:dyDescent="0.3"/>
    <row r="1258" s="160" customFormat="1" x14ac:dyDescent="0.3"/>
    <row r="1259" s="160" customFormat="1" x14ac:dyDescent="0.3"/>
    <row r="1260" s="160" customFormat="1" x14ac:dyDescent="0.3"/>
    <row r="1261" s="160" customFormat="1" x14ac:dyDescent="0.3"/>
    <row r="1262" s="160" customFormat="1" x14ac:dyDescent="0.3"/>
    <row r="1263" s="160" customFormat="1" x14ac:dyDescent="0.3"/>
    <row r="1264" s="160" customFormat="1" x14ac:dyDescent="0.3"/>
    <row r="1265" s="160" customFormat="1" x14ac:dyDescent="0.3"/>
    <row r="1266" s="160" customFormat="1" x14ac:dyDescent="0.3"/>
    <row r="1267" s="160" customFormat="1" x14ac:dyDescent="0.3"/>
    <row r="1268" s="160" customFormat="1" x14ac:dyDescent="0.3"/>
    <row r="1269" s="160" customFormat="1" x14ac:dyDescent="0.3"/>
    <row r="1270" s="160" customFormat="1" x14ac:dyDescent="0.3"/>
    <row r="1271" s="160" customFormat="1" x14ac:dyDescent="0.3"/>
    <row r="1272" s="160" customFormat="1" x14ac:dyDescent="0.3"/>
    <row r="1273" s="160" customFormat="1" x14ac:dyDescent="0.3"/>
    <row r="1274" s="160" customFormat="1" x14ac:dyDescent="0.3"/>
    <row r="1275" s="160" customFormat="1" x14ac:dyDescent="0.3"/>
    <row r="1276" s="160" customFormat="1" x14ac:dyDescent="0.3"/>
    <row r="1277" s="160" customFormat="1" x14ac:dyDescent="0.3"/>
    <row r="1278" s="160" customFormat="1" x14ac:dyDescent="0.3"/>
    <row r="1279" s="160" customFormat="1" x14ac:dyDescent="0.3"/>
    <row r="1280" s="160" customFormat="1" x14ac:dyDescent="0.3"/>
    <row r="1281" s="160" customFormat="1" x14ac:dyDescent="0.3"/>
    <row r="1282" s="160" customFormat="1" x14ac:dyDescent="0.3"/>
    <row r="1283" s="160" customFormat="1" x14ac:dyDescent="0.3"/>
    <row r="1284" s="160" customFormat="1" x14ac:dyDescent="0.3"/>
    <row r="1285" s="160" customFormat="1" x14ac:dyDescent="0.3"/>
    <row r="1286" s="160" customFormat="1" x14ac:dyDescent="0.3"/>
    <row r="1287" s="160" customFormat="1" x14ac:dyDescent="0.3"/>
    <row r="1288" s="160" customFormat="1" x14ac:dyDescent="0.3"/>
    <row r="1289" s="160" customFormat="1" x14ac:dyDescent="0.3"/>
    <row r="1290" s="160" customFormat="1" x14ac:dyDescent="0.3"/>
    <row r="1291" s="160" customFormat="1" x14ac:dyDescent="0.3"/>
    <row r="1292" s="160" customFormat="1" x14ac:dyDescent="0.3"/>
    <row r="1293" s="160" customFormat="1" x14ac:dyDescent="0.3"/>
    <row r="1294" s="160" customFormat="1" x14ac:dyDescent="0.3"/>
    <row r="1295" s="160" customFormat="1" x14ac:dyDescent="0.3"/>
    <row r="1296" s="160" customFormat="1" x14ac:dyDescent="0.3"/>
    <row r="1297" s="160" customFormat="1" x14ac:dyDescent="0.3"/>
    <row r="1298" s="160" customFormat="1" x14ac:dyDescent="0.3"/>
    <row r="1299" s="160" customFormat="1" x14ac:dyDescent="0.3"/>
    <row r="1300" s="160" customFormat="1" x14ac:dyDescent="0.3"/>
    <row r="1301" s="160" customFormat="1" x14ac:dyDescent="0.3"/>
    <row r="1302" s="160" customFormat="1" x14ac:dyDescent="0.3"/>
    <row r="1303" s="160" customFormat="1" x14ac:dyDescent="0.3"/>
    <row r="1304" s="160" customFormat="1" x14ac:dyDescent="0.3"/>
    <row r="1305" s="160" customFormat="1" x14ac:dyDescent="0.3"/>
    <row r="1306" s="160" customFormat="1" x14ac:dyDescent="0.3"/>
    <row r="1307" s="160" customFormat="1" x14ac:dyDescent="0.3"/>
    <row r="1308" s="160" customFormat="1" x14ac:dyDescent="0.3"/>
    <row r="1309" s="160" customFormat="1" x14ac:dyDescent="0.3"/>
    <row r="1310" s="160" customFormat="1" x14ac:dyDescent="0.3"/>
    <row r="1311" s="160" customFormat="1" x14ac:dyDescent="0.3"/>
    <row r="1312" s="160" customFormat="1" x14ac:dyDescent="0.3"/>
    <row r="1313" s="160" customFormat="1" x14ac:dyDescent="0.3"/>
    <row r="1314" s="160" customFormat="1" x14ac:dyDescent="0.3"/>
    <row r="1315" s="160" customFormat="1" x14ac:dyDescent="0.3"/>
    <row r="1316" s="160" customFormat="1" x14ac:dyDescent="0.3"/>
    <row r="1317" s="160" customFormat="1" x14ac:dyDescent="0.3"/>
    <row r="1318" s="160" customFormat="1" x14ac:dyDescent="0.3"/>
    <row r="1319" s="160" customFormat="1" x14ac:dyDescent="0.3"/>
    <row r="1320" s="160" customFormat="1" x14ac:dyDescent="0.3"/>
    <row r="1321" s="160" customFormat="1" x14ac:dyDescent="0.3"/>
    <row r="1322" s="160" customFormat="1" x14ac:dyDescent="0.3"/>
    <row r="1323" s="160" customFormat="1" x14ac:dyDescent="0.3"/>
    <row r="1324" s="160" customFormat="1" x14ac:dyDescent="0.3"/>
    <row r="1325" s="160" customFormat="1" x14ac:dyDescent="0.3"/>
    <row r="1326" s="160" customFormat="1" x14ac:dyDescent="0.3"/>
    <row r="1327" s="160" customFormat="1" x14ac:dyDescent="0.3"/>
    <row r="1328" s="160" customFormat="1" x14ac:dyDescent="0.3"/>
    <row r="1329" s="160" customFormat="1" x14ac:dyDescent="0.3"/>
    <row r="1330" s="160" customFormat="1" x14ac:dyDescent="0.3"/>
    <row r="1331" s="160" customFormat="1" x14ac:dyDescent="0.3"/>
    <row r="1332" s="160" customFormat="1" x14ac:dyDescent="0.3"/>
    <row r="1333" s="160" customFormat="1" x14ac:dyDescent="0.3"/>
    <row r="1334" s="160" customFormat="1" x14ac:dyDescent="0.3"/>
    <row r="1335" s="160" customFormat="1" x14ac:dyDescent="0.3"/>
    <row r="1336" s="160" customFormat="1" x14ac:dyDescent="0.3"/>
    <row r="1337" s="160" customFormat="1" x14ac:dyDescent="0.3"/>
    <row r="1338" s="160" customFormat="1" x14ac:dyDescent="0.3"/>
    <row r="1339" s="160" customFormat="1" x14ac:dyDescent="0.3"/>
    <row r="1340" s="160" customFormat="1" x14ac:dyDescent="0.3"/>
    <row r="1341" s="160" customFormat="1" x14ac:dyDescent="0.3"/>
    <row r="1342" s="160" customFormat="1" x14ac:dyDescent="0.3"/>
    <row r="1343" s="160" customFormat="1" x14ac:dyDescent="0.3"/>
    <row r="1344" s="160" customFormat="1" x14ac:dyDescent="0.3"/>
    <row r="1345" s="160" customFormat="1" x14ac:dyDescent="0.3"/>
    <row r="1346" s="160" customFormat="1" x14ac:dyDescent="0.3"/>
    <row r="1347" s="160" customFormat="1" x14ac:dyDescent="0.3"/>
    <row r="1348" s="160" customFormat="1" x14ac:dyDescent="0.3"/>
    <row r="1349" s="160" customFormat="1" x14ac:dyDescent="0.3"/>
    <row r="1350" s="160" customFormat="1" x14ac:dyDescent="0.3"/>
    <row r="1351" s="160" customFormat="1" x14ac:dyDescent="0.3"/>
    <row r="1352" s="160" customFormat="1" x14ac:dyDescent="0.3"/>
    <row r="1353" s="160" customFormat="1" x14ac:dyDescent="0.3"/>
    <row r="1354" s="160" customFormat="1" x14ac:dyDescent="0.3"/>
    <row r="1355" s="160" customFormat="1" x14ac:dyDescent="0.3"/>
    <row r="1356" s="160" customFormat="1" x14ac:dyDescent="0.3"/>
    <row r="1357" s="160" customFormat="1" x14ac:dyDescent="0.3"/>
    <row r="1358" s="160" customFormat="1" x14ac:dyDescent="0.3"/>
    <row r="1359" s="160" customFormat="1" x14ac:dyDescent="0.3"/>
    <row r="1360" s="160" customFormat="1" x14ac:dyDescent="0.3"/>
    <row r="1361" s="160" customFormat="1" x14ac:dyDescent="0.3"/>
    <row r="1362" s="160" customFormat="1" x14ac:dyDescent="0.3"/>
    <row r="1363" s="160" customFormat="1" x14ac:dyDescent="0.3"/>
    <row r="1364" s="160" customFormat="1" x14ac:dyDescent="0.3"/>
    <row r="1365" s="160" customFormat="1" x14ac:dyDescent="0.3"/>
    <row r="1366" s="160" customFormat="1" x14ac:dyDescent="0.3"/>
    <row r="1367" s="160" customFormat="1" x14ac:dyDescent="0.3"/>
    <row r="1368" s="160" customFormat="1" x14ac:dyDescent="0.3"/>
    <row r="1369" s="160" customFormat="1" x14ac:dyDescent="0.3"/>
    <row r="1370" s="160" customFormat="1" x14ac:dyDescent="0.3"/>
    <row r="1371" s="160" customFormat="1" x14ac:dyDescent="0.3"/>
    <row r="1372" s="160" customFormat="1" x14ac:dyDescent="0.3"/>
    <row r="1373" s="160" customFormat="1" x14ac:dyDescent="0.3"/>
    <row r="1374" s="160" customFormat="1" x14ac:dyDescent="0.3"/>
    <row r="1375" s="160" customFormat="1" x14ac:dyDescent="0.3"/>
    <row r="1376" s="160" customFormat="1" x14ac:dyDescent="0.3"/>
    <row r="1377" s="160" customFormat="1" x14ac:dyDescent="0.3"/>
    <row r="1378" s="160" customFormat="1" x14ac:dyDescent="0.3"/>
    <row r="1379" s="160" customFormat="1" x14ac:dyDescent="0.3"/>
    <row r="1380" s="160" customFormat="1" x14ac:dyDescent="0.3"/>
    <row r="1381" s="160" customFormat="1" x14ac:dyDescent="0.3"/>
    <row r="1382" s="160" customFormat="1" x14ac:dyDescent="0.3"/>
    <row r="1383" s="160" customFormat="1" x14ac:dyDescent="0.3"/>
    <row r="1384" s="160" customFormat="1" x14ac:dyDescent="0.3"/>
    <row r="1385" s="160" customFormat="1" x14ac:dyDescent="0.3"/>
    <row r="1386" s="160" customFormat="1" x14ac:dyDescent="0.3"/>
    <row r="1387" s="160" customFormat="1" x14ac:dyDescent="0.3"/>
    <row r="1388" s="160" customFormat="1" x14ac:dyDescent="0.3"/>
    <row r="1389" s="160" customFormat="1" x14ac:dyDescent="0.3"/>
    <row r="1390" s="160" customFormat="1" x14ac:dyDescent="0.3"/>
    <row r="1391" s="160" customFormat="1" x14ac:dyDescent="0.3"/>
    <row r="1392" s="160" customFormat="1" x14ac:dyDescent="0.3"/>
    <row r="1393" s="160" customFormat="1" x14ac:dyDescent="0.3"/>
    <row r="1394" s="160" customFormat="1" x14ac:dyDescent="0.3"/>
    <row r="1395" s="160" customFormat="1" x14ac:dyDescent="0.3"/>
    <row r="1396" s="160" customFormat="1" x14ac:dyDescent="0.3"/>
    <row r="1397" s="160" customFormat="1" x14ac:dyDescent="0.3"/>
    <row r="1398" s="160" customFormat="1" x14ac:dyDescent="0.3"/>
    <row r="1399" s="160" customFormat="1" x14ac:dyDescent="0.3"/>
    <row r="1400" s="160" customFormat="1" x14ac:dyDescent="0.3"/>
    <row r="1401" s="160" customFormat="1" x14ac:dyDescent="0.3"/>
    <row r="1402" s="160" customFormat="1" x14ac:dyDescent="0.3"/>
    <row r="1403" s="160" customFormat="1" x14ac:dyDescent="0.3"/>
    <row r="1404" s="160" customFormat="1" x14ac:dyDescent="0.3"/>
    <row r="1405" s="160" customFormat="1" x14ac:dyDescent="0.3"/>
    <row r="1406" s="160" customFormat="1" x14ac:dyDescent="0.3"/>
    <row r="1407" s="160" customFormat="1" x14ac:dyDescent="0.3"/>
    <row r="1408" s="160" customFormat="1" x14ac:dyDescent="0.3"/>
    <row r="1409" s="160" customFormat="1" x14ac:dyDescent="0.3"/>
    <row r="1410" s="160" customFormat="1" x14ac:dyDescent="0.3"/>
    <row r="1411" s="160" customFormat="1" x14ac:dyDescent="0.3"/>
    <row r="1412" s="160" customFormat="1" x14ac:dyDescent="0.3"/>
    <row r="1413" s="160" customFormat="1" x14ac:dyDescent="0.3"/>
    <row r="1414" s="160" customFormat="1" x14ac:dyDescent="0.3"/>
    <row r="1415" s="160" customFormat="1" x14ac:dyDescent="0.3"/>
    <row r="1416" s="160" customFormat="1" x14ac:dyDescent="0.3"/>
    <row r="1417" s="160" customFormat="1" x14ac:dyDescent="0.3"/>
    <row r="1418" s="160" customFormat="1" x14ac:dyDescent="0.3"/>
    <row r="1419" s="160" customFormat="1" x14ac:dyDescent="0.3"/>
    <row r="1420" s="160" customFormat="1" x14ac:dyDescent="0.3"/>
    <row r="1421" s="160" customFormat="1" x14ac:dyDescent="0.3"/>
    <row r="1422" s="160" customFormat="1" x14ac:dyDescent="0.3"/>
    <row r="1423" s="160" customFormat="1" x14ac:dyDescent="0.3"/>
    <row r="1424" s="160" customFormat="1" x14ac:dyDescent="0.3"/>
    <row r="1425" s="160" customFormat="1" x14ac:dyDescent="0.3"/>
    <row r="1426" s="160" customFormat="1" x14ac:dyDescent="0.3"/>
    <row r="1427" s="160" customFormat="1" x14ac:dyDescent="0.3"/>
    <row r="1428" s="160" customFormat="1" x14ac:dyDescent="0.3"/>
    <row r="1429" s="160" customFormat="1" x14ac:dyDescent="0.3"/>
    <row r="1430" s="160" customFormat="1" x14ac:dyDescent="0.3"/>
    <row r="1431" s="160" customFormat="1" x14ac:dyDescent="0.3"/>
    <row r="1432" s="160" customFormat="1" x14ac:dyDescent="0.3"/>
    <row r="1433" s="160" customFormat="1" x14ac:dyDescent="0.3"/>
    <row r="1434" s="160" customFormat="1" x14ac:dyDescent="0.3"/>
    <row r="1435" s="160" customFormat="1" x14ac:dyDescent="0.3"/>
    <row r="1436" s="160" customFormat="1" x14ac:dyDescent="0.3"/>
    <row r="1437" s="160" customFormat="1" x14ac:dyDescent="0.3"/>
    <row r="1438" s="160" customFormat="1" x14ac:dyDescent="0.3"/>
    <row r="1439" s="160" customFormat="1" x14ac:dyDescent="0.3"/>
    <row r="1440" s="160" customFormat="1" x14ac:dyDescent="0.3"/>
    <row r="1441" s="160" customFormat="1" x14ac:dyDescent="0.3"/>
    <row r="1442" s="160" customFormat="1" x14ac:dyDescent="0.3"/>
    <row r="1443" s="160" customFormat="1" x14ac:dyDescent="0.3"/>
    <row r="1444" s="160" customFormat="1" x14ac:dyDescent="0.3"/>
    <row r="1445" s="160" customFormat="1" x14ac:dyDescent="0.3"/>
    <row r="1446" s="160" customFormat="1" x14ac:dyDescent="0.3"/>
    <row r="1447" s="160" customFormat="1" x14ac:dyDescent="0.3"/>
    <row r="1448" s="160" customFormat="1" x14ac:dyDescent="0.3"/>
    <row r="1449" s="160" customFormat="1" x14ac:dyDescent="0.3"/>
    <row r="1450" s="160" customFormat="1" x14ac:dyDescent="0.3"/>
    <row r="1451" s="160" customFormat="1" x14ac:dyDescent="0.3"/>
    <row r="1452" s="160" customFormat="1" x14ac:dyDescent="0.3"/>
    <row r="1453" s="160" customFormat="1" x14ac:dyDescent="0.3"/>
    <row r="1454" s="160" customFormat="1" x14ac:dyDescent="0.3"/>
    <row r="1455" s="160" customFormat="1" x14ac:dyDescent="0.3"/>
    <row r="1456" s="160" customFormat="1" x14ac:dyDescent="0.3"/>
    <row r="1457" s="160" customFormat="1" x14ac:dyDescent="0.3"/>
    <row r="1458" s="160" customFormat="1" x14ac:dyDescent="0.3"/>
    <row r="1459" s="160" customFormat="1" x14ac:dyDescent="0.3"/>
    <row r="1460" s="160" customFormat="1" x14ac:dyDescent="0.3"/>
    <row r="1461" s="160" customFormat="1" x14ac:dyDescent="0.3"/>
    <row r="1462" s="160" customFormat="1" x14ac:dyDescent="0.3"/>
    <row r="1463" s="160" customFormat="1" x14ac:dyDescent="0.3"/>
    <row r="1464" s="160" customFormat="1" x14ac:dyDescent="0.3"/>
    <row r="1465" s="160" customFormat="1" x14ac:dyDescent="0.3"/>
    <row r="1466" s="160" customFormat="1" x14ac:dyDescent="0.3"/>
    <row r="1467" s="160" customFormat="1" x14ac:dyDescent="0.3"/>
    <row r="1468" s="160" customFormat="1" x14ac:dyDescent="0.3"/>
    <row r="1469" s="160" customFormat="1" x14ac:dyDescent="0.3"/>
    <row r="1470" s="160" customFormat="1" x14ac:dyDescent="0.3"/>
    <row r="1471" s="160" customFormat="1" x14ac:dyDescent="0.3"/>
    <row r="1472" s="160" customFormat="1" x14ac:dyDescent="0.3"/>
    <row r="1473" s="160" customFormat="1" x14ac:dyDescent="0.3"/>
    <row r="1474" s="160" customFormat="1" x14ac:dyDescent="0.3"/>
    <row r="1475" s="160" customFormat="1" x14ac:dyDescent="0.3"/>
    <row r="1476" s="160" customFormat="1" x14ac:dyDescent="0.3"/>
    <row r="1477" s="160" customFormat="1" x14ac:dyDescent="0.3"/>
    <row r="1478" s="160" customFormat="1" x14ac:dyDescent="0.3"/>
    <row r="1479" s="160" customFormat="1" x14ac:dyDescent="0.3"/>
    <row r="1480" s="160" customFormat="1" x14ac:dyDescent="0.3"/>
    <row r="1481" s="160" customFormat="1" x14ac:dyDescent="0.3"/>
    <row r="1482" s="160" customFormat="1" x14ac:dyDescent="0.3"/>
    <row r="1483" s="160" customFormat="1" x14ac:dyDescent="0.3"/>
    <row r="1484" s="160" customFormat="1" x14ac:dyDescent="0.3"/>
    <row r="1485" s="160" customFormat="1" x14ac:dyDescent="0.3"/>
    <row r="1486" s="160" customFormat="1" x14ac:dyDescent="0.3"/>
    <row r="1487" s="160" customFormat="1" x14ac:dyDescent="0.3"/>
    <row r="1488" s="160" customFormat="1" x14ac:dyDescent="0.3"/>
    <row r="1489" s="160" customFormat="1" x14ac:dyDescent="0.3"/>
    <row r="1490" s="160" customFormat="1" x14ac:dyDescent="0.3"/>
    <row r="1491" s="160" customFormat="1" x14ac:dyDescent="0.3"/>
    <row r="1492" s="160" customFormat="1" x14ac:dyDescent="0.3"/>
    <row r="1493" s="160" customFormat="1" x14ac:dyDescent="0.3"/>
    <row r="1494" s="160" customFormat="1" x14ac:dyDescent="0.3"/>
    <row r="1495" s="160" customFormat="1" x14ac:dyDescent="0.3"/>
    <row r="1496" s="160" customFormat="1" x14ac:dyDescent="0.3"/>
    <row r="1497" s="160" customFormat="1" x14ac:dyDescent="0.3"/>
    <row r="1498" s="160" customFormat="1" x14ac:dyDescent="0.3"/>
    <row r="1499" s="160" customFormat="1" x14ac:dyDescent="0.3"/>
    <row r="1500" s="160" customFormat="1" x14ac:dyDescent="0.3"/>
    <row r="1501" s="160" customFormat="1" x14ac:dyDescent="0.3"/>
    <row r="1502" s="160" customFormat="1" x14ac:dyDescent="0.3"/>
    <row r="1503" s="160" customFormat="1" x14ac:dyDescent="0.3"/>
    <row r="1504" s="160" customFormat="1" x14ac:dyDescent="0.3"/>
    <row r="1505" s="160" customFormat="1" x14ac:dyDescent="0.3"/>
    <row r="1506" s="160" customFormat="1" x14ac:dyDescent="0.3"/>
    <row r="1507" s="160" customFormat="1" x14ac:dyDescent="0.3"/>
    <row r="1508" s="160" customFormat="1" x14ac:dyDescent="0.3"/>
    <row r="1509" s="160" customFormat="1" x14ac:dyDescent="0.3"/>
    <row r="1510" s="160" customFormat="1" x14ac:dyDescent="0.3"/>
    <row r="1511" s="160" customFormat="1" x14ac:dyDescent="0.3"/>
    <row r="1512" s="160" customFormat="1" x14ac:dyDescent="0.3"/>
    <row r="1513" s="160" customFormat="1" x14ac:dyDescent="0.3"/>
    <row r="1514" s="160" customFormat="1" x14ac:dyDescent="0.3"/>
    <row r="1515" s="160" customFormat="1" x14ac:dyDescent="0.3"/>
    <row r="1516" s="160" customFormat="1" x14ac:dyDescent="0.3"/>
    <row r="1517" s="160" customFormat="1" x14ac:dyDescent="0.3"/>
    <row r="1518" s="160" customFormat="1" x14ac:dyDescent="0.3"/>
    <row r="1519" s="160" customFormat="1" x14ac:dyDescent="0.3"/>
    <row r="1520" s="160" customFormat="1" x14ac:dyDescent="0.3"/>
    <row r="1521" s="160" customFormat="1" x14ac:dyDescent="0.3"/>
    <row r="1522" s="160" customFormat="1" x14ac:dyDescent="0.3"/>
    <row r="1523" s="160" customFormat="1" x14ac:dyDescent="0.3"/>
    <row r="1524" s="160" customFormat="1" x14ac:dyDescent="0.3"/>
    <row r="1525" s="160" customFormat="1" x14ac:dyDescent="0.3"/>
    <row r="1526" s="160" customFormat="1" x14ac:dyDescent="0.3"/>
    <row r="1527" s="160" customFormat="1" x14ac:dyDescent="0.3"/>
    <row r="1528" s="160" customFormat="1" x14ac:dyDescent="0.3"/>
    <row r="1529" s="160" customFormat="1" x14ac:dyDescent="0.3"/>
    <row r="1530" s="160" customFormat="1" x14ac:dyDescent="0.3"/>
    <row r="1531" s="160" customFormat="1" x14ac:dyDescent="0.3"/>
    <row r="1532" s="160" customFormat="1" x14ac:dyDescent="0.3"/>
    <row r="1533" s="160" customFormat="1" x14ac:dyDescent="0.3"/>
    <row r="1534" s="160" customFormat="1" x14ac:dyDescent="0.3"/>
    <row r="1535" s="160" customFormat="1" x14ac:dyDescent="0.3"/>
    <row r="1536" s="160" customFormat="1" x14ac:dyDescent="0.3"/>
    <row r="1537" s="160" customFormat="1" x14ac:dyDescent="0.3"/>
    <row r="1538" s="160" customFormat="1" x14ac:dyDescent="0.3"/>
    <row r="1539" s="160" customFormat="1" x14ac:dyDescent="0.3"/>
    <row r="1540" s="160" customFormat="1" x14ac:dyDescent="0.3"/>
    <row r="1541" s="160" customFormat="1" x14ac:dyDescent="0.3"/>
    <row r="1542" s="160" customFormat="1" x14ac:dyDescent="0.3"/>
    <row r="1543" s="160" customFormat="1" x14ac:dyDescent="0.3"/>
    <row r="1544" s="160" customFormat="1" x14ac:dyDescent="0.3"/>
    <row r="1545" s="160" customFormat="1" x14ac:dyDescent="0.3"/>
    <row r="1546" s="160" customFormat="1" x14ac:dyDescent="0.3"/>
    <row r="1547" s="160" customFormat="1" x14ac:dyDescent="0.3"/>
    <row r="1548" s="160" customFormat="1" x14ac:dyDescent="0.3"/>
    <row r="1549" s="160" customFormat="1" x14ac:dyDescent="0.3"/>
    <row r="1550" s="160" customFormat="1" x14ac:dyDescent="0.3"/>
    <row r="1551" s="160" customFormat="1" x14ac:dyDescent="0.3"/>
    <row r="1552" s="160" customFormat="1" x14ac:dyDescent="0.3"/>
    <row r="1553" s="160" customFormat="1" x14ac:dyDescent="0.3"/>
    <row r="1554" s="160" customFormat="1" x14ac:dyDescent="0.3"/>
    <row r="1555" s="160" customFormat="1" x14ac:dyDescent="0.3"/>
    <row r="1556" s="160" customFormat="1" x14ac:dyDescent="0.3"/>
    <row r="1557" s="160" customFormat="1" x14ac:dyDescent="0.3"/>
    <row r="1558" s="160" customFormat="1" x14ac:dyDescent="0.3"/>
    <row r="1559" s="160" customFormat="1" x14ac:dyDescent="0.3"/>
    <row r="1560" s="160" customFormat="1" x14ac:dyDescent="0.3"/>
    <row r="1561" s="160" customFormat="1" x14ac:dyDescent="0.3"/>
    <row r="1562" s="160" customFormat="1" x14ac:dyDescent="0.3"/>
    <row r="1563" s="160" customFormat="1" x14ac:dyDescent="0.3"/>
    <row r="1564" s="160" customFormat="1" x14ac:dyDescent="0.3"/>
    <row r="1565" s="160" customFormat="1" x14ac:dyDescent="0.3"/>
    <row r="1566" s="160" customFormat="1" x14ac:dyDescent="0.3"/>
    <row r="1567" s="160" customFormat="1" x14ac:dyDescent="0.3"/>
    <row r="1568" s="160" customFormat="1" x14ac:dyDescent="0.3"/>
    <row r="1569" s="160" customFormat="1" x14ac:dyDescent="0.3"/>
    <row r="1570" s="160" customFormat="1" x14ac:dyDescent="0.3"/>
    <row r="1571" s="160" customFormat="1" x14ac:dyDescent="0.3"/>
    <row r="1572" s="160" customFormat="1" x14ac:dyDescent="0.3"/>
    <row r="1573" s="160" customFormat="1" x14ac:dyDescent="0.3"/>
    <row r="1574" s="160" customFormat="1" x14ac:dyDescent="0.3"/>
    <row r="1575" s="160" customFormat="1" x14ac:dyDescent="0.3"/>
    <row r="1576" s="160" customFormat="1" x14ac:dyDescent="0.3"/>
    <row r="1577" s="160" customFormat="1" x14ac:dyDescent="0.3"/>
    <row r="1578" s="160" customFormat="1" x14ac:dyDescent="0.3"/>
    <row r="1579" s="160" customFormat="1" x14ac:dyDescent="0.3"/>
    <row r="1580" s="160" customFormat="1" x14ac:dyDescent="0.3"/>
    <row r="1581" s="160" customFormat="1" x14ac:dyDescent="0.3"/>
    <row r="1582" s="160" customFormat="1" x14ac:dyDescent="0.3"/>
    <row r="1583" s="160" customFormat="1" x14ac:dyDescent="0.3"/>
    <row r="1584" s="160" customFormat="1" x14ac:dyDescent="0.3"/>
    <row r="1585" s="160" customFormat="1" x14ac:dyDescent="0.3"/>
    <row r="1586" s="160" customFormat="1" x14ac:dyDescent="0.3"/>
    <row r="1587" s="160" customFormat="1" x14ac:dyDescent="0.3"/>
    <row r="1588" s="160" customFormat="1" x14ac:dyDescent="0.3"/>
    <row r="1589" s="160" customFormat="1" x14ac:dyDescent="0.3"/>
    <row r="1590" s="160" customFormat="1" x14ac:dyDescent="0.3"/>
    <row r="1591" s="160" customFormat="1" x14ac:dyDescent="0.3"/>
    <row r="1592" s="160" customFormat="1" x14ac:dyDescent="0.3"/>
    <row r="1593" s="160" customFormat="1" x14ac:dyDescent="0.3"/>
    <row r="1594" s="160" customFormat="1" x14ac:dyDescent="0.3"/>
    <row r="1595" s="160" customFormat="1" x14ac:dyDescent="0.3"/>
    <row r="1596" s="160" customFormat="1" x14ac:dyDescent="0.3"/>
    <row r="1597" s="160" customFormat="1" x14ac:dyDescent="0.3"/>
    <row r="1598" s="160" customFormat="1" x14ac:dyDescent="0.3"/>
    <row r="1599" s="160" customFormat="1" x14ac:dyDescent="0.3"/>
    <row r="1600" s="160" customFormat="1" x14ac:dyDescent="0.3"/>
    <row r="1601" s="160" customFormat="1" x14ac:dyDescent="0.3"/>
    <row r="1602" s="160" customFormat="1" x14ac:dyDescent="0.3"/>
    <row r="1603" s="160" customFormat="1" x14ac:dyDescent="0.3"/>
    <row r="1604" s="160" customFormat="1" x14ac:dyDescent="0.3"/>
    <row r="1605" s="160" customFormat="1" x14ac:dyDescent="0.3"/>
    <row r="1606" s="160" customFormat="1" x14ac:dyDescent="0.3"/>
    <row r="1607" s="160" customFormat="1" x14ac:dyDescent="0.3"/>
    <row r="1608" s="160" customFormat="1" x14ac:dyDescent="0.3"/>
    <row r="1609" s="160" customFormat="1" x14ac:dyDescent="0.3"/>
    <row r="1610" s="160" customFormat="1" x14ac:dyDescent="0.3"/>
    <row r="1611" s="160" customFormat="1" x14ac:dyDescent="0.3"/>
    <row r="1612" s="160" customFormat="1" x14ac:dyDescent="0.3"/>
    <row r="1613" s="160" customFormat="1" x14ac:dyDescent="0.3"/>
    <row r="1614" s="160" customFormat="1" x14ac:dyDescent="0.3"/>
    <row r="1615" s="160" customFormat="1" x14ac:dyDescent="0.3"/>
    <row r="1616" s="160" customFormat="1" x14ac:dyDescent="0.3"/>
    <row r="1617" s="160" customFormat="1" x14ac:dyDescent="0.3"/>
    <row r="1618" s="160" customFormat="1" x14ac:dyDescent="0.3"/>
    <row r="1619" s="160" customFormat="1" x14ac:dyDescent="0.3"/>
    <row r="1620" s="160" customFormat="1" x14ac:dyDescent="0.3"/>
    <row r="1621" s="160" customFormat="1" x14ac:dyDescent="0.3"/>
    <row r="1622" s="160" customFormat="1" x14ac:dyDescent="0.3"/>
    <row r="1623" s="160" customFormat="1" x14ac:dyDescent="0.3"/>
    <row r="1624" s="160" customFormat="1" x14ac:dyDescent="0.3"/>
    <row r="1625" s="160" customFormat="1" x14ac:dyDescent="0.3"/>
    <row r="1626" s="160" customFormat="1" x14ac:dyDescent="0.3"/>
    <row r="1627" s="160" customFormat="1" x14ac:dyDescent="0.3"/>
    <row r="1628" s="160" customFormat="1" x14ac:dyDescent="0.3"/>
    <row r="1629" s="160" customFormat="1" x14ac:dyDescent="0.3"/>
    <row r="1630" s="160" customFormat="1" x14ac:dyDescent="0.3"/>
    <row r="1631" s="160" customFormat="1" x14ac:dyDescent="0.3"/>
    <row r="1632" s="160" customFormat="1" x14ac:dyDescent="0.3"/>
    <row r="1633" s="160" customFormat="1" x14ac:dyDescent="0.3"/>
    <row r="1634" s="160" customFormat="1" x14ac:dyDescent="0.3"/>
    <row r="1635" s="160" customFormat="1" x14ac:dyDescent="0.3"/>
    <row r="1636" s="160" customFormat="1" x14ac:dyDescent="0.3"/>
    <row r="1637" s="160" customFormat="1" x14ac:dyDescent="0.3"/>
    <row r="1638" s="160" customFormat="1" x14ac:dyDescent="0.3"/>
    <row r="1639" s="160" customFormat="1" x14ac:dyDescent="0.3"/>
    <row r="1640" s="160" customFormat="1" x14ac:dyDescent="0.3"/>
    <row r="1641" s="160" customFormat="1" x14ac:dyDescent="0.3"/>
    <row r="1642" s="160" customFormat="1" x14ac:dyDescent="0.3"/>
    <row r="1643" s="160" customFormat="1" x14ac:dyDescent="0.3"/>
    <row r="1644" s="160" customFormat="1" x14ac:dyDescent="0.3"/>
    <row r="1645" s="160" customFormat="1" x14ac:dyDescent="0.3"/>
    <row r="1646" s="160" customFormat="1" x14ac:dyDescent="0.3"/>
    <row r="1647" s="160" customFormat="1" x14ac:dyDescent="0.3"/>
    <row r="1648" s="160" customFormat="1" x14ac:dyDescent="0.3"/>
    <row r="1649" s="160" customFormat="1" x14ac:dyDescent="0.3"/>
    <row r="1650" s="160" customFormat="1" x14ac:dyDescent="0.3"/>
    <row r="1651" s="160" customFormat="1" x14ac:dyDescent="0.3"/>
    <row r="1652" s="160" customFormat="1" x14ac:dyDescent="0.3"/>
    <row r="1653" s="160" customFormat="1" x14ac:dyDescent="0.3"/>
    <row r="1654" s="160" customFormat="1" x14ac:dyDescent="0.3"/>
    <row r="1655" s="160" customFormat="1" x14ac:dyDescent="0.3"/>
    <row r="1656" s="160" customFormat="1" x14ac:dyDescent="0.3"/>
    <row r="1657" s="160" customFormat="1" x14ac:dyDescent="0.3"/>
    <row r="1658" s="160" customFormat="1" x14ac:dyDescent="0.3"/>
    <row r="1659" s="160" customFormat="1" x14ac:dyDescent="0.3"/>
    <row r="1660" s="160" customFormat="1" x14ac:dyDescent="0.3"/>
    <row r="1661" s="160" customFormat="1" x14ac:dyDescent="0.3"/>
    <row r="1662" s="160" customFormat="1" x14ac:dyDescent="0.3"/>
    <row r="1663" s="160" customFormat="1" x14ac:dyDescent="0.3"/>
    <row r="1664" s="160" customFormat="1" x14ac:dyDescent="0.3"/>
    <row r="1665" s="160" customFormat="1" x14ac:dyDescent="0.3"/>
    <row r="1666" s="160" customFormat="1" x14ac:dyDescent="0.3"/>
    <row r="1667" s="160" customFormat="1" x14ac:dyDescent="0.3"/>
    <row r="1668" s="160" customFormat="1" x14ac:dyDescent="0.3"/>
    <row r="1669" s="160" customFormat="1" x14ac:dyDescent="0.3"/>
    <row r="1670" s="160" customFormat="1" x14ac:dyDescent="0.3"/>
    <row r="1671" s="160" customFormat="1" x14ac:dyDescent="0.3"/>
    <row r="1672" s="160" customFormat="1" x14ac:dyDescent="0.3"/>
    <row r="1673" s="160" customFormat="1" x14ac:dyDescent="0.3"/>
    <row r="1674" s="160" customFormat="1" x14ac:dyDescent="0.3"/>
    <row r="1675" s="160" customFormat="1" x14ac:dyDescent="0.3"/>
    <row r="1676" s="160" customFormat="1" x14ac:dyDescent="0.3"/>
    <row r="1677" s="160" customFormat="1" x14ac:dyDescent="0.3"/>
    <row r="1678" s="160" customFormat="1" x14ac:dyDescent="0.3"/>
    <row r="1679" s="160" customFormat="1" x14ac:dyDescent="0.3"/>
    <row r="1680" s="160" customFormat="1" x14ac:dyDescent="0.3"/>
    <row r="1681" s="160" customFormat="1" x14ac:dyDescent="0.3"/>
    <row r="1682" s="160" customFormat="1" x14ac:dyDescent="0.3"/>
    <row r="1683" s="160" customFormat="1" x14ac:dyDescent="0.3"/>
    <row r="1684" s="160" customFormat="1" x14ac:dyDescent="0.3"/>
    <row r="1685" s="160" customFormat="1" x14ac:dyDescent="0.3"/>
    <row r="1686" s="160" customFormat="1" x14ac:dyDescent="0.3"/>
    <row r="1687" s="160" customFormat="1" x14ac:dyDescent="0.3"/>
    <row r="1688" s="160" customFormat="1" x14ac:dyDescent="0.3"/>
    <row r="1689" s="160" customFormat="1" x14ac:dyDescent="0.3"/>
    <row r="1690" s="160" customFormat="1" x14ac:dyDescent="0.3"/>
    <row r="1691" s="160" customFormat="1" x14ac:dyDescent="0.3"/>
    <row r="1692" s="160" customFormat="1" x14ac:dyDescent="0.3"/>
    <row r="1693" s="160" customFormat="1" x14ac:dyDescent="0.3"/>
    <row r="1694" s="160" customFormat="1" x14ac:dyDescent="0.3"/>
    <row r="1695" s="160" customFormat="1" x14ac:dyDescent="0.3"/>
    <row r="1696" s="160" customFormat="1" x14ac:dyDescent="0.3"/>
    <row r="1697" s="160" customFormat="1" x14ac:dyDescent="0.3"/>
    <row r="1698" s="160" customFormat="1" x14ac:dyDescent="0.3"/>
    <row r="1699" s="160" customFormat="1" x14ac:dyDescent="0.3"/>
    <row r="1700" s="160" customFormat="1" x14ac:dyDescent="0.3"/>
    <row r="1701" s="160" customFormat="1" x14ac:dyDescent="0.3"/>
    <row r="1702" s="160" customFormat="1" x14ac:dyDescent="0.3"/>
    <row r="1703" s="160" customFormat="1" x14ac:dyDescent="0.3"/>
    <row r="1704" s="160" customFormat="1" x14ac:dyDescent="0.3"/>
    <row r="1705" s="160" customFormat="1" x14ac:dyDescent="0.3"/>
    <row r="1706" s="160" customFormat="1" x14ac:dyDescent="0.3"/>
    <row r="1707" s="160" customFormat="1" x14ac:dyDescent="0.3"/>
    <row r="1708" s="160" customFormat="1" x14ac:dyDescent="0.3"/>
    <row r="1709" s="160" customFormat="1" x14ac:dyDescent="0.3"/>
    <row r="1710" s="160" customFormat="1" x14ac:dyDescent="0.3"/>
    <row r="1711" s="160" customFormat="1" x14ac:dyDescent="0.3"/>
    <row r="1712" s="160" customFormat="1" x14ac:dyDescent="0.3"/>
    <row r="1713" s="160" customFormat="1" x14ac:dyDescent="0.3"/>
    <row r="1714" s="160" customFormat="1" x14ac:dyDescent="0.3"/>
    <row r="1715" s="160" customFormat="1" x14ac:dyDescent="0.3"/>
    <row r="1716" s="160" customFormat="1" x14ac:dyDescent="0.3"/>
    <row r="1717" s="160" customFormat="1" x14ac:dyDescent="0.3"/>
    <row r="1718" s="160" customFormat="1" x14ac:dyDescent="0.3"/>
    <row r="1719" s="160" customFormat="1" x14ac:dyDescent="0.3"/>
    <row r="1720" s="160" customFormat="1" x14ac:dyDescent="0.3"/>
    <row r="1721" s="160" customFormat="1" x14ac:dyDescent="0.3"/>
    <row r="1722" s="160" customFormat="1" x14ac:dyDescent="0.3"/>
    <row r="1723" s="160" customFormat="1" x14ac:dyDescent="0.3"/>
    <row r="1724" s="160" customFormat="1" x14ac:dyDescent="0.3"/>
    <row r="1725" s="160" customFormat="1" x14ac:dyDescent="0.3"/>
    <row r="1726" s="160" customFormat="1" x14ac:dyDescent="0.3"/>
    <row r="1727" s="160" customFormat="1" x14ac:dyDescent="0.3"/>
    <row r="1728" s="160" customFormat="1" x14ac:dyDescent="0.3"/>
    <row r="1729" s="160" customFormat="1" x14ac:dyDescent="0.3"/>
    <row r="1730" s="160" customFormat="1" x14ac:dyDescent="0.3"/>
    <row r="1731" s="160" customFormat="1" x14ac:dyDescent="0.3"/>
    <row r="1732" s="160" customFormat="1" x14ac:dyDescent="0.3"/>
    <row r="1733" s="160" customFormat="1" x14ac:dyDescent="0.3"/>
    <row r="1734" s="160" customFormat="1" x14ac:dyDescent="0.3"/>
    <row r="1735" s="160" customFormat="1" x14ac:dyDescent="0.3"/>
    <row r="1736" s="160" customFormat="1" x14ac:dyDescent="0.3"/>
    <row r="1737" s="160" customFormat="1" x14ac:dyDescent="0.3"/>
    <row r="1738" s="160" customFormat="1" x14ac:dyDescent="0.3"/>
    <row r="1739" s="160" customFormat="1" x14ac:dyDescent="0.3"/>
    <row r="1740" s="160" customFormat="1" x14ac:dyDescent="0.3"/>
    <row r="1741" s="160" customFormat="1" x14ac:dyDescent="0.3"/>
    <row r="1742" s="160" customFormat="1" x14ac:dyDescent="0.3"/>
    <row r="1743" s="160" customFormat="1" x14ac:dyDescent="0.3"/>
    <row r="1744" s="160" customFormat="1" x14ac:dyDescent="0.3"/>
    <row r="1745" s="160" customFormat="1" x14ac:dyDescent="0.3"/>
    <row r="1746" s="160" customFormat="1" x14ac:dyDescent="0.3"/>
    <row r="1747" s="160" customFormat="1" x14ac:dyDescent="0.3"/>
    <row r="1748" s="160" customFormat="1" x14ac:dyDescent="0.3"/>
    <row r="1749" s="160" customFormat="1" x14ac:dyDescent="0.3"/>
    <row r="1750" s="160" customFormat="1" x14ac:dyDescent="0.3"/>
    <row r="1751" s="160" customFormat="1" x14ac:dyDescent="0.3"/>
    <row r="1752" s="160" customFormat="1" x14ac:dyDescent="0.3"/>
    <row r="1753" s="160" customFormat="1" x14ac:dyDescent="0.3"/>
    <row r="1754" s="160" customFormat="1" x14ac:dyDescent="0.3"/>
    <row r="1755" s="160" customFormat="1" x14ac:dyDescent="0.3"/>
    <row r="1756" s="160" customFormat="1" x14ac:dyDescent="0.3"/>
    <row r="1757" s="160" customFormat="1" x14ac:dyDescent="0.3"/>
    <row r="1758" s="160" customFormat="1" x14ac:dyDescent="0.3"/>
    <row r="1759" s="160" customFormat="1" x14ac:dyDescent="0.3"/>
    <row r="1760" s="160" customFormat="1" x14ac:dyDescent="0.3"/>
    <row r="1761" s="160" customFormat="1" x14ac:dyDescent="0.3"/>
    <row r="1762" s="160" customFormat="1" x14ac:dyDescent="0.3"/>
    <row r="1763" s="160" customFormat="1" x14ac:dyDescent="0.3"/>
    <row r="1764" s="160" customFormat="1" x14ac:dyDescent="0.3"/>
    <row r="1765" s="160" customFormat="1" x14ac:dyDescent="0.3"/>
    <row r="1766" s="160" customFormat="1" x14ac:dyDescent="0.3"/>
    <row r="1767" s="160" customFormat="1" x14ac:dyDescent="0.3"/>
    <row r="1768" s="160" customFormat="1" x14ac:dyDescent="0.3"/>
    <row r="1769" s="160" customFormat="1" x14ac:dyDescent="0.3"/>
    <row r="1770" s="160" customFormat="1" x14ac:dyDescent="0.3"/>
    <row r="1771" s="160" customFormat="1" x14ac:dyDescent="0.3"/>
    <row r="1772" s="160" customFormat="1" x14ac:dyDescent="0.3"/>
    <row r="1773" s="160" customFormat="1" x14ac:dyDescent="0.3"/>
    <row r="1774" s="160" customFormat="1" x14ac:dyDescent="0.3"/>
    <row r="1775" s="160" customFormat="1" x14ac:dyDescent="0.3"/>
    <row r="1776" s="160" customFormat="1" x14ac:dyDescent="0.3"/>
    <row r="1777" s="160" customFormat="1" x14ac:dyDescent="0.3"/>
    <row r="1778" s="160" customFormat="1" x14ac:dyDescent="0.3"/>
    <row r="1779" s="160" customFormat="1" x14ac:dyDescent="0.3"/>
    <row r="1780" s="160" customFormat="1" x14ac:dyDescent="0.3"/>
    <row r="1781" s="160" customFormat="1" x14ac:dyDescent="0.3"/>
    <row r="1782" s="160" customFormat="1" x14ac:dyDescent="0.3"/>
    <row r="1783" s="160" customFormat="1" x14ac:dyDescent="0.3"/>
    <row r="1784" s="160" customFormat="1" x14ac:dyDescent="0.3"/>
    <row r="1785" s="160" customFormat="1" x14ac:dyDescent="0.3"/>
    <row r="1786" s="160" customFormat="1" x14ac:dyDescent="0.3"/>
    <row r="1787" s="160" customFormat="1" x14ac:dyDescent="0.3"/>
    <row r="1788" s="160" customFormat="1" x14ac:dyDescent="0.3"/>
    <row r="1789" s="160" customFormat="1" x14ac:dyDescent="0.3"/>
    <row r="1790" s="160" customFormat="1" x14ac:dyDescent="0.3"/>
    <row r="1791" s="160" customFormat="1" x14ac:dyDescent="0.3"/>
    <row r="1792" s="160" customFormat="1" x14ac:dyDescent="0.3"/>
    <row r="1793" s="160" customFormat="1" x14ac:dyDescent="0.3"/>
    <row r="1794" s="160" customFormat="1" x14ac:dyDescent="0.3"/>
    <row r="1795" s="160" customFormat="1" x14ac:dyDescent="0.3"/>
    <row r="1796" s="160" customFormat="1" x14ac:dyDescent="0.3"/>
    <row r="1797" s="160" customFormat="1" x14ac:dyDescent="0.3"/>
    <row r="1798" s="160" customFormat="1" x14ac:dyDescent="0.3"/>
    <row r="1799" s="160" customFormat="1" x14ac:dyDescent="0.3"/>
    <row r="1800" s="160" customFormat="1" x14ac:dyDescent="0.3"/>
    <row r="1801" s="160" customFormat="1" x14ac:dyDescent="0.3"/>
    <row r="1802" s="160" customFormat="1" x14ac:dyDescent="0.3"/>
    <row r="1803" s="160" customFormat="1" x14ac:dyDescent="0.3"/>
    <row r="1804" s="160" customFormat="1" x14ac:dyDescent="0.3"/>
    <row r="1805" s="160" customFormat="1" x14ac:dyDescent="0.3"/>
    <row r="1806" s="160" customFormat="1" x14ac:dyDescent="0.3"/>
    <row r="1807" s="160" customFormat="1" x14ac:dyDescent="0.3"/>
    <row r="1808" s="160" customFormat="1" x14ac:dyDescent="0.3"/>
    <row r="1809" s="160" customFormat="1" x14ac:dyDescent="0.3"/>
    <row r="1810" s="160" customFormat="1" x14ac:dyDescent="0.3"/>
    <row r="1811" s="160" customFormat="1" x14ac:dyDescent="0.3"/>
    <row r="1812" s="160" customFormat="1" x14ac:dyDescent="0.3"/>
    <row r="1813" s="160" customFormat="1" x14ac:dyDescent="0.3"/>
    <row r="1814" s="160" customFormat="1" x14ac:dyDescent="0.3"/>
    <row r="1815" s="160" customFormat="1" x14ac:dyDescent="0.3"/>
    <row r="1816" s="160" customFormat="1" x14ac:dyDescent="0.3"/>
    <row r="1817" s="160" customFormat="1" x14ac:dyDescent="0.3"/>
    <row r="1818" s="160" customFormat="1" x14ac:dyDescent="0.3"/>
    <row r="1819" s="160" customFormat="1" x14ac:dyDescent="0.3"/>
    <row r="1820" s="160" customFormat="1" x14ac:dyDescent="0.3"/>
    <row r="1821" s="160" customFormat="1" x14ac:dyDescent="0.3"/>
    <row r="1822" s="160" customFormat="1" x14ac:dyDescent="0.3"/>
    <row r="1823" s="160" customFormat="1" x14ac:dyDescent="0.3"/>
    <row r="1824" s="160" customFormat="1" x14ac:dyDescent="0.3"/>
    <row r="1825" s="160" customFormat="1" x14ac:dyDescent="0.3"/>
    <row r="1826" s="160" customFormat="1" x14ac:dyDescent="0.3"/>
    <row r="1827" s="160" customFormat="1" x14ac:dyDescent="0.3"/>
    <row r="1828" s="160" customFormat="1" x14ac:dyDescent="0.3"/>
    <row r="1829" s="160" customFormat="1" x14ac:dyDescent="0.3"/>
    <row r="1830" s="160" customFormat="1" x14ac:dyDescent="0.3"/>
    <row r="1831" s="160" customFormat="1" x14ac:dyDescent="0.3"/>
    <row r="1832" s="160" customFormat="1" x14ac:dyDescent="0.3"/>
    <row r="1833" s="160" customFormat="1" x14ac:dyDescent="0.3"/>
    <row r="1834" s="160" customFormat="1" x14ac:dyDescent="0.3"/>
    <row r="1835" s="160" customFormat="1" x14ac:dyDescent="0.3"/>
    <row r="1836" s="160" customFormat="1" x14ac:dyDescent="0.3"/>
    <row r="1837" s="160" customFormat="1" x14ac:dyDescent="0.3"/>
    <row r="1838" s="160" customFormat="1" x14ac:dyDescent="0.3"/>
    <row r="1839" s="160" customFormat="1" x14ac:dyDescent="0.3"/>
    <row r="1840" s="160" customFormat="1" x14ac:dyDescent="0.3"/>
    <row r="1841" s="160" customFormat="1" x14ac:dyDescent="0.3"/>
    <row r="1842" s="160" customFormat="1" x14ac:dyDescent="0.3"/>
    <row r="1843" s="160" customFormat="1" x14ac:dyDescent="0.3"/>
    <row r="1844" s="160" customFormat="1" x14ac:dyDescent="0.3"/>
    <row r="1845" s="160" customFormat="1" x14ac:dyDescent="0.3"/>
    <row r="1846" s="160" customFormat="1" x14ac:dyDescent="0.3"/>
    <row r="1847" s="160" customFormat="1" x14ac:dyDescent="0.3"/>
    <row r="1848" s="160" customFormat="1" x14ac:dyDescent="0.3"/>
    <row r="1849" s="160" customFormat="1" x14ac:dyDescent="0.3"/>
    <row r="1850" s="160" customFormat="1" x14ac:dyDescent="0.3"/>
    <row r="1851" s="160" customFormat="1" x14ac:dyDescent="0.3"/>
    <row r="1852" s="160" customFormat="1" x14ac:dyDescent="0.3"/>
    <row r="1853" s="160" customFormat="1" x14ac:dyDescent="0.3"/>
    <row r="1854" s="160" customFormat="1" x14ac:dyDescent="0.3"/>
    <row r="1855" s="160" customFormat="1" x14ac:dyDescent="0.3"/>
    <row r="1856" s="160" customFormat="1" x14ac:dyDescent="0.3"/>
    <row r="1857" s="160" customFormat="1" x14ac:dyDescent="0.3"/>
    <row r="1858" s="160" customFormat="1" x14ac:dyDescent="0.3"/>
    <row r="1859" s="160" customFormat="1" x14ac:dyDescent="0.3"/>
    <row r="1860" s="160" customFormat="1" x14ac:dyDescent="0.3"/>
    <row r="1861" s="160" customFormat="1" x14ac:dyDescent="0.3"/>
    <row r="1862" s="160" customFormat="1" x14ac:dyDescent="0.3"/>
    <row r="1863" s="160" customFormat="1" x14ac:dyDescent="0.3"/>
    <row r="1864" s="160" customFormat="1" x14ac:dyDescent="0.3"/>
    <row r="1865" s="160" customFormat="1" x14ac:dyDescent="0.3"/>
    <row r="1866" s="160" customFormat="1" x14ac:dyDescent="0.3"/>
    <row r="1867" s="160" customFormat="1" x14ac:dyDescent="0.3"/>
    <row r="1868" s="160" customFormat="1" x14ac:dyDescent="0.3"/>
    <row r="1869" s="160" customFormat="1" x14ac:dyDescent="0.3"/>
    <row r="1870" s="160" customFormat="1" x14ac:dyDescent="0.3"/>
    <row r="1871" s="160" customFormat="1" x14ac:dyDescent="0.3"/>
    <row r="1872" s="160" customFormat="1" x14ac:dyDescent="0.3"/>
    <row r="1873" s="160" customFormat="1" x14ac:dyDescent="0.3"/>
    <row r="1874" s="160" customFormat="1" x14ac:dyDescent="0.3"/>
    <row r="1875" s="160" customFormat="1" x14ac:dyDescent="0.3"/>
    <row r="1876" s="160" customFormat="1" x14ac:dyDescent="0.3"/>
    <row r="1877" s="160" customFormat="1" x14ac:dyDescent="0.3"/>
    <row r="1878" s="160" customFormat="1" x14ac:dyDescent="0.3"/>
    <row r="1879" s="160" customFormat="1" x14ac:dyDescent="0.3"/>
    <row r="1880" s="160" customFormat="1" x14ac:dyDescent="0.3"/>
    <row r="1881" s="160" customFormat="1" x14ac:dyDescent="0.3"/>
    <row r="1882" s="160" customFormat="1" x14ac:dyDescent="0.3"/>
    <row r="1883" s="160" customFormat="1" x14ac:dyDescent="0.3"/>
    <row r="1884" s="160" customFormat="1" x14ac:dyDescent="0.3"/>
    <row r="1885" s="160" customFormat="1" x14ac:dyDescent="0.3"/>
    <row r="1886" s="160" customFormat="1" x14ac:dyDescent="0.3"/>
    <row r="1887" s="160" customFormat="1" x14ac:dyDescent="0.3"/>
    <row r="1888" s="160" customFormat="1" x14ac:dyDescent="0.3"/>
    <row r="1889" s="160" customFormat="1" x14ac:dyDescent="0.3"/>
    <row r="1890" s="160" customFormat="1" x14ac:dyDescent="0.3"/>
    <row r="1891" s="160" customFormat="1" x14ac:dyDescent="0.3"/>
    <row r="1892" s="160" customFormat="1" x14ac:dyDescent="0.3"/>
    <row r="1893" s="160" customFormat="1" x14ac:dyDescent="0.3"/>
    <row r="1894" s="160" customFormat="1" x14ac:dyDescent="0.3"/>
    <row r="1895" s="160" customFormat="1" x14ac:dyDescent="0.3"/>
    <row r="1896" s="160" customFormat="1" x14ac:dyDescent="0.3"/>
    <row r="1897" s="160" customFormat="1" x14ac:dyDescent="0.3"/>
    <row r="1898" s="160" customFormat="1" x14ac:dyDescent="0.3"/>
    <row r="1899" s="160" customFormat="1" x14ac:dyDescent="0.3"/>
    <row r="1900" s="160" customFormat="1" x14ac:dyDescent="0.3"/>
    <row r="1901" s="160" customFormat="1" x14ac:dyDescent="0.3"/>
    <row r="1902" s="160" customFormat="1" x14ac:dyDescent="0.3"/>
    <row r="1903" s="160" customFormat="1" x14ac:dyDescent="0.3"/>
    <row r="1904" s="160" customFormat="1" x14ac:dyDescent="0.3"/>
    <row r="1905" s="160" customFormat="1" x14ac:dyDescent="0.3"/>
    <row r="1906" s="160" customFormat="1" x14ac:dyDescent="0.3"/>
    <row r="1907" s="160" customFormat="1" x14ac:dyDescent="0.3"/>
    <row r="1908" s="160" customFormat="1" x14ac:dyDescent="0.3"/>
    <row r="1909" s="160" customFormat="1" x14ac:dyDescent="0.3"/>
    <row r="1910" s="160" customFormat="1" x14ac:dyDescent="0.3"/>
    <row r="1911" s="160" customFormat="1" x14ac:dyDescent="0.3"/>
    <row r="1912" s="160" customFormat="1" x14ac:dyDescent="0.3"/>
    <row r="1913" s="160" customFormat="1" x14ac:dyDescent="0.3"/>
    <row r="1914" s="160" customFormat="1" x14ac:dyDescent="0.3"/>
    <row r="1915" s="160" customFormat="1" x14ac:dyDescent="0.3"/>
    <row r="1916" s="160" customFormat="1" x14ac:dyDescent="0.3"/>
    <row r="1917" s="160" customFormat="1" x14ac:dyDescent="0.3"/>
    <row r="1918" s="160" customFormat="1" x14ac:dyDescent="0.3"/>
    <row r="1919" s="160" customFormat="1" x14ac:dyDescent="0.3"/>
    <row r="1920" s="160" customFormat="1" x14ac:dyDescent="0.3"/>
    <row r="1921" s="160" customFormat="1" x14ac:dyDescent="0.3"/>
    <row r="1922" s="160" customFormat="1" x14ac:dyDescent="0.3"/>
    <row r="1923" s="160" customFormat="1" x14ac:dyDescent="0.3"/>
    <row r="1924" s="160" customFormat="1" x14ac:dyDescent="0.3"/>
    <row r="1925" s="160" customFormat="1" x14ac:dyDescent="0.3"/>
    <row r="1926" s="160" customFormat="1" x14ac:dyDescent="0.3"/>
    <row r="1927" s="160" customFormat="1" x14ac:dyDescent="0.3"/>
    <row r="1928" s="160" customFormat="1" x14ac:dyDescent="0.3"/>
    <row r="1929" s="160" customFormat="1" x14ac:dyDescent="0.3"/>
    <row r="1930" s="160" customFormat="1" x14ac:dyDescent="0.3"/>
    <row r="1931" s="160" customFormat="1" x14ac:dyDescent="0.3"/>
    <row r="1932" s="160" customFormat="1" x14ac:dyDescent="0.3"/>
    <row r="1933" s="160" customFormat="1" x14ac:dyDescent="0.3"/>
    <row r="1934" s="160" customFormat="1" x14ac:dyDescent="0.3"/>
    <row r="1935" s="160" customFormat="1" x14ac:dyDescent="0.3"/>
    <row r="1936" s="160" customFormat="1" x14ac:dyDescent="0.3"/>
    <row r="1937" s="160" customFormat="1" x14ac:dyDescent="0.3"/>
    <row r="1938" s="160" customFormat="1" x14ac:dyDescent="0.3"/>
    <row r="1939" s="160" customFormat="1" x14ac:dyDescent="0.3"/>
    <row r="1940" s="160" customFormat="1" x14ac:dyDescent="0.3"/>
    <row r="1941" s="160" customFormat="1" x14ac:dyDescent="0.3"/>
    <row r="1942" s="160" customFormat="1" x14ac:dyDescent="0.3"/>
    <row r="1943" s="160" customFormat="1" x14ac:dyDescent="0.3"/>
    <row r="1944" s="160" customFormat="1" x14ac:dyDescent="0.3"/>
    <row r="1945" s="160" customFormat="1" x14ac:dyDescent="0.3"/>
    <row r="1946" s="160" customFormat="1" x14ac:dyDescent="0.3"/>
    <row r="1947" s="160" customFormat="1" x14ac:dyDescent="0.3"/>
    <row r="1948" s="160" customFormat="1" x14ac:dyDescent="0.3"/>
    <row r="1949" s="160" customFormat="1" x14ac:dyDescent="0.3"/>
    <row r="1950" s="160" customFormat="1" x14ac:dyDescent="0.3"/>
    <row r="1951" s="160" customFormat="1" x14ac:dyDescent="0.3"/>
    <row r="1952" s="160" customFormat="1" x14ac:dyDescent="0.3"/>
    <row r="1953" s="160" customFormat="1" x14ac:dyDescent="0.3"/>
    <row r="1954" s="160" customFormat="1" x14ac:dyDescent="0.3"/>
    <row r="1955" s="160" customFormat="1" x14ac:dyDescent="0.3"/>
    <row r="1956" s="160" customFormat="1" x14ac:dyDescent="0.3"/>
    <row r="1957" s="160" customFormat="1" x14ac:dyDescent="0.3"/>
    <row r="1958" s="160" customFormat="1" x14ac:dyDescent="0.3"/>
    <row r="1959" s="160" customFormat="1" x14ac:dyDescent="0.3"/>
    <row r="1960" s="160" customFormat="1" x14ac:dyDescent="0.3"/>
    <row r="1961" s="160" customFormat="1" x14ac:dyDescent="0.3"/>
    <row r="1962" s="160" customFormat="1" x14ac:dyDescent="0.3"/>
    <row r="1963" s="160" customFormat="1" x14ac:dyDescent="0.3"/>
    <row r="1964" s="160" customFormat="1" x14ac:dyDescent="0.3"/>
    <row r="1965" s="160" customFormat="1" x14ac:dyDescent="0.3"/>
    <row r="1966" s="160" customFormat="1" x14ac:dyDescent="0.3"/>
    <row r="1967" s="160" customFormat="1" x14ac:dyDescent="0.3"/>
    <row r="1968" s="160" customFormat="1" x14ac:dyDescent="0.3"/>
    <row r="1969" s="160" customFormat="1" x14ac:dyDescent="0.3"/>
    <row r="1970" s="160" customFormat="1" x14ac:dyDescent="0.3"/>
    <row r="1971" s="160" customFormat="1" x14ac:dyDescent="0.3"/>
    <row r="1972" s="160" customFormat="1" x14ac:dyDescent="0.3"/>
    <row r="1973" s="160" customFormat="1" x14ac:dyDescent="0.3"/>
    <row r="1974" s="160" customFormat="1" x14ac:dyDescent="0.3"/>
    <row r="1975" s="160" customFormat="1" x14ac:dyDescent="0.3"/>
    <row r="1976" s="160" customFormat="1" x14ac:dyDescent="0.3"/>
    <row r="1977" s="160" customFormat="1" x14ac:dyDescent="0.3"/>
    <row r="1978" s="160" customFormat="1" x14ac:dyDescent="0.3"/>
    <row r="1979" s="160" customFormat="1" x14ac:dyDescent="0.3"/>
    <row r="1980" s="160" customFormat="1" x14ac:dyDescent="0.3"/>
    <row r="1981" s="160" customFormat="1" x14ac:dyDescent="0.3"/>
    <row r="1982" s="160" customFormat="1" x14ac:dyDescent="0.3"/>
    <row r="1983" s="160" customFormat="1" x14ac:dyDescent="0.3"/>
    <row r="1984" s="160" customFormat="1" x14ac:dyDescent="0.3"/>
    <row r="1985" s="160" customFormat="1" x14ac:dyDescent="0.3"/>
    <row r="1986" s="160" customFormat="1" x14ac:dyDescent="0.3"/>
    <row r="1987" s="160" customFormat="1" x14ac:dyDescent="0.3"/>
    <row r="1988" s="160" customFormat="1" x14ac:dyDescent="0.3"/>
    <row r="1989" s="160" customFormat="1" x14ac:dyDescent="0.3"/>
    <row r="1990" s="160" customFormat="1" x14ac:dyDescent="0.3"/>
    <row r="1991" s="160" customFormat="1" x14ac:dyDescent="0.3"/>
    <row r="1992" s="160" customFormat="1" x14ac:dyDescent="0.3"/>
    <row r="1993" s="160" customFormat="1" x14ac:dyDescent="0.3"/>
    <row r="1994" s="160" customFormat="1" x14ac:dyDescent="0.3"/>
    <row r="1995" s="160" customFormat="1" x14ac:dyDescent="0.3"/>
    <row r="1996" s="160" customFormat="1" x14ac:dyDescent="0.3"/>
    <row r="1997" s="160" customFormat="1" x14ac:dyDescent="0.3"/>
    <row r="1998" s="160" customFormat="1" x14ac:dyDescent="0.3"/>
    <row r="1999" s="160" customFormat="1" x14ac:dyDescent="0.3"/>
    <row r="2000" s="160" customFormat="1" x14ac:dyDescent="0.3"/>
    <row r="2001" s="160" customFormat="1" x14ac:dyDescent="0.3"/>
    <row r="2002" s="160" customFormat="1" x14ac:dyDescent="0.3"/>
    <row r="2003" s="160" customFormat="1" x14ac:dyDescent="0.3"/>
    <row r="2004" s="160" customFormat="1" x14ac:dyDescent="0.3"/>
    <row r="2005" s="160" customFormat="1" x14ac:dyDescent="0.3"/>
    <row r="2006" s="160" customFormat="1" x14ac:dyDescent="0.3"/>
    <row r="2007" s="160" customFormat="1" x14ac:dyDescent="0.3"/>
    <row r="2008" s="160" customFormat="1" x14ac:dyDescent="0.3"/>
    <row r="2009" s="160" customFormat="1" x14ac:dyDescent="0.3"/>
    <row r="2010" s="160" customFormat="1" x14ac:dyDescent="0.3"/>
    <row r="2011" s="160" customFormat="1" x14ac:dyDescent="0.3"/>
    <row r="2012" s="160" customFormat="1" x14ac:dyDescent="0.3"/>
    <row r="2013" s="160" customFormat="1" x14ac:dyDescent="0.3"/>
    <row r="2014" s="160" customFormat="1" x14ac:dyDescent="0.3"/>
    <row r="2015" s="160" customFormat="1" x14ac:dyDescent="0.3"/>
    <row r="2016" s="160" customFormat="1" x14ac:dyDescent="0.3"/>
    <row r="2017" s="160" customFormat="1" x14ac:dyDescent="0.3"/>
    <row r="2018" s="160" customFormat="1" x14ac:dyDescent="0.3"/>
    <row r="2019" s="160" customFormat="1" x14ac:dyDescent="0.3"/>
    <row r="2020" s="160" customFormat="1" x14ac:dyDescent="0.3"/>
    <row r="2021" s="160" customFormat="1" x14ac:dyDescent="0.3"/>
    <row r="2022" s="160" customFormat="1" x14ac:dyDescent="0.3"/>
    <row r="2023" s="160" customFormat="1" x14ac:dyDescent="0.3"/>
    <row r="2024" s="160" customFormat="1" x14ac:dyDescent="0.3"/>
    <row r="2025" s="160" customFormat="1" x14ac:dyDescent="0.3"/>
    <row r="2026" s="160" customFormat="1" x14ac:dyDescent="0.3"/>
    <row r="2027" s="160" customFormat="1" x14ac:dyDescent="0.3"/>
    <row r="2028" s="160" customFormat="1" x14ac:dyDescent="0.3"/>
    <row r="2029" s="160" customFormat="1" x14ac:dyDescent="0.3"/>
    <row r="2030" s="160" customFormat="1" x14ac:dyDescent="0.3"/>
    <row r="2031" s="160" customFormat="1" x14ac:dyDescent="0.3"/>
    <row r="2032" s="160" customFormat="1" x14ac:dyDescent="0.3"/>
    <row r="2033" s="160" customFormat="1" x14ac:dyDescent="0.3"/>
    <row r="2034" s="160" customFormat="1" x14ac:dyDescent="0.3"/>
    <row r="2035" s="160" customFormat="1" x14ac:dyDescent="0.3"/>
    <row r="2036" s="160" customFormat="1" x14ac:dyDescent="0.3"/>
    <row r="2037" s="160" customFormat="1" x14ac:dyDescent="0.3"/>
    <row r="2038" s="160" customFormat="1" x14ac:dyDescent="0.3"/>
    <row r="2039" s="160" customFormat="1" x14ac:dyDescent="0.3"/>
    <row r="2040" s="160" customFormat="1" x14ac:dyDescent="0.3"/>
    <row r="2041" s="160" customFormat="1" x14ac:dyDescent="0.3"/>
    <row r="2042" s="160" customFormat="1" x14ac:dyDescent="0.3"/>
    <row r="2043" s="160" customFormat="1" x14ac:dyDescent="0.3"/>
    <row r="2044" s="160" customFormat="1" x14ac:dyDescent="0.3"/>
    <row r="2045" s="160" customFormat="1" x14ac:dyDescent="0.3"/>
    <row r="2046" s="160" customFormat="1" x14ac:dyDescent="0.3"/>
    <row r="2047" s="160" customFormat="1" x14ac:dyDescent="0.3"/>
    <row r="2048" s="160" customFormat="1" x14ac:dyDescent="0.3"/>
    <row r="2049" s="160" customFormat="1" x14ac:dyDescent="0.3"/>
    <row r="2050" s="160" customFormat="1" x14ac:dyDescent="0.3"/>
    <row r="2051" s="160" customFormat="1" x14ac:dyDescent="0.3"/>
    <row r="2052" s="160" customFormat="1" x14ac:dyDescent="0.3"/>
    <row r="2053" s="160" customFormat="1" x14ac:dyDescent="0.3"/>
    <row r="2054" s="160" customFormat="1" x14ac:dyDescent="0.3"/>
    <row r="2055" s="160" customFormat="1" x14ac:dyDescent="0.3"/>
    <row r="2056" s="160" customFormat="1" x14ac:dyDescent="0.3"/>
    <row r="2057" s="160" customFormat="1" x14ac:dyDescent="0.3"/>
    <row r="2058" s="160" customFormat="1" x14ac:dyDescent="0.3"/>
    <row r="2059" s="160" customFormat="1" x14ac:dyDescent="0.3"/>
    <row r="2060" s="160" customFormat="1" x14ac:dyDescent="0.3"/>
    <row r="2061" s="160" customFormat="1" x14ac:dyDescent="0.3"/>
    <row r="2062" s="160" customFormat="1" x14ac:dyDescent="0.3"/>
    <row r="2063" s="160" customFormat="1" x14ac:dyDescent="0.3"/>
    <row r="2064" s="160" customFormat="1" x14ac:dyDescent="0.3"/>
    <row r="2065" s="160" customFormat="1" x14ac:dyDescent="0.3"/>
    <row r="2066" s="160" customFormat="1" x14ac:dyDescent="0.3"/>
    <row r="2067" s="160" customFormat="1" x14ac:dyDescent="0.3"/>
    <row r="2068" s="160" customFormat="1" x14ac:dyDescent="0.3"/>
    <row r="2069" s="160" customFormat="1" x14ac:dyDescent="0.3"/>
    <row r="2070" s="160" customFormat="1" x14ac:dyDescent="0.3"/>
    <row r="2071" s="160" customFormat="1" x14ac:dyDescent="0.3"/>
    <row r="2072" s="160" customFormat="1" x14ac:dyDescent="0.3"/>
    <row r="2073" s="160" customFormat="1" x14ac:dyDescent="0.3"/>
    <row r="2074" s="160" customFormat="1" x14ac:dyDescent="0.3"/>
    <row r="2075" s="160" customFormat="1" x14ac:dyDescent="0.3"/>
    <row r="2076" s="160" customFormat="1" x14ac:dyDescent="0.3"/>
    <row r="2077" s="160" customFormat="1" x14ac:dyDescent="0.3"/>
    <row r="2078" s="160" customFormat="1" x14ac:dyDescent="0.3"/>
    <row r="2079" s="160" customFormat="1" x14ac:dyDescent="0.3"/>
    <row r="2080" s="160" customFormat="1" x14ac:dyDescent="0.3"/>
    <row r="2081" s="160" customFormat="1" x14ac:dyDescent="0.3"/>
    <row r="2082" s="160" customFormat="1" x14ac:dyDescent="0.3"/>
    <row r="2083" s="160" customFormat="1" x14ac:dyDescent="0.3"/>
    <row r="2084" s="160" customFormat="1" x14ac:dyDescent="0.3"/>
    <row r="2085" s="160" customFormat="1" x14ac:dyDescent="0.3"/>
    <row r="2086" s="160" customFormat="1" x14ac:dyDescent="0.3"/>
    <row r="2087" s="160" customFormat="1" x14ac:dyDescent="0.3"/>
    <row r="2088" s="160" customFormat="1" x14ac:dyDescent="0.3"/>
    <row r="2089" s="160" customFormat="1" x14ac:dyDescent="0.3"/>
    <row r="2090" s="160" customFormat="1" x14ac:dyDescent="0.3"/>
    <row r="2091" s="160" customFormat="1" x14ac:dyDescent="0.3"/>
    <row r="2092" s="160" customFormat="1" x14ac:dyDescent="0.3"/>
    <row r="2093" s="160" customFormat="1" x14ac:dyDescent="0.3"/>
    <row r="2094" s="160" customFormat="1" x14ac:dyDescent="0.3"/>
    <row r="2095" s="160" customFormat="1" x14ac:dyDescent="0.3"/>
    <row r="2096" s="160" customFormat="1" x14ac:dyDescent="0.3"/>
    <row r="2097" s="160" customFormat="1" x14ac:dyDescent="0.3"/>
    <row r="2098" s="160" customFormat="1" x14ac:dyDescent="0.3"/>
    <row r="2099" s="160" customFormat="1" x14ac:dyDescent="0.3"/>
    <row r="2100" s="160" customFormat="1" x14ac:dyDescent="0.3"/>
    <row r="2101" s="160" customFormat="1" x14ac:dyDescent="0.3"/>
    <row r="2102" s="160" customFormat="1" x14ac:dyDescent="0.3"/>
    <row r="2103" s="160" customFormat="1" x14ac:dyDescent="0.3"/>
    <row r="2104" s="160" customFormat="1" x14ac:dyDescent="0.3"/>
    <row r="2105" s="160" customFormat="1" x14ac:dyDescent="0.3"/>
    <row r="2106" s="160" customFormat="1" x14ac:dyDescent="0.3"/>
    <row r="2107" s="160" customFormat="1" x14ac:dyDescent="0.3"/>
    <row r="2108" s="160" customFormat="1" x14ac:dyDescent="0.3"/>
    <row r="2109" s="160" customFormat="1" x14ac:dyDescent="0.3"/>
    <row r="2110" s="160" customFormat="1" x14ac:dyDescent="0.3"/>
    <row r="2111" s="160" customFormat="1" x14ac:dyDescent="0.3"/>
    <row r="2112" s="160" customFormat="1" x14ac:dyDescent="0.3"/>
    <row r="2113" s="160" customFormat="1" x14ac:dyDescent="0.3"/>
    <row r="2114" s="160" customFormat="1" x14ac:dyDescent="0.3"/>
    <row r="2115" s="160" customFormat="1" x14ac:dyDescent="0.3"/>
    <row r="2116" s="160" customFormat="1" x14ac:dyDescent="0.3"/>
    <row r="2117" s="160" customFormat="1" x14ac:dyDescent="0.3"/>
    <row r="2118" s="160" customFormat="1" x14ac:dyDescent="0.3"/>
    <row r="2119" s="160" customFormat="1" x14ac:dyDescent="0.3"/>
    <row r="2120" s="160" customFormat="1" x14ac:dyDescent="0.3"/>
    <row r="2121" s="160" customFormat="1" x14ac:dyDescent="0.3"/>
    <row r="2122" s="160" customFormat="1" x14ac:dyDescent="0.3"/>
    <row r="2123" s="160" customFormat="1" x14ac:dyDescent="0.3"/>
    <row r="2124" s="160" customFormat="1" x14ac:dyDescent="0.3"/>
    <row r="2125" s="160" customFormat="1" x14ac:dyDescent="0.3"/>
    <row r="2126" s="160" customFormat="1" x14ac:dyDescent="0.3"/>
    <row r="2127" s="160" customFormat="1" x14ac:dyDescent="0.3"/>
    <row r="2128" s="160" customFormat="1" x14ac:dyDescent="0.3"/>
    <row r="2129" s="160" customFormat="1" x14ac:dyDescent="0.3"/>
    <row r="2130" s="160" customFormat="1" x14ac:dyDescent="0.3"/>
    <row r="2131" s="160" customFormat="1" x14ac:dyDescent="0.3"/>
    <row r="2132" s="160" customFormat="1" x14ac:dyDescent="0.3"/>
    <row r="2133" s="160" customFormat="1" x14ac:dyDescent="0.3"/>
    <row r="2134" s="160" customFormat="1" x14ac:dyDescent="0.3"/>
    <row r="2135" s="160" customFormat="1" x14ac:dyDescent="0.3"/>
    <row r="2136" s="160" customFormat="1" x14ac:dyDescent="0.3"/>
    <row r="2137" s="160" customFormat="1" x14ac:dyDescent="0.3"/>
    <row r="2138" s="160" customFormat="1" x14ac:dyDescent="0.3"/>
    <row r="2139" s="160" customFormat="1" x14ac:dyDescent="0.3"/>
    <row r="2140" s="160" customFormat="1" x14ac:dyDescent="0.3"/>
    <row r="2141" s="160" customFormat="1" x14ac:dyDescent="0.3"/>
    <row r="2142" s="160" customFormat="1" x14ac:dyDescent="0.3"/>
    <row r="2143" s="160" customFormat="1" x14ac:dyDescent="0.3"/>
    <row r="2144" s="160" customFormat="1" x14ac:dyDescent="0.3"/>
    <row r="2145" s="160" customFormat="1" x14ac:dyDescent="0.3"/>
    <row r="2146" s="160" customFormat="1" x14ac:dyDescent="0.3"/>
    <row r="2147" s="160" customFormat="1" x14ac:dyDescent="0.3"/>
    <row r="2148" s="160" customFormat="1" x14ac:dyDescent="0.3"/>
    <row r="2149" s="160" customFormat="1" x14ac:dyDescent="0.3"/>
    <row r="2150" s="160" customFormat="1" x14ac:dyDescent="0.3"/>
    <row r="2151" s="160" customFormat="1" x14ac:dyDescent="0.3"/>
    <row r="2152" s="160" customFormat="1" x14ac:dyDescent="0.3"/>
    <row r="2153" s="160" customFormat="1" x14ac:dyDescent="0.3"/>
    <row r="2154" s="160" customFormat="1" x14ac:dyDescent="0.3"/>
    <row r="2155" s="160" customFormat="1" x14ac:dyDescent="0.3"/>
    <row r="2156" s="160" customFormat="1" x14ac:dyDescent="0.3"/>
    <row r="2157" s="160" customFormat="1" x14ac:dyDescent="0.3"/>
    <row r="2158" s="160" customFormat="1" x14ac:dyDescent="0.3"/>
    <row r="2159" s="160" customFormat="1" x14ac:dyDescent="0.3"/>
    <row r="2160" s="160" customFormat="1" x14ac:dyDescent="0.3"/>
    <row r="2161" s="160" customFormat="1" x14ac:dyDescent="0.3"/>
    <row r="2162" s="160" customFormat="1" x14ac:dyDescent="0.3"/>
    <row r="2163" s="160" customFormat="1" x14ac:dyDescent="0.3"/>
    <row r="2164" s="160" customFormat="1" x14ac:dyDescent="0.3"/>
    <row r="2165" s="160" customFormat="1" x14ac:dyDescent="0.3"/>
    <row r="2166" s="160" customFormat="1" x14ac:dyDescent="0.3"/>
    <row r="2167" s="160" customFormat="1" x14ac:dyDescent="0.3"/>
    <row r="2168" s="160" customFormat="1" x14ac:dyDescent="0.3"/>
    <row r="2169" s="160" customFormat="1" x14ac:dyDescent="0.3"/>
    <row r="2170" s="160" customFormat="1" x14ac:dyDescent="0.3"/>
    <row r="2171" s="160" customFormat="1" x14ac:dyDescent="0.3"/>
    <row r="2172" s="160" customFormat="1" x14ac:dyDescent="0.3"/>
    <row r="2173" s="160" customFormat="1" x14ac:dyDescent="0.3"/>
    <row r="2174" s="160" customFormat="1" x14ac:dyDescent="0.3"/>
    <row r="2175" s="160" customFormat="1" x14ac:dyDescent="0.3"/>
    <row r="2176" s="160" customFormat="1" x14ac:dyDescent="0.3"/>
    <row r="2177" s="160" customFormat="1" x14ac:dyDescent="0.3"/>
    <row r="2178" s="160" customFormat="1" x14ac:dyDescent="0.3"/>
    <row r="2179" s="160" customFormat="1" x14ac:dyDescent="0.3"/>
    <row r="2180" s="160" customFormat="1" x14ac:dyDescent="0.3"/>
    <row r="2181" s="160" customFormat="1" x14ac:dyDescent="0.3"/>
    <row r="2182" s="160" customFormat="1" x14ac:dyDescent="0.3"/>
    <row r="2183" s="160" customFormat="1" x14ac:dyDescent="0.3"/>
    <row r="2184" s="160" customFormat="1" x14ac:dyDescent="0.3"/>
    <row r="2185" s="160" customFormat="1" x14ac:dyDescent="0.3"/>
    <row r="2186" s="160" customFormat="1" x14ac:dyDescent="0.3"/>
    <row r="2187" s="160" customFormat="1" x14ac:dyDescent="0.3"/>
    <row r="2188" s="160" customFormat="1" x14ac:dyDescent="0.3"/>
    <row r="2189" s="160" customFormat="1" x14ac:dyDescent="0.3"/>
    <row r="2190" s="160" customFormat="1" x14ac:dyDescent="0.3"/>
    <row r="2191" s="160" customFormat="1" x14ac:dyDescent="0.3"/>
    <row r="2192" s="160" customFormat="1" x14ac:dyDescent="0.3"/>
    <row r="2193" s="160" customFormat="1" x14ac:dyDescent="0.3"/>
    <row r="2194" s="160" customFormat="1" x14ac:dyDescent="0.3"/>
    <row r="2195" s="160" customFormat="1" x14ac:dyDescent="0.3"/>
    <row r="2196" s="160" customFormat="1" x14ac:dyDescent="0.3"/>
    <row r="2197" s="160" customFormat="1" x14ac:dyDescent="0.3"/>
    <row r="2198" s="160" customFormat="1" x14ac:dyDescent="0.3"/>
    <row r="2199" s="160" customFormat="1" x14ac:dyDescent="0.3"/>
    <row r="2200" s="160" customFormat="1" x14ac:dyDescent="0.3"/>
    <row r="2201" s="160" customFormat="1" x14ac:dyDescent="0.3"/>
    <row r="2202" s="160" customFormat="1" x14ac:dyDescent="0.3"/>
    <row r="2203" s="160" customFormat="1" x14ac:dyDescent="0.3"/>
    <row r="2204" s="160" customFormat="1" x14ac:dyDescent="0.3"/>
    <row r="2205" s="160" customFormat="1" x14ac:dyDescent="0.3"/>
    <row r="2206" s="160" customFormat="1" x14ac:dyDescent="0.3"/>
    <row r="2207" s="160" customFormat="1" x14ac:dyDescent="0.3"/>
    <row r="2208" s="160" customFormat="1" x14ac:dyDescent="0.3"/>
    <row r="2209" s="160" customFormat="1" x14ac:dyDescent="0.3"/>
    <row r="2210" s="160" customFormat="1" x14ac:dyDescent="0.3"/>
    <row r="2211" s="160" customFormat="1" x14ac:dyDescent="0.3"/>
    <row r="2212" s="160" customFormat="1" x14ac:dyDescent="0.3"/>
    <row r="2213" s="160" customFormat="1" x14ac:dyDescent="0.3"/>
    <row r="2214" s="160" customFormat="1" x14ac:dyDescent="0.3"/>
    <row r="2215" s="160" customFormat="1" x14ac:dyDescent="0.3"/>
    <row r="2216" s="160" customFormat="1" x14ac:dyDescent="0.3"/>
    <row r="2217" s="160" customFormat="1" x14ac:dyDescent="0.3"/>
    <row r="2218" s="160" customFormat="1" x14ac:dyDescent="0.3"/>
    <row r="2219" s="160" customFormat="1" x14ac:dyDescent="0.3"/>
    <row r="2220" s="160" customFormat="1" x14ac:dyDescent="0.3"/>
    <row r="2221" s="160" customFormat="1" x14ac:dyDescent="0.3"/>
    <row r="2222" s="160" customFormat="1" x14ac:dyDescent="0.3"/>
    <row r="2223" s="160" customFormat="1" x14ac:dyDescent="0.3"/>
    <row r="2224" s="160" customFormat="1" x14ac:dyDescent="0.3"/>
    <row r="2225" s="160" customFormat="1" x14ac:dyDescent="0.3"/>
    <row r="2226" s="160" customFormat="1" x14ac:dyDescent="0.3"/>
    <row r="2227" s="160" customFormat="1" x14ac:dyDescent="0.3"/>
    <row r="2228" s="160" customFormat="1" x14ac:dyDescent="0.3"/>
    <row r="2229" s="160" customFormat="1" x14ac:dyDescent="0.3"/>
    <row r="2230" s="160" customFormat="1" x14ac:dyDescent="0.3"/>
    <row r="2231" s="160" customFormat="1" x14ac:dyDescent="0.3"/>
    <row r="2232" s="160" customFormat="1" x14ac:dyDescent="0.3"/>
    <row r="2233" s="160" customFormat="1" x14ac:dyDescent="0.3"/>
    <row r="2234" s="160" customFormat="1" x14ac:dyDescent="0.3"/>
    <row r="2235" s="160" customFormat="1" x14ac:dyDescent="0.3"/>
    <row r="2236" s="160" customFormat="1" x14ac:dyDescent="0.3"/>
    <row r="2237" s="160" customFormat="1" x14ac:dyDescent="0.3"/>
    <row r="2238" s="160" customFormat="1" x14ac:dyDescent="0.3"/>
    <row r="2239" s="160" customFormat="1" x14ac:dyDescent="0.3"/>
    <row r="2240" s="160" customFormat="1" x14ac:dyDescent="0.3"/>
    <row r="2241" s="160" customFormat="1" x14ac:dyDescent="0.3"/>
    <row r="2242" s="160" customFormat="1" x14ac:dyDescent="0.3"/>
    <row r="2243" s="160" customFormat="1" x14ac:dyDescent="0.3"/>
    <row r="2244" s="160" customFormat="1" x14ac:dyDescent="0.3"/>
    <row r="2245" s="160" customFormat="1" x14ac:dyDescent="0.3"/>
    <row r="2246" s="160" customFormat="1" x14ac:dyDescent="0.3"/>
    <row r="2247" s="160" customFormat="1" x14ac:dyDescent="0.3"/>
    <row r="2248" s="160" customFormat="1" x14ac:dyDescent="0.3"/>
    <row r="2249" s="160" customFormat="1" x14ac:dyDescent="0.3"/>
    <row r="2250" s="160" customFormat="1" x14ac:dyDescent="0.3"/>
    <row r="2251" s="160" customFormat="1" x14ac:dyDescent="0.3"/>
    <row r="2252" s="160" customFormat="1" x14ac:dyDescent="0.3"/>
    <row r="2253" s="160" customFormat="1" x14ac:dyDescent="0.3"/>
    <row r="2254" s="160" customFormat="1" x14ac:dyDescent="0.3"/>
    <row r="2255" s="160" customFormat="1" x14ac:dyDescent="0.3"/>
    <row r="2256" s="160" customFormat="1" x14ac:dyDescent="0.3"/>
    <row r="2257" s="160" customFormat="1" x14ac:dyDescent="0.3"/>
    <row r="2258" s="160" customFormat="1" x14ac:dyDescent="0.3"/>
    <row r="2259" s="160" customFormat="1" x14ac:dyDescent="0.3"/>
    <row r="2260" s="160" customFormat="1" x14ac:dyDescent="0.3"/>
    <row r="2261" s="160" customFormat="1" x14ac:dyDescent="0.3"/>
    <row r="2262" s="160" customFormat="1" x14ac:dyDescent="0.3"/>
    <row r="2263" s="160" customFormat="1" x14ac:dyDescent="0.3"/>
    <row r="2264" s="160" customFormat="1" x14ac:dyDescent="0.3"/>
    <row r="2265" s="160" customFormat="1" x14ac:dyDescent="0.3"/>
    <row r="2266" s="160" customFormat="1" x14ac:dyDescent="0.3"/>
    <row r="2267" s="160" customFormat="1" x14ac:dyDescent="0.3"/>
    <row r="2268" s="160" customFormat="1" x14ac:dyDescent="0.3"/>
    <row r="2269" s="160" customFormat="1" x14ac:dyDescent="0.3"/>
    <row r="2270" s="160" customFormat="1" x14ac:dyDescent="0.3"/>
    <row r="2271" s="160" customFormat="1" x14ac:dyDescent="0.3"/>
    <row r="2272" s="160" customFormat="1" x14ac:dyDescent="0.3"/>
    <row r="2273" s="160" customFormat="1" x14ac:dyDescent="0.3"/>
    <row r="2274" s="160" customFormat="1" x14ac:dyDescent="0.3"/>
    <row r="2275" s="160" customFormat="1" x14ac:dyDescent="0.3"/>
    <row r="2276" s="160" customFormat="1" x14ac:dyDescent="0.3"/>
    <row r="2277" s="160" customFormat="1" x14ac:dyDescent="0.3"/>
    <row r="2278" s="160" customFormat="1" x14ac:dyDescent="0.3"/>
    <row r="2279" s="160" customFormat="1" x14ac:dyDescent="0.3"/>
    <row r="2280" s="160" customFormat="1" x14ac:dyDescent="0.3"/>
    <row r="2281" s="160" customFormat="1" x14ac:dyDescent="0.3"/>
    <row r="2282" s="160" customFormat="1" x14ac:dyDescent="0.3"/>
    <row r="2283" s="160" customFormat="1" x14ac:dyDescent="0.3"/>
    <row r="2284" s="160" customFormat="1" x14ac:dyDescent="0.3"/>
    <row r="2285" s="160" customFormat="1" x14ac:dyDescent="0.3"/>
    <row r="2286" s="160" customFormat="1" x14ac:dyDescent="0.3"/>
    <row r="2287" s="160" customFormat="1" x14ac:dyDescent="0.3"/>
    <row r="2288" s="160" customFormat="1" x14ac:dyDescent="0.3"/>
    <row r="2289" s="160" customFormat="1" x14ac:dyDescent="0.3"/>
    <row r="2290" s="160" customFormat="1" x14ac:dyDescent="0.3"/>
    <row r="2291" s="160" customFormat="1" x14ac:dyDescent="0.3"/>
    <row r="2292" s="160" customFormat="1" x14ac:dyDescent="0.3"/>
    <row r="2293" s="160" customFormat="1" x14ac:dyDescent="0.3"/>
    <row r="2294" s="160" customFormat="1" x14ac:dyDescent="0.3"/>
    <row r="2295" s="160" customFormat="1" x14ac:dyDescent="0.3"/>
    <row r="2296" s="160" customFormat="1" x14ac:dyDescent="0.3"/>
    <row r="2297" s="160" customFormat="1" x14ac:dyDescent="0.3"/>
    <row r="2298" s="160" customFormat="1" x14ac:dyDescent="0.3"/>
    <row r="2299" s="160" customFormat="1" x14ac:dyDescent="0.3"/>
    <row r="2300" s="160" customFormat="1" x14ac:dyDescent="0.3"/>
    <row r="2301" s="160" customFormat="1" x14ac:dyDescent="0.3"/>
    <row r="2302" s="160" customFormat="1" x14ac:dyDescent="0.3"/>
    <row r="2303" s="160" customFormat="1" x14ac:dyDescent="0.3"/>
    <row r="2304" s="160" customFormat="1" x14ac:dyDescent="0.3"/>
    <row r="2305" s="160" customFormat="1" x14ac:dyDescent="0.3"/>
    <row r="2306" s="160" customFormat="1" x14ac:dyDescent="0.3"/>
    <row r="2307" s="160" customFormat="1" x14ac:dyDescent="0.3"/>
    <row r="2308" s="160" customFormat="1" x14ac:dyDescent="0.3"/>
    <row r="2309" s="160" customFormat="1" x14ac:dyDescent="0.3"/>
    <row r="2310" s="160" customFormat="1" x14ac:dyDescent="0.3"/>
    <row r="2311" s="160" customFormat="1" x14ac:dyDescent="0.3"/>
    <row r="2312" s="160" customFormat="1" x14ac:dyDescent="0.3"/>
    <row r="2313" s="160" customFormat="1" x14ac:dyDescent="0.3"/>
    <row r="2314" s="160" customFormat="1" x14ac:dyDescent="0.3"/>
    <row r="2315" s="160" customFormat="1" x14ac:dyDescent="0.3"/>
    <row r="2316" s="160" customFormat="1" x14ac:dyDescent="0.3"/>
    <row r="2317" s="160" customFormat="1" x14ac:dyDescent="0.3"/>
    <row r="2318" s="160" customFormat="1" x14ac:dyDescent="0.3"/>
    <row r="2319" s="160" customFormat="1" x14ac:dyDescent="0.3"/>
    <row r="2320" s="160" customFormat="1" x14ac:dyDescent="0.3"/>
    <row r="2321" s="160" customFormat="1" x14ac:dyDescent="0.3"/>
    <row r="2322" s="160" customFormat="1" x14ac:dyDescent="0.3"/>
    <row r="2323" s="160" customFormat="1" x14ac:dyDescent="0.3"/>
    <row r="2324" s="160" customFormat="1" x14ac:dyDescent="0.3"/>
    <row r="2325" s="160" customFormat="1" x14ac:dyDescent="0.3"/>
    <row r="2326" s="160" customFormat="1" x14ac:dyDescent="0.3"/>
    <row r="2327" s="160" customFormat="1" x14ac:dyDescent="0.3"/>
    <row r="2328" s="160" customFormat="1" x14ac:dyDescent="0.3"/>
    <row r="2329" s="160" customFormat="1" x14ac:dyDescent="0.3"/>
    <row r="2330" s="160" customFormat="1" x14ac:dyDescent="0.3"/>
    <row r="2331" s="160" customFormat="1" x14ac:dyDescent="0.3"/>
    <row r="2332" s="160" customFormat="1" x14ac:dyDescent="0.3"/>
    <row r="2333" s="160" customFormat="1" x14ac:dyDescent="0.3"/>
    <row r="2334" s="160" customFormat="1" x14ac:dyDescent="0.3"/>
    <row r="2335" s="160" customFormat="1" x14ac:dyDescent="0.3"/>
    <row r="2336" s="160" customFormat="1" x14ac:dyDescent="0.3"/>
    <row r="2337" s="160" customFormat="1" x14ac:dyDescent="0.3"/>
    <row r="2338" s="160" customFormat="1" x14ac:dyDescent="0.3"/>
    <row r="2339" s="160" customFormat="1" x14ac:dyDescent="0.3"/>
    <row r="2340" s="160" customFormat="1" x14ac:dyDescent="0.3"/>
    <row r="2341" s="160" customFormat="1" x14ac:dyDescent="0.3"/>
    <row r="2342" s="160" customFormat="1" x14ac:dyDescent="0.3"/>
    <row r="2343" s="160" customFormat="1" x14ac:dyDescent="0.3"/>
    <row r="2344" s="160" customFormat="1" x14ac:dyDescent="0.3"/>
    <row r="2345" s="160" customFormat="1" x14ac:dyDescent="0.3"/>
    <row r="2346" s="160" customFormat="1" x14ac:dyDescent="0.3"/>
    <row r="2347" s="160" customFormat="1" x14ac:dyDescent="0.3"/>
    <row r="2348" s="160" customFormat="1" x14ac:dyDescent="0.3"/>
    <row r="2349" s="160" customFormat="1" x14ac:dyDescent="0.3"/>
    <row r="2350" s="160" customFormat="1" x14ac:dyDescent="0.3"/>
    <row r="2351" s="160" customFormat="1" x14ac:dyDescent="0.3"/>
    <row r="2352" s="160" customFormat="1" x14ac:dyDescent="0.3"/>
    <row r="2353" s="160" customFormat="1" x14ac:dyDescent="0.3"/>
    <row r="2354" s="160" customFormat="1" x14ac:dyDescent="0.3"/>
    <row r="2355" s="160" customFormat="1" x14ac:dyDescent="0.3"/>
    <row r="2356" s="160" customFormat="1" x14ac:dyDescent="0.3"/>
    <row r="2357" s="160" customFormat="1" x14ac:dyDescent="0.3"/>
    <row r="2358" s="160" customFormat="1" x14ac:dyDescent="0.3"/>
    <row r="2359" s="160" customFormat="1" x14ac:dyDescent="0.3"/>
    <row r="2360" s="160" customFormat="1" x14ac:dyDescent="0.3"/>
    <row r="2361" s="160" customFormat="1" x14ac:dyDescent="0.3"/>
    <row r="2362" s="160" customFormat="1" x14ac:dyDescent="0.3"/>
    <row r="2363" s="160" customFormat="1" x14ac:dyDescent="0.3"/>
    <row r="2364" s="160" customFormat="1" x14ac:dyDescent="0.3"/>
    <row r="2365" s="160" customFormat="1" x14ac:dyDescent="0.3"/>
    <row r="2366" s="160" customFormat="1" x14ac:dyDescent="0.3"/>
    <row r="2367" s="160" customFormat="1" x14ac:dyDescent="0.3"/>
    <row r="2368" s="160" customFormat="1" x14ac:dyDescent="0.3"/>
    <row r="2369" s="160" customFormat="1" x14ac:dyDescent="0.3"/>
    <row r="2370" s="160" customFormat="1" x14ac:dyDescent="0.3"/>
    <row r="2371" s="160" customFormat="1" x14ac:dyDescent="0.3"/>
    <row r="2372" s="160" customFormat="1" x14ac:dyDescent="0.3"/>
    <row r="2373" s="160" customFormat="1" x14ac:dyDescent="0.3"/>
    <row r="2374" s="160" customFormat="1" x14ac:dyDescent="0.3"/>
    <row r="2375" s="160" customFormat="1" x14ac:dyDescent="0.3"/>
    <row r="2376" s="160" customFormat="1" x14ac:dyDescent="0.3"/>
    <row r="2377" s="160" customFormat="1" x14ac:dyDescent="0.3"/>
    <row r="2378" s="160" customFormat="1" x14ac:dyDescent="0.3"/>
    <row r="2379" s="160" customFormat="1" x14ac:dyDescent="0.3"/>
    <row r="2380" s="160" customFormat="1" x14ac:dyDescent="0.3"/>
    <row r="2381" s="160" customFormat="1" x14ac:dyDescent="0.3"/>
    <row r="2382" s="160" customFormat="1" x14ac:dyDescent="0.3"/>
    <row r="2383" s="160" customFormat="1" x14ac:dyDescent="0.3"/>
    <row r="2384" s="160" customFormat="1" x14ac:dyDescent="0.3"/>
    <row r="2385" s="160" customFormat="1" x14ac:dyDescent="0.3"/>
    <row r="2386" s="160" customFormat="1" x14ac:dyDescent="0.3"/>
    <row r="2387" s="160" customFormat="1" x14ac:dyDescent="0.3"/>
    <row r="2388" s="160" customFormat="1" x14ac:dyDescent="0.3"/>
    <row r="2389" s="160" customFormat="1" x14ac:dyDescent="0.3"/>
    <row r="2390" s="160" customFormat="1" x14ac:dyDescent="0.3"/>
    <row r="2391" s="160" customFormat="1" x14ac:dyDescent="0.3"/>
    <row r="2392" s="160" customFormat="1" x14ac:dyDescent="0.3"/>
    <row r="2393" s="160" customFormat="1" x14ac:dyDescent="0.3"/>
    <row r="2394" s="160" customFormat="1" x14ac:dyDescent="0.3"/>
    <row r="2395" s="160" customFormat="1" x14ac:dyDescent="0.3"/>
    <row r="2396" s="160" customFormat="1" x14ac:dyDescent="0.3"/>
    <row r="2397" s="160" customFormat="1" x14ac:dyDescent="0.3"/>
    <row r="2398" s="160" customFormat="1" x14ac:dyDescent="0.3"/>
    <row r="2399" s="160" customFormat="1" x14ac:dyDescent="0.3"/>
    <row r="2400" s="160" customFormat="1" x14ac:dyDescent="0.3"/>
    <row r="2401" s="160" customFormat="1" x14ac:dyDescent="0.3"/>
    <row r="2402" s="160" customFormat="1" x14ac:dyDescent="0.3"/>
    <row r="2403" s="160" customFormat="1" x14ac:dyDescent="0.3"/>
    <row r="2404" s="160" customFormat="1" x14ac:dyDescent="0.3"/>
    <row r="2405" s="160" customFormat="1" x14ac:dyDescent="0.3"/>
    <row r="2406" s="160" customFormat="1" x14ac:dyDescent="0.3"/>
    <row r="2407" s="160" customFormat="1" x14ac:dyDescent="0.3"/>
    <row r="2408" s="160" customFormat="1" x14ac:dyDescent="0.3"/>
    <row r="2409" s="160" customFormat="1" x14ac:dyDescent="0.3"/>
    <row r="2410" s="160" customFormat="1" x14ac:dyDescent="0.3"/>
    <row r="2411" s="160" customFormat="1" x14ac:dyDescent="0.3"/>
    <row r="2412" s="160" customFormat="1" x14ac:dyDescent="0.3"/>
    <row r="2413" s="160" customFormat="1" x14ac:dyDescent="0.3"/>
    <row r="2414" s="160" customFormat="1" x14ac:dyDescent="0.3"/>
    <row r="2415" s="160" customFormat="1" x14ac:dyDescent="0.3"/>
    <row r="2416" s="160" customFormat="1" x14ac:dyDescent="0.3"/>
    <row r="2417" s="160" customFormat="1" x14ac:dyDescent="0.3"/>
    <row r="2418" s="160" customFormat="1" x14ac:dyDescent="0.3"/>
    <row r="2419" s="160" customFormat="1" x14ac:dyDescent="0.3"/>
    <row r="2420" s="160" customFormat="1" x14ac:dyDescent="0.3"/>
    <row r="2421" s="160" customFormat="1" x14ac:dyDescent="0.3"/>
    <row r="2422" s="160" customFormat="1" x14ac:dyDescent="0.3"/>
    <row r="2423" s="160" customFormat="1" x14ac:dyDescent="0.3"/>
    <row r="2424" s="160" customFormat="1" x14ac:dyDescent="0.3"/>
    <row r="2425" s="160" customFormat="1" x14ac:dyDescent="0.3"/>
    <row r="2426" s="160" customFormat="1" x14ac:dyDescent="0.3"/>
    <row r="2427" s="160" customFormat="1" x14ac:dyDescent="0.3"/>
    <row r="2428" s="160" customFormat="1" x14ac:dyDescent="0.3"/>
    <row r="2429" s="160" customFormat="1" x14ac:dyDescent="0.3"/>
    <row r="2430" s="160" customFormat="1" x14ac:dyDescent="0.3"/>
    <row r="2431" s="160" customFormat="1" x14ac:dyDescent="0.3"/>
    <row r="2432" s="160" customFormat="1" x14ac:dyDescent="0.3"/>
    <row r="2433" s="160" customFormat="1" x14ac:dyDescent="0.3"/>
    <row r="2434" s="160" customFormat="1" x14ac:dyDescent="0.3"/>
    <row r="2435" s="160" customFormat="1" x14ac:dyDescent="0.3"/>
    <row r="2436" s="160" customFormat="1" x14ac:dyDescent="0.3"/>
    <row r="2437" s="160" customFormat="1" x14ac:dyDescent="0.3"/>
    <row r="2438" s="160" customFormat="1" x14ac:dyDescent="0.3"/>
    <row r="2439" s="160" customFormat="1" x14ac:dyDescent="0.3"/>
    <row r="2440" s="160" customFormat="1" x14ac:dyDescent="0.3"/>
    <row r="2441" s="160" customFormat="1" x14ac:dyDescent="0.3"/>
    <row r="2442" s="160" customFormat="1" x14ac:dyDescent="0.3"/>
    <row r="2443" s="160" customFormat="1" x14ac:dyDescent="0.3"/>
    <row r="2444" s="160" customFormat="1" x14ac:dyDescent="0.3"/>
    <row r="2445" s="160" customFormat="1" x14ac:dyDescent="0.3"/>
    <row r="2446" s="160" customFormat="1" x14ac:dyDescent="0.3"/>
    <row r="2447" s="160" customFormat="1" x14ac:dyDescent="0.3"/>
    <row r="2448" s="160" customFormat="1" x14ac:dyDescent="0.3"/>
    <row r="2449" s="160" customFormat="1" x14ac:dyDescent="0.3"/>
    <row r="2450" s="160" customFormat="1" x14ac:dyDescent="0.3"/>
    <row r="2451" s="160" customFormat="1" x14ac:dyDescent="0.3"/>
    <row r="2452" s="160" customFormat="1" x14ac:dyDescent="0.3"/>
    <row r="2453" s="160" customFormat="1" x14ac:dyDescent="0.3"/>
    <row r="2454" s="160" customFormat="1" x14ac:dyDescent="0.3"/>
    <row r="2455" s="160" customFormat="1" x14ac:dyDescent="0.3"/>
    <row r="2456" s="160" customFormat="1" x14ac:dyDescent="0.3"/>
    <row r="2457" s="160" customFormat="1" x14ac:dyDescent="0.3"/>
    <row r="2458" s="160" customFormat="1" x14ac:dyDescent="0.3"/>
    <row r="2459" s="160" customFormat="1" x14ac:dyDescent="0.3"/>
    <row r="2460" s="160" customFormat="1" x14ac:dyDescent="0.3"/>
    <row r="2461" s="160" customFormat="1" x14ac:dyDescent="0.3"/>
    <row r="2462" s="160" customFormat="1" x14ac:dyDescent="0.3"/>
    <row r="2463" s="160" customFormat="1" x14ac:dyDescent="0.3"/>
    <row r="2464" s="160" customFormat="1" x14ac:dyDescent="0.3"/>
    <row r="2465" s="160" customFormat="1" x14ac:dyDescent="0.3"/>
    <row r="2466" s="160" customFormat="1" x14ac:dyDescent="0.3"/>
    <row r="2467" s="160" customFormat="1" x14ac:dyDescent="0.3"/>
    <row r="2468" s="160" customFormat="1" x14ac:dyDescent="0.3"/>
    <row r="2469" s="160" customFormat="1" x14ac:dyDescent="0.3"/>
    <row r="2470" s="160" customFormat="1" x14ac:dyDescent="0.3"/>
    <row r="2471" s="160" customFormat="1" x14ac:dyDescent="0.3"/>
    <row r="2472" s="160" customFormat="1" x14ac:dyDescent="0.3"/>
    <row r="2473" s="160" customFormat="1" x14ac:dyDescent="0.3"/>
    <row r="2474" s="160" customFormat="1" x14ac:dyDescent="0.3"/>
    <row r="2475" s="160" customFormat="1" x14ac:dyDescent="0.3"/>
    <row r="2476" s="160" customFormat="1" x14ac:dyDescent="0.3"/>
    <row r="2477" s="160" customFormat="1" x14ac:dyDescent="0.3"/>
    <row r="2478" s="160" customFormat="1" x14ac:dyDescent="0.3"/>
    <row r="2479" s="160" customFormat="1" x14ac:dyDescent="0.3"/>
    <row r="2480" s="160" customFormat="1" x14ac:dyDescent="0.3"/>
    <row r="2481" s="160" customFormat="1" x14ac:dyDescent="0.3"/>
    <row r="2482" s="160" customFormat="1" x14ac:dyDescent="0.3"/>
    <row r="2483" s="160" customFormat="1" x14ac:dyDescent="0.3"/>
    <row r="2484" s="160" customFormat="1" x14ac:dyDescent="0.3"/>
    <row r="2485" s="160" customFormat="1" x14ac:dyDescent="0.3"/>
    <row r="2486" s="160" customFormat="1" x14ac:dyDescent="0.3"/>
    <row r="2487" s="160" customFormat="1" x14ac:dyDescent="0.3"/>
    <row r="2488" s="160" customFormat="1" x14ac:dyDescent="0.3"/>
    <row r="2489" s="160" customFormat="1" x14ac:dyDescent="0.3"/>
    <row r="2490" s="160" customFormat="1" x14ac:dyDescent="0.3"/>
    <row r="2491" s="160" customFormat="1" x14ac:dyDescent="0.3"/>
    <row r="2492" s="160" customFormat="1" x14ac:dyDescent="0.3"/>
    <row r="2493" s="160" customFormat="1" x14ac:dyDescent="0.3"/>
    <row r="2494" s="160" customFormat="1" x14ac:dyDescent="0.3"/>
    <row r="2495" s="160" customFormat="1" x14ac:dyDescent="0.3"/>
    <row r="2496" s="160" customFormat="1" x14ac:dyDescent="0.3"/>
    <row r="2497" s="160" customFormat="1" x14ac:dyDescent="0.3"/>
    <row r="2498" s="160" customFormat="1" x14ac:dyDescent="0.3"/>
    <row r="2499" s="160" customFormat="1" x14ac:dyDescent="0.3"/>
    <row r="2500" s="160" customFormat="1" x14ac:dyDescent="0.3"/>
    <row r="2501" s="160" customFormat="1" x14ac:dyDescent="0.3"/>
    <row r="2502" s="160" customFormat="1" x14ac:dyDescent="0.3"/>
    <row r="2503" s="160" customFormat="1" x14ac:dyDescent="0.3"/>
    <row r="2504" s="160" customFormat="1" x14ac:dyDescent="0.3"/>
    <row r="2505" s="160" customFormat="1" x14ac:dyDescent="0.3"/>
    <row r="2506" s="160" customFormat="1" x14ac:dyDescent="0.3"/>
    <row r="2507" s="160" customFormat="1" x14ac:dyDescent="0.3"/>
    <row r="2508" s="160" customFormat="1" x14ac:dyDescent="0.3"/>
    <row r="2509" s="160" customFormat="1" x14ac:dyDescent="0.3"/>
    <row r="2510" s="160" customFormat="1" x14ac:dyDescent="0.3"/>
    <row r="2511" s="160" customFormat="1" x14ac:dyDescent="0.3"/>
    <row r="2512" s="160" customFormat="1" x14ac:dyDescent="0.3"/>
    <row r="2513" s="160" customFormat="1" x14ac:dyDescent="0.3"/>
    <row r="2514" s="160" customFormat="1" x14ac:dyDescent="0.3"/>
    <row r="2515" s="160" customFormat="1" x14ac:dyDescent="0.3"/>
    <row r="2516" s="160" customFormat="1" x14ac:dyDescent="0.3"/>
    <row r="2517" s="160" customFormat="1" x14ac:dyDescent="0.3"/>
    <row r="2518" s="160" customFormat="1" x14ac:dyDescent="0.3"/>
    <row r="2519" s="160" customFormat="1" x14ac:dyDescent="0.3"/>
    <row r="2520" s="160" customFormat="1" x14ac:dyDescent="0.3"/>
    <row r="2521" s="160" customFormat="1" x14ac:dyDescent="0.3"/>
    <row r="2522" s="160" customFormat="1" x14ac:dyDescent="0.3"/>
    <row r="2523" s="160" customFormat="1" x14ac:dyDescent="0.3"/>
    <row r="2524" s="160" customFormat="1" x14ac:dyDescent="0.3"/>
    <row r="2525" s="160" customFormat="1" x14ac:dyDescent="0.3"/>
    <row r="2526" s="160" customFormat="1" x14ac:dyDescent="0.3"/>
    <row r="2527" s="160" customFormat="1" x14ac:dyDescent="0.3"/>
    <row r="2528" s="160" customFormat="1" x14ac:dyDescent="0.3"/>
    <row r="2529" s="160" customFormat="1" x14ac:dyDescent="0.3"/>
    <row r="2530" s="160" customFormat="1" x14ac:dyDescent="0.3"/>
    <row r="2531" s="160" customFormat="1" x14ac:dyDescent="0.3"/>
    <row r="2532" s="160" customFormat="1" x14ac:dyDescent="0.3"/>
    <row r="2533" s="160" customFormat="1" x14ac:dyDescent="0.3"/>
    <row r="2534" s="160" customFormat="1" x14ac:dyDescent="0.3"/>
    <row r="2535" s="160" customFormat="1" x14ac:dyDescent="0.3"/>
    <row r="2536" s="160" customFormat="1" x14ac:dyDescent="0.3"/>
    <row r="2537" s="160" customFormat="1" x14ac:dyDescent="0.3"/>
    <row r="2538" s="160" customFormat="1" x14ac:dyDescent="0.3"/>
    <row r="2539" s="160" customFormat="1" x14ac:dyDescent="0.3"/>
    <row r="2540" s="160" customFormat="1" x14ac:dyDescent="0.3"/>
    <row r="2541" s="160" customFormat="1" x14ac:dyDescent="0.3"/>
    <row r="2542" s="160" customFormat="1" x14ac:dyDescent="0.3"/>
    <row r="2543" s="160" customFormat="1" x14ac:dyDescent="0.3"/>
    <row r="2544" s="160" customFormat="1" x14ac:dyDescent="0.3"/>
    <row r="2545" s="160" customFormat="1" x14ac:dyDescent="0.3"/>
    <row r="2546" s="160" customFormat="1" x14ac:dyDescent="0.3"/>
    <row r="2547" s="160" customFormat="1" x14ac:dyDescent="0.3"/>
    <row r="2548" s="160" customFormat="1" x14ac:dyDescent="0.3"/>
    <row r="2549" s="160" customFormat="1" x14ac:dyDescent="0.3"/>
    <row r="2550" s="160" customFormat="1" x14ac:dyDescent="0.3"/>
    <row r="2551" s="160" customFormat="1" x14ac:dyDescent="0.3"/>
    <row r="2552" s="160" customFormat="1" x14ac:dyDescent="0.3"/>
    <row r="2553" s="160" customFormat="1" x14ac:dyDescent="0.3"/>
    <row r="2554" s="160" customFormat="1" x14ac:dyDescent="0.3"/>
    <row r="2555" s="160" customFormat="1" x14ac:dyDescent="0.3"/>
    <row r="2556" s="160" customFormat="1" x14ac:dyDescent="0.3"/>
    <row r="2557" s="160" customFormat="1" x14ac:dyDescent="0.3"/>
    <row r="2558" s="160" customFormat="1" x14ac:dyDescent="0.3"/>
    <row r="2559" s="160" customFormat="1" x14ac:dyDescent="0.3"/>
    <row r="2560" s="160" customFormat="1" x14ac:dyDescent="0.3"/>
    <row r="2561" s="160" customFormat="1" x14ac:dyDescent="0.3"/>
    <row r="2562" s="160" customFormat="1" x14ac:dyDescent="0.3"/>
    <row r="2563" s="160" customFormat="1" x14ac:dyDescent="0.3"/>
    <row r="2564" s="160" customFormat="1" x14ac:dyDescent="0.3"/>
    <row r="2565" s="160" customFormat="1" x14ac:dyDescent="0.3"/>
    <row r="2566" s="160" customFormat="1" x14ac:dyDescent="0.3"/>
    <row r="2567" s="160" customFormat="1" x14ac:dyDescent="0.3"/>
    <row r="2568" s="160" customFormat="1" x14ac:dyDescent="0.3"/>
    <row r="2569" s="160" customFormat="1" x14ac:dyDescent="0.3"/>
    <row r="2570" s="160" customFormat="1" x14ac:dyDescent="0.3"/>
    <row r="2571" s="160" customFormat="1" x14ac:dyDescent="0.3"/>
    <row r="2572" s="160" customFormat="1" x14ac:dyDescent="0.3"/>
    <row r="2573" s="160" customFormat="1" x14ac:dyDescent="0.3"/>
    <row r="2574" s="160" customFormat="1" x14ac:dyDescent="0.3"/>
    <row r="2575" s="160" customFormat="1" x14ac:dyDescent="0.3"/>
    <row r="2576" s="160" customFormat="1" x14ac:dyDescent="0.3"/>
    <row r="2577" s="160" customFormat="1" x14ac:dyDescent="0.3"/>
    <row r="2578" s="160" customFormat="1" x14ac:dyDescent="0.3"/>
    <row r="2579" s="160" customFormat="1" x14ac:dyDescent="0.3"/>
    <row r="2580" s="160" customFormat="1" x14ac:dyDescent="0.3"/>
    <row r="2581" s="160" customFormat="1" x14ac:dyDescent="0.3"/>
    <row r="2582" s="160" customFormat="1" x14ac:dyDescent="0.3"/>
    <row r="2583" s="160" customFormat="1" x14ac:dyDescent="0.3"/>
    <row r="2584" s="160" customFormat="1" x14ac:dyDescent="0.3"/>
    <row r="2585" s="160" customFormat="1" x14ac:dyDescent="0.3"/>
    <row r="2586" s="160" customFormat="1" x14ac:dyDescent="0.3"/>
    <row r="2587" s="160" customFormat="1" x14ac:dyDescent="0.3"/>
    <row r="2588" s="160" customFormat="1" x14ac:dyDescent="0.3"/>
    <row r="2589" s="160" customFormat="1" x14ac:dyDescent="0.3"/>
    <row r="2590" s="160" customFormat="1" x14ac:dyDescent="0.3"/>
    <row r="2591" s="160" customFormat="1" x14ac:dyDescent="0.3"/>
    <row r="2592" s="160" customFormat="1" x14ac:dyDescent="0.3"/>
    <row r="2593" s="160" customFormat="1" x14ac:dyDescent="0.3"/>
    <row r="2594" s="160" customFormat="1" x14ac:dyDescent="0.3"/>
    <row r="2595" s="160" customFormat="1" x14ac:dyDescent="0.3"/>
    <row r="2596" s="160" customFormat="1" x14ac:dyDescent="0.3"/>
    <row r="2597" s="160" customFormat="1" x14ac:dyDescent="0.3"/>
    <row r="2598" s="160" customFormat="1" x14ac:dyDescent="0.3"/>
    <row r="2599" s="160" customFormat="1" x14ac:dyDescent="0.3"/>
    <row r="2600" s="160" customFormat="1" x14ac:dyDescent="0.3"/>
    <row r="2601" s="160" customFormat="1" x14ac:dyDescent="0.3"/>
    <row r="2602" s="160" customFormat="1" x14ac:dyDescent="0.3"/>
    <row r="2603" s="160" customFormat="1" x14ac:dyDescent="0.3"/>
    <row r="2604" s="160" customFormat="1" x14ac:dyDescent="0.3"/>
    <row r="2605" s="160" customFormat="1" x14ac:dyDescent="0.3"/>
    <row r="2606" s="160" customFormat="1" x14ac:dyDescent="0.3"/>
    <row r="2607" s="160" customFormat="1" x14ac:dyDescent="0.3"/>
    <row r="2608" s="160" customFormat="1" x14ac:dyDescent="0.3"/>
    <row r="2609" s="160" customFormat="1" x14ac:dyDescent="0.3"/>
    <row r="2610" s="160" customFormat="1" x14ac:dyDescent="0.3"/>
    <row r="2611" s="160" customFormat="1" x14ac:dyDescent="0.3"/>
    <row r="2612" s="160" customFormat="1" x14ac:dyDescent="0.3"/>
    <row r="2613" s="160" customFormat="1" x14ac:dyDescent="0.3"/>
    <row r="2614" s="160" customFormat="1" x14ac:dyDescent="0.3"/>
    <row r="2615" s="160" customFormat="1" x14ac:dyDescent="0.3"/>
    <row r="2616" s="160" customFormat="1" x14ac:dyDescent="0.3"/>
    <row r="2617" s="160" customFormat="1" x14ac:dyDescent="0.3"/>
    <row r="2618" s="160" customFormat="1" x14ac:dyDescent="0.3"/>
    <row r="2619" s="160" customFormat="1" x14ac:dyDescent="0.3"/>
    <row r="2620" s="160" customFormat="1" x14ac:dyDescent="0.3"/>
    <row r="2621" s="160" customFormat="1" x14ac:dyDescent="0.3"/>
    <row r="2622" s="160" customFormat="1" x14ac:dyDescent="0.3"/>
    <row r="2623" s="160" customFormat="1" x14ac:dyDescent="0.3"/>
    <row r="2624" s="160" customFormat="1" x14ac:dyDescent="0.3"/>
    <row r="2625" s="160" customFormat="1" x14ac:dyDescent="0.3"/>
    <row r="2626" s="160" customFormat="1" x14ac:dyDescent="0.3"/>
    <row r="2627" s="160" customFormat="1" x14ac:dyDescent="0.3"/>
    <row r="2628" s="160" customFormat="1" x14ac:dyDescent="0.3"/>
    <row r="2629" s="160" customFormat="1" x14ac:dyDescent="0.3"/>
    <row r="2630" s="160" customFormat="1" x14ac:dyDescent="0.3"/>
    <row r="2631" s="160" customFormat="1" x14ac:dyDescent="0.3"/>
    <row r="2632" s="160" customFormat="1" x14ac:dyDescent="0.3"/>
    <row r="2633" s="160" customFormat="1" x14ac:dyDescent="0.3"/>
    <row r="2634" s="160" customFormat="1" x14ac:dyDescent="0.3"/>
    <row r="2635" s="160" customFormat="1" x14ac:dyDescent="0.3"/>
    <row r="2636" s="160" customFormat="1" x14ac:dyDescent="0.3"/>
    <row r="2637" s="160" customFormat="1" x14ac:dyDescent="0.3"/>
    <row r="2638" s="160" customFormat="1" x14ac:dyDescent="0.3"/>
    <row r="2639" s="160" customFormat="1" x14ac:dyDescent="0.3"/>
    <row r="2640" s="160" customFormat="1" x14ac:dyDescent="0.3"/>
    <row r="2641" s="160" customFormat="1" x14ac:dyDescent="0.3"/>
    <row r="2642" s="160" customFormat="1" x14ac:dyDescent="0.3"/>
    <row r="2643" s="160" customFormat="1" x14ac:dyDescent="0.3"/>
    <row r="2644" s="160" customFormat="1" x14ac:dyDescent="0.3"/>
    <row r="2645" s="160" customFormat="1" x14ac:dyDescent="0.3"/>
    <row r="2646" s="160" customFormat="1" x14ac:dyDescent="0.3"/>
    <row r="2647" s="160" customFormat="1" x14ac:dyDescent="0.3"/>
    <row r="2648" s="160" customFormat="1" x14ac:dyDescent="0.3"/>
    <row r="2649" s="160" customFormat="1" x14ac:dyDescent="0.3"/>
    <row r="2650" s="160" customFormat="1" x14ac:dyDescent="0.3"/>
    <row r="2651" s="160" customFormat="1" x14ac:dyDescent="0.3"/>
    <row r="2652" s="160" customFormat="1" x14ac:dyDescent="0.3"/>
    <row r="2653" s="160" customFormat="1" x14ac:dyDescent="0.3"/>
    <row r="2654" s="160" customFormat="1" x14ac:dyDescent="0.3"/>
    <row r="2655" s="160" customFormat="1" x14ac:dyDescent="0.3"/>
    <row r="2656" s="160" customFormat="1" x14ac:dyDescent="0.3"/>
    <row r="2657" s="160" customFormat="1" x14ac:dyDescent="0.3"/>
    <row r="2658" s="160" customFormat="1" x14ac:dyDescent="0.3"/>
    <row r="2659" s="160" customFormat="1" x14ac:dyDescent="0.3"/>
    <row r="2660" s="160" customFormat="1" x14ac:dyDescent="0.3"/>
    <row r="2661" s="160" customFormat="1" x14ac:dyDescent="0.3"/>
    <row r="2662" s="160" customFormat="1" x14ac:dyDescent="0.3"/>
    <row r="2663" s="160" customFormat="1" x14ac:dyDescent="0.3"/>
    <row r="2664" s="160" customFormat="1" x14ac:dyDescent="0.3"/>
    <row r="2665" s="160" customFormat="1" x14ac:dyDescent="0.3"/>
    <row r="2666" s="160" customFormat="1" x14ac:dyDescent="0.3"/>
    <row r="2667" s="160" customFormat="1" x14ac:dyDescent="0.3"/>
    <row r="2668" s="160" customFormat="1" x14ac:dyDescent="0.3"/>
    <row r="2669" s="160" customFormat="1" x14ac:dyDescent="0.3"/>
    <row r="2670" s="160" customFormat="1" x14ac:dyDescent="0.3"/>
    <row r="2671" s="160" customFormat="1" x14ac:dyDescent="0.3"/>
    <row r="2672" s="160" customFormat="1" x14ac:dyDescent="0.3"/>
    <row r="2673" s="160" customFormat="1" x14ac:dyDescent="0.3"/>
    <row r="2674" s="160" customFormat="1" x14ac:dyDescent="0.3"/>
    <row r="2675" s="160" customFormat="1" x14ac:dyDescent="0.3"/>
    <row r="2676" s="160" customFormat="1" x14ac:dyDescent="0.3"/>
    <row r="2677" s="160" customFormat="1" x14ac:dyDescent="0.3"/>
    <row r="2678" s="160" customFormat="1" x14ac:dyDescent="0.3"/>
    <row r="2679" s="160" customFormat="1" x14ac:dyDescent="0.3"/>
    <row r="2680" s="160" customFormat="1" x14ac:dyDescent="0.3"/>
    <row r="2681" s="160" customFormat="1" x14ac:dyDescent="0.3"/>
    <row r="2682" s="160" customFormat="1" x14ac:dyDescent="0.3"/>
    <row r="2683" s="160" customFormat="1" x14ac:dyDescent="0.3"/>
    <row r="2684" s="160" customFormat="1" x14ac:dyDescent="0.3"/>
    <row r="2685" s="160" customFormat="1" x14ac:dyDescent="0.3"/>
    <row r="2686" s="160" customFormat="1" x14ac:dyDescent="0.3"/>
    <row r="2687" s="160" customFormat="1" x14ac:dyDescent="0.3"/>
    <row r="2688" s="160" customFormat="1" x14ac:dyDescent="0.3"/>
    <row r="2689" s="160" customFormat="1" x14ac:dyDescent="0.3"/>
    <row r="2690" s="160" customFormat="1" x14ac:dyDescent="0.3"/>
    <row r="2691" s="160" customFormat="1" x14ac:dyDescent="0.3"/>
    <row r="2692" s="160" customFormat="1" x14ac:dyDescent="0.3"/>
    <row r="2693" s="160" customFormat="1" x14ac:dyDescent="0.3"/>
    <row r="2694" s="160" customFormat="1" x14ac:dyDescent="0.3"/>
    <row r="2695" s="160" customFormat="1" x14ac:dyDescent="0.3"/>
    <row r="2696" s="160" customFormat="1" x14ac:dyDescent="0.3"/>
    <row r="2697" s="160" customFormat="1" x14ac:dyDescent="0.3"/>
    <row r="2698" s="160" customFormat="1" x14ac:dyDescent="0.3"/>
    <row r="2699" s="160" customFormat="1" x14ac:dyDescent="0.3"/>
    <row r="2700" s="160" customFormat="1" x14ac:dyDescent="0.3"/>
    <row r="2701" s="160" customFormat="1" x14ac:dyDescent="0.3"/>
    <row r="2702" s="160" customFormat="1" x14ac:dyDescent="0.3"/>
    <row r="2703" s="160" customFormat="1" x14ac:dyDescent="0.3"/>
    <row r="2704" s="160" customFormat="1" x14ac:dyDescent="0.3"/>
    <row r="2705" s="160" customFormat="1" x14ac:dyDescent="0.3"/>
    <row r="2706" s="160" customFormat="1" x14ac:dyDescent="0.3"/>
    <row r="2707" s="160" customFormat="1" x14ac:dyDescent="0.3"/>
    <row r="2708" s="160" customFormat="1" x14ac:dyDescent="0.3"/>
    <row r="2709" s="160" customFormat="1" x14ac:dyDescent="0.3"/>
    <row r="2710" s="160" customFormat="1" x14ac:dyDescent="0.3"/>
    <row r="2711" s="160" customFormat="1" x14ac:dyDescent="0.3"/>
    <row r="2712" s="160" customFormat="1" x14ac:dyDescent="0.3"/>
    <row r="2713" s="160" customFormat="1" x14ac:dyDescent="0.3"/>
    <row r="2714" s="160" customFormat="1" x14ac:dyDescent="0.3"/>
    <row r="2715" s="160" customFormat="1" x14ac:dyDescent="0.3"/>
    <row r="2716" s="160" customFormat="1" x14ac:dyDescent="0.3"/>
    <row r="2717" s="160" customFormat="1" x14ac:dyDescent="0.3"/>
    <row r="2718" s="160" customFormat="1" x14ac:dyDescent="0.3"/>
    <row r="2719" s="160" customFormat="1" x14ac:dyDescent="0.3"/>
    <row r="2720" s="160" customFormat="1" x14ac:dyDescent="0.3"/>
    <row r="2721" s="160" customFormat="1" x14ac:dyDescent="0.3"/>
    <row r="2722" s="160" customFormat="1" x14ac:dyDescent="0.3"/>
    <row r="2723" s="160" customFormat="1" x14ac:dyDescent="0.3"/>
    <row r="2724" s="160" customFormat="1" x14ac:dyDescent="0.3"/>
    <row r="2725" s="160" customFormat="1" x14ac:dyDescent="0.3"/>
    <row r="2726" s="160" customFormat="1" x14ac:dyDescent="0.3"/>
    <row r="2727" s="160" customFormat="1" x14ac:dyDescent="0.3"/>
    <row r="2728" s="160" customFormat="1" x14ac:dyDescent="0.3"/>
    <row r="2729" s="160" customFormat="1" x14ac:dyDescent="0.3"/>
    <row r="2730" s="160" customFormat="1" x14ac:dyDescent="0.3"/>
    <row r="2731" s="160" customFormat="1" x14ac:dyDescent="0.3"/>
    <row r="2732" s="160" customFormat="1" x14ac:dyDescent="0.3"/>
    <row r="2733" s="160" customFormat="1" x14ac:dyDescent="0.3"/>
    <row r="2734" s="160" customFormat="1" x14ac:dyDescent="0.3"/>
    <row r="2735" s="160" customFormat="1" x14ac:dyDescent="0.3"/>
    <row r="2736" s="160" customFormat="1" x14ac:dyDescent="0.3"/>
    <row r="2737" s="160" customFormat="1" x14ac:dyDescent="0.3"/>
    <row r="2738" s="160" customFormat="1" x14ac:dyDescent="0.3"/>
    <row r="2739" s="160" customFormat="1" x14ac:dyDescent="0.3"/>
    <row r="2740" s="160" customFormat="1" x14ac:dyDescent="0.3"/>
    <row r="2741" s="160" customFormat="1" x14ac:dyDescent="0.3"/>
    <row r="2742" s="160" customFormat="1" x14ac:dyDescent="0.3"/>
    <row r="2743" s="160" customFormat="1" x14ac:dyDescent="0.3"/>
    <row r="2744" s="160" customFormat="1" x14ac:dyDescent="0.3"/>
    <row r="2745" s="160" customFormat="1" x14ac:dyDescent="0.3"/>
    <row r="2746" s="160" customFormat="1" x14ac:dyDescent="0.3"/>
    <row r="2747" s="160" customFormat="1" x14ac:dyDescent="0.3"/>
    <row r="2748" s="160" customFormat="1" x14ac:dyDescent="0.3"/>
    <row r="2749" s="160" customFormat="1" x14ac:dyDescent="0.3"/>
    <row r="2750" s="160" customFormat="1" x14ac:dyDescent="0.3"/>
    <row r="2751" s="160" customFormat="1" x14ac:dyDescent="0.3"/>
    <row r="2752" s="160" customFormat="1" x14ac:dyDescent="0.3"/>
    <row r="2753" s="160" customFormat="1" x14ac:dyDescent="0.3"/>
    <row r="2754" s="160" customFormat="1" x14ac:dyDescent="0.3"/>
    <row r="2755" s="160" customFormat="1" x14ac:dyDescent="0.3"/>
    <row r="2756" s="160" customFormat="1" x14ac:dyDescent="0.3"/>
    <row r="2757" s="160" customFormat="1" x14ac:dyDescent="0.3"/>
    <row r="2758" s="160" customFormat="1" x14ac:dyDescent="0.3"/>
    <row r="2759" s="160" customFormat="1" x14ac:dyDescent="0.3"/>
    <row r="2760" s="160" customFormat="1" x14ac:dyDescent="0.3"/>
    <row r="2761" s="160" customFormat="1" x14ac:dyDescent="0.3"/>
    <row r="2762" s="160" customFormat="1" x14ac:dyDescent="0.3"/>
    <row r="2763" s="160" customFormat="1" x14ac:dyDescent="0.3"/>
    <row r="2764" s="160" customFormat="1" x14ac:dyDescent="0.3"/>
    <row r="2765" s="160" customFormat="1" x14ac:dyDescent="0.3"/>
    <row r="2766" s="160" customFormat="1" x14ac:dyDescent="0.3"/>
    <row r="2767" s="160" customFormat="1" x14ac:dyDescent="0.3"/>
    <row r="2768" s="160" customFormat="1" x14ac:dyDescent="0.3"/>
    <row r="2769" s="160" customFormat="1" x14ac:dyDescent="0.3"/>
    <row r="2770" s="160" customFormat="1" x14ac:dyDescent="0.3"/>
    <row r="2771" s="160" customFormat="1" x14ac:dyDescent="0.3"/>
    <row r="2772" s="160" customFormat="1" x14ac:dyDescent="0.3"/>
    <row r="2773" s="160" customFormat="1" x14ac:dyDescent="0.3"/>
    <row r="2774" s="160" customFormat="1" x14ac:dyDescent="0.3"/>
    <row r="2775" s="160" customFormat="1" x14ac:dyDescent="0.3"/>
    <row r="2776" s="160" customFormat="1" x14ac:dyDescent="0.3"/>
    <row r="2777" s="160" customFormat="1" x14ac:dyDescent="0.3"/>
    <row r="2778" s="160" customFormat="1" x14ac:dyDescent="0.3"/>
    <row r="2779" s="160" customFormat="1" x14ac:dyDescent="0.3"/>
    <row r="2780" s="160" customFormat="1" x14ac:dyDescent="0.3"/>
    <row r="2781" s="160" customFormat="1" x14ac:dyDescent="0.3"/>
    <row r="2782" s="160" customFormat="1" x14ac:dyDescent="0.3"/>
    <row r="2783" s="160" customFormat="1" x14ac:dyDescent="0.3"/>
    <row r="2784" s="160" customFormat="1" x14ac:dyDescent="0.3"/>
    <row r="2785" s="160" customFormat="1" x14ac:dyDescent="0.3"/>
    <row r="2786" s="160" customFormat="1" x14ac:dyDescent="0.3"/>
    <row r="2787" s="160" customFormat="1" x14ac:dyDescent="0.3"/>
    <row r="2788" s="160" customFormat="1" x14ac:dyDescent="0.3"/>
    <row r="2789" s="160" customFormat="1" x14ac:dyDescent="0.3"/>
    <row r="2790" s="160" customFormat="1" x14ac:dyDescent="0.3"/>
    <row r="2791" s="160" customFormat="1" x14ac:dyDescent="0.3"/>
    <row r="2792" s="160" customFormat="1" x14ac:dyDescent="0.3"/>
    <row r="2793" s="160" customFormat="1" x14ac:dyDescent="0.3"/>
    <row r="2794" s="160" customFormat="1" x14ac:dyDescent="0.3"/>
    <row r="2795" s="160" customFormat="1" x14ac:dyDescent="0.3"/>
    <row r="2796" s="160" customFormat="1" x14ac:dyDescent="0.3"/>
    <row r="2797" s="160" customFormat="1" x14ac:dyDescent="0.3"/>
    <row r="2798" s="160" customFormat="1" x14ac:dyDescent="0.3"/>
    <row r="2799" s="160" customFormat="1" x14ac:dyDescent="0.3"/>
    <row r="2800" s="160" customFormat="1" x14ac:dyDescent="0.3"/>
    <row r="2801" s="160" customFormat="1" x14ac:dyDescent="0.3"/>
    <row r="2802" s="160" customFormat="1" x14ac:dyDescent="0.3"/>
    <row r="2803" s="160" customFormat="1" x14ac:dyDescent="0.3"/>
    <row r="2804" s="160" customFormat="1" x14ac:dyDescent="0.3"/>
    <row r="2805" s="160" customFormat="1" x14ac:dyDescent="0.3"/>
    <row r="2806" s="160" customFormat="1" x14ac:dyDescent="0.3"/>
    <row r="2807" s="160" customFormat="1" x14ac:dyDescent="0.3"/>
    <row r="2808" s="160" customFormat="1" x14ac:dyDescent="0.3"/>
    <row r="2809" s="160" customFormat="1" x14ac:dyDescent="0.3"/>
    <row r="2810" s="160" customFormat="1" x14ac:dyDescent="0.3"/>
    <row r="2811" s="160" customFormat="1" x14ac:dyDescent="0.3"/>
    <row r="2812" s="160" customFormat="1" x14ac:dyDescent="0.3"/>
    <row r="2813" s="160" customFormat="1" x14ac:dyDescent="0.3"/>
    <row r="2814" s="160" customFormat="1" x14ac:dyDescent="0.3"/>
    <row r="2815" s="160" customFormat="1" x14ac:dyDescent="0.3"/>
    <row r="2816" s="160" customFormat="1" x14ac:dyDescent="0.3"/>
    <row r="2817" s="160" customFormat="1" x14ac:dyDescent="0.3"/>
    <row r="2818" s="160" customFormat="1" x14ac:dyDescent="0.3"/>
    <row r="2819" s="160" customFormat="1" x14ac:dyDescent="0.3"/>
    <row r="2820" s="160" customFormat="1" x14ac:dyDescent="0.3"/>
    <row r="2821" s="160" customFormat="1" x14ac:dyDescent="0.3"/>
    <row r="2822" s="160" customFormat="1" x14ac:dyDescent="0.3"/>
    <row r="2823" s="160" customFormat="1" x14ac:dyDescent="0.3"/>
    <row r="2824" s="160" customFormat="1" x14ac:dyDescent="0.3"/>
    <row r="2825" s="160" customFormat="1" x14ac:dyDescent="0.3"/>
    <row r="2826" s="160" customFormat="1" x14ac:dyDescent="0.3"/>
    <row r="2827" s="160" customFormat="1" x14ac:dyDescent="0.3"/>
    <row r="2828" s="160" customFormat="1" x14ac:dyDescent="0.3"/>
    <row r="2829" s="160" customFormat="1" x14ac:dyDescent="0.3"/>
    <row r="2830" s="160" customFormat="1" x14ac:dyDescent="0.3"/>
    <row r="2831" s="160" customFormat="1" x14ac:dyDescent="0.3"/>
    <row r="2832" s="160" customFormat="1" x14ac:dyDescent="0.3"/>
    <row r="2833" s="160" customFormat="1" x14ac:dyDescent="0.3"/>
    <row r="2834" s="160" customFormat="1" x14ac:dyDescent="0.3"/>
    <row r="2835" s="160" customFormat="1" x14ac:dyDescent="0.3"/>
    <row r="2836" s="160" customFormat="1" x14ac:dyDescent="0.3"/>
    <row r="2837" s="160" customFormat="1" x14ac:dyDescent="0.3"/>
    <row r="2838" s="160" customFormat="1" x14ac:dyDescent="0.3"/>
    <row r="2839" s="160" customFormat="1" x14ac:dyDescent="0.3"/>
    <row r="2840" s="160" customFormat="1" x14ac:dyDescent="0.3"/>
    <row r="2841" s="160" customFormat="1" x14ac:dyDescent="0.3"/>
    <row r="2842" s="160" customFormat="1" x14ac:dyDescent="0.3"/>
    <row r="2843" s="160" customFormat="1" x14ac:dyDescent="0.3"/>
    <row r="2844" s="160" customFormat="1" x14ac:dyDescent="0.3"/>
    <row r="2845" s="160" customFormat="1" x14ac:dyDescent="0.3"/>
    <row r="2846" s="160" customFormat="1" x14ac:dyDescent="0.3"/>
    <row r="2847" s="160" customFormat="1" x14ac:dyDescent="0.3"/>
    <row r="2848" s="160" customFormat="1" x14ac:dyDescent="0.3"/>
    <row r="2849" s="160" customFormat="1" x14ac:dyDescent="0.3"/>
    <row r="2850" s="160" customFormat="1" x14ac:dyDescent="0.3"/>
    <row r="2851" s="160" customFormat="1" x14ac:dyDescent="0.3"/>
    <row r="2852" s="160" customFormat="1" x14ac:dyDescent="0.3"/>
    <row r="2853" s="160" customFormat="1" x14ac:dyDescent="0.3"/>
    <row r="2854" s="160" customFormat="1" x14ac:dyDescent="0.3"/>
    <row r="2855" s="160" customFormat="1" x14ac:dyDescent="0.3"/>
    <row r="2856" s="160" customFormat="1" x14ac:dyDescent="0.3"/>
    <row r="2857" s="160" customFormat="1" x14ac:dyDescent="0.3"/>
    <row r="2858" s="160" customFormat="1" x14ac:dyDescent="0.3"/>
    <row r="2859" s="160" customFormat="1" x14ac:dyDescent="0.3"/>
    <row r="2860" s="160" customFormat="1" x14ac:dyDescent="0.3"/>
    <row r="2861" s="160" customFormat="1" x14ac:dyDescent="0.3"/>
    <row r="2862" s="160" customFormat="1" x14ac:dyDescent="0.3"/>
    <row r="2863" s="160" customFormat="1" x14ac:dyDescent="0.3"/>
    <row r="2864" s="160" customFormat="1" x14ac:dyDescent="0.3"/>
    <row r="2865" s="160" customFormat="1" x14ac:dyDescent="0.3"/>
    <row r="2866" s="160" customFormat="1" x14ac:dyDescent="0.3"/>
    <row r="2867" s="160" customFormat="1" x14ac:dyDescent="0.3"/>
    <row r="2868" s="160" customFormat="1" x14ac:dyDescent="0.3"/>
    <row r="2869" s="160" customFormat="1" x14ac:dyDescent="0.3"/>
    <row r="2870" s="160" customFormat="1" x14ac:dyDescent="0.3"/>
    <row r="2871" s="160" customFormat="1" x14ac:dyDescent="0.3"/>
    <row r="2872" s="160" customFormat="1" x14ac:dyDescent="0.3"/>
    <row r="2873" s="160" customFormat="1" x14ac:dyDescent="0.3"/>
    <row r="2874" s="160" customFormat="1" x14ac:dyDescent="0.3"/>
    <row r="2875" s="160" customFormat="1" x14ac:dyDescent="0.3"/>
    <row r="2876" s="160" customFormat="1" x14ac:dyDescent="0.3"/>
    <row r="2877" s="160" customFormat="1" x14ac:dyDescent="0.3"/>
    <row r="2878" s="160" customFormat="1" x14ac:dyDescent="0.3"/>
    <row r="2879" s="160" customFormat="1" x14ac:dyDescent="0.3"/>
    <row r="2880" s="160" customFormat="1" x14ac:dyDescent="0.3"/>
    <row r="2881" s="160" customFormat="1" x14ac:dyDescent="0.3"/>
    <row r="2882" s="160" customFormat="1" x14ac:dyDescent="0.3"/>
    <row r="2883" s="160" customFormat="1" x14ac:dyDescent="0.3"/>
    <row r="2884" s="160" customFormat="1" x14ac:dyDescent="0.3"/>
    <row r="2885" s="160" customFormat="1" x14ac:dyDescent="0.3"/>
    <row r="2886" s="160" customFormat="1" x14ac:dyDescent="0.3"/>
    <row r="2887" s="160" customFormat="1" x14ac:dyDescent="0.3"/>
    <row r="2888" s="160" customFormat="1" x14ac:dyDescent="0.3"/>
    <row r="2889" s="160" customFormat="1" x14ac:dyDescent="0.3"/>
    <row r="2890" s="160" customFormat="1" x14ac:dyDescent="0.3"/>
    <row r="2891" s="160" customFormat="1" x14ac:dyDescent="0.3"/>
    <row r="2892" s="160" customFormat="1" x14ac:dyDescent="0.3"/>
    <row r="2893" s="160" customFormat="1" x14ac:dyDescent="0.3"/>
    <row r="2894" s="160" customFormat="1" x14ac:dyDescent="0.3"/>
    <row r="2895" s="160" customFormat="1" x14ac:dyDescent="0.3"/>
    <row r="2896" s="160" customFormat="1" x14ac:dyDescent="0.3"/>
    <row r="2897" s="160" customFormat="1" x14ac:dyDescent="0.3"/>
    <row r="2898" s="160" customFormat="1" x14ac:dyDescent="0.3"/>
    <row r="2899" s="160" customFormat="1" x14ac:dyDescent="0.3"/>
    <row r="2900" s="160" customFormat="1" x14ac:dyDescent="0.3"/>
    <row r="2901" s="160" customFormat="1" x14ac:dyDescent="0.3"/>
    <row r="2902" s="160" customFormat="1" x14ac:dyDescent="0.3"/>
    <row r="2903" s="160" customFormat="1" x14ac:dyDescent="0.3"/>
    <row r="2904" s="160" customFormat="1" x14ac:dyDescent="0.3"/>
    <row r="2905" s="160" customFormat="1" x14ac:dyDescent="0.3"/>
    <row r="2906" s="160" customFormat="1" x14ac:dyDescent="0.3"/>
    <row r="2907" s="160" customFormat="1" x14ac:dyDescent="0.3"/>
    <row r="2908" s="160" customFormat="1" x14ac:dyDescent="0.3"/>
    <row r="2909" s="160" customFormat="1" x14ac:dyDescent="0.3"/>
    <row r="2910" s="160" customFormat="1" x14ac:dyDescent="0.3"/>
    <row r="2911" s="160" customFormat="1" x14ac:dyDescent="0.3"/>
    <row r="2912" s="160" customFormat="1" x14ac:dyDescent="0.3"/>
    <row r="2913" s="160" customFormat="1" x14ac:dyDescent="0.3"/>
    <row r="2914" s="160" customFormat="1" x14ac:dyDescent="0.3"/>
    <row r="2915" s="160" customFormat="1" x14ac:dyDescent="0.3"/>
    <row r="2916" s="160" customFormat="1" x14ac:dyDescent="0.3"/>
    <row r="2917" s="160" customFormat="1" x14ac:dyDescent="0.3"/>
    <row r="2918" s="160" customFormat="1" x14ac:dyDescent="0.3"/>
    <row r="2919" s="160" customFormat="1" x14ac:dyDescent="0.3"/>
    <row r="2920" s="160" customFormat="1" x14ac:dyDescent="0.3"/>
    <row r="2921" s="160" customFormat="1" x14ac:dyDescent="0.3"/>
    <row r="2922" s="160" customFormat="1" x14ac:dyDescent="0.3"/>
    <row r="2923" s="160" customFormat="1" x14ac:dyDescent="0.3"/>
    <row r="2924" s="160" customFormat="1" x14ac:dyDescent="0.3"/>
    <row r="2925" s="160" customFormat="1" x14ac:dyDescent="0.3"/>
    <row r="2926" s="160" customFormat="1" x14ac:dyDescent="0.3"/>
    <row r="2927" s="160" customFormat="1" x14ac:dyDescent="0.3"/>
    <row r="2928" s="160" customFormat="1" x14ac:dyDescent="0.3"/>
    <row r="2929" s="160" customFormat="1" x14ac:dyDescent="0.3"/>
    <row r="2930" s="160" customFormat="1" x14ac:dyDescent="0.3"/>
    <row r="2931" s="160" customFormat="1" x14ac:dyDescent="0.3"/>
    <row r="2932" s="160" customFormat="1" x14ac:dyDescent="0.3"/>
    <row r="2933" s="160" customFormat="1" x14ac:dyDescent="0.3"/>
    <row r="2934" s="160" customFormat="1" x14ac:dyDescent="0.3"/>
    <row r="2935" s="160" customFormat="1" x14ac:dyDescent="0.3"/>
    <row r="2936" s="160" customFormat="1" x14ac:dyDescent="0.3"/>
    <row r="2937" s="160" customFormat="1" x14ac:dyDescent="0.3"/>
    <row r="2938" s="160" customFormat="1" x14ac:dyDescent="0.3"/>
    <row r="2939" s="160" customFormat="1" x14ac:dyDescent="0.3"/>
    <row r="2940" s="160" customFormat="1" x14ac:dyDescent="0.3"/>
    <row r="2941" s="160" customFormat="1" x14ac:dyDescent="0.3"/>
    <row r="2942" s="160" customFormat="1" x14ac:dyDescent="0.3"/>
    <row r="2943" s="160" customFormat="1" x14ac:dyDescent="0.3"/>
    <row r="2944" s="160" customFormat="1" x14ac:dyDescent="0.3"/>
    <row r="2945" s="160" customFormat="1" x14ac:dyDescent="0.3"/>
    <row r="2946" s="160" customFormat="1" x14ac:dyDescent="0.3"/>
    <row r="2947" s="160" customFormat="1" x14ac:dyDescent="0.3"/>
    <row r="2948" s="160" customFormat="1" x14ac:dyDescent="0.3"/>
    <row r="2949" s="160" customFormat="1" x14ac:dyDescent="0.3"/>
    <row r="2950" s="160" customFormat="1" x14ac:dyDescent="0.3"/>
    <row r="2951" s="160" customFormat="1" x14ac:dyDescent="0.3"/>
    <row r="2952" s="160" customFormat="1" x14ac:dyDescent="0.3"/>
    <row r="2953" s="160" customFormat="1" x14ac:dyDescent="0.3"/>
    <row r="2954" s="160" customFormat="1" x14ac:dyDescent="0.3"/>
    <row r="2955" s="160" customFormat="1" x14ac:dyDescent="0.3"/>
    <row r="2956" s="160" customFormat="1" x14ac:dyDescent="0.3"/>
    <row r="2957" s="160" customFormat="1" x14ac:dyDescent="0.3"/>
    <row r="2958" s="160" customFormat="1" x14ac:dyDescent="0.3"/>
    <row r="2959" s="160" customFormat="1" x14ac:dyDescent="0.3"/>
    <row r="2960" s="160" customFormat="1" x14ac:dyDescent="0.3"/>
    <row r="2961" s="160" customFormat="1" x14ac:dyDescent="0.3"/>
    <row r="2962" s="160" customFormat="1" x14ac:dyDescent="0.3"/>
    <row r="2963" s="160" customFormat="1" x14ac:dyDescent="0.3"/>
    <row r="2964" s="160" customFormat="1" x14ac:dyDescent="0.3"/>
    <row r="2965" s="160" customFormat="1" x14ac:dyDescent="0.3"/>
    <row r="2966" s="160" customFormat="1" x14ac:dyDescent="0.3"/>
    <row r="2967" s="160" customFormat="1" x14ac:dyDescent="0.3"/>
    <row r="2968" s="160" customFormat="1" x14ac:dyDescent="0.3"/>
    <row r="2969" s="160" customFormat="1" x14ac:dyDescent="0.3"/>
    <row r="2970" s="160" customFormat="1" x14ac:dyDescent="0.3"/>
    <row r="2971" s="160" customFormat="1" x14ac:dyDescent="0.3"/>
    <row r="2972" s="160" customFormat="1" x14ac:dyDescent="0.3"/>
    <row r="2973" s="160" customFormat="1" x14ac:dyDescent="0.3"/>
    <row r="2974" s="160" customFormat="1" x14ac:dyDescent="0.3"/>
    <row r="2975" s="160" customFormat="1" x14ac:dyDescent="0.3"/>
    <row r="2976" s="160" customFormat="1" x14ac:dyDescent="0.3"/>
    <row r="2977" s="160" customFormat="1" x14ac:dyDescent="0.3"/>
    <row r="2978" s="160" customFormat="1" x14ac:dyDescent="0.3"/>
    <row r="2979" s="160" customFormat="1" x14ac:dyDescent="0.3"/>
    <row r="2980" s="160" customFormat="1" x14ac:dyDescent="0.3"/>
    <row r="2981" s="160" customFormat="1" x14ac:dyDescent="0.3"/>
    <row r="2982" s="160" customFormat="1" x14ac:dyDescent="0.3"/>
    <row r="2983" s="160" customFormat="1" x14ac:dyDescent="0.3"/>
    <row r="2984" s="160" customFormat="1" x14ac:dyDescent="0.3"/>
    <row r="2985" s="160" customFormat="1" x14ac:dyDescent="0.3"/>
    <row r="2986" s="160" customFormat="1" x14ac:dyDescent="0.3"/>
    <row r="2987" s="160" customFormat="1" x14ac:dyDescent="0.3"/>
    <row r="2988" s="160" customFormat="1" x14ac:dyDescent="0.3"/>
    <row r="2989" s="160" customFormat="1" x14ac:dyDescent="0.3"/>
    <row r="2990" s="160" customFormat="1" x14ac:dyDescent="0.3"/>
    <row r="2991" s="160" customFormat="1" x14ac:dyDescent="0.3"/>
    <row r="2992" s="160" customFormat="1" x14ac:dyDescent="0.3"/>
    <row r="2993" s="160" customFormat="1" x14ac:dyDescent="0.3"/>
    <row r="2994" s="160" customFormat="1" x14ac:dyDescent="0.3"/>
    <row r="2995" s="160" customFormat="1" x14ac:dyDescent="0.3"/>
    <row r="2996" s="160" customFormat="1" x14ac:dyDescent="0.3"/>
    <row r="2997" s="160" customFormat="1" x14ac:dyDescent="0.3"/>
    <row r="2998" s="160" customFormat="1" x14ac:dyDescent="0.3"/>
    <row r="2999" s="160" customFormat="1" x14ac:dyDescent="0.3"/>
    <row r="3000" s="160" customFormat="1" x14ac:dyDescent="0.3"/>
    <row r="3001" s="160" customFormat="1" x14ac:dyDescent="0.3"/>
    <row r="3002" s="160" customFormat="1" x14ac:dyDescent="0.3"/>
    <row r="3003" s="160" customFormat="1" x14ac:dyDescent="0.3"/>
    <row r="3004" s="160" customFormat="1" x14ac:dyDescent="0.3"/>
    <row r="3005" s="160" customFormat="1" x14ac:dyDescent="0.3"/>
    <row r="3006" s="160" customFormat="1" x14ac:dyDescent="0.3"/>
    <row r="3007" s="160" customFormat="1" x14ac:dyDescent="0.3"/>
    <row r="3008" s="160" customFormat="1" x14ac:dyDescent="0.3"/>
    <row r="3009" s="160" customFormat="1" x14ac:dyDescent="0.3"/>
    <row r="3010" s="160" customFormat="1" x14ac:dyDescent="0.3"/>
    <row r="3011" s="160" customFormat="1" x14ac:dyDescent="0.3"/>
    <row r="3012" s="160" customFormat="1" x14ac:dyDescent="0.3"/>
    <row r="3013" s="160" customFormat="1" x14ac:dyDescent="0.3"/>
    <row r="3014" s="160" customFormat="1" x14ac:dyDescent="0.3"/>
    <row r="3015" s="160" customFormat="1" x14ac:dyDescent="0.3"/>
    <row r="3016" s="160" customFormat="1" x14ac:dyDescent="0.3"/>
    <row r="3017" s="160" customFormat="1" x14ac:dyDescent="0.3"/>
    <row r="3018" s="160" customFormat="1" x14ac:dyDescent="0.3"/>
    <row r="3019" s="160" customFormat="1" x14ac:dyDescent="0.3"/>
    <row r="3020" s="160" customFormat="1" x14ac:dyDescent="0.3"/>
    <row r="3021" s="160" customFormat="1" x14ac:dyDescent="0.3"/>
    <row r="3022" s="160" customFormat="1" x14ac:dyDescent="0.3"/>
    <row r="3023" s="160" customFormat="1" x14ac:dyDescent="0.3"/>
    <row r="3024" s="160" customFormat="1" x14ac:dyDescent="0.3"/>
    <row r="3025" s="160" customFormat="1" x14ac:dyDescent="0.3"/>
    <row r="3026" s="160" customFormat="1" x14ac:dyDescent="0.3"/>
    <row r="3027" s="160" customFormat="1" x14ac:dyDescent="0.3"/>
    <row r="3028" s="160" customFormat="1" x14ac:dyDescent="0.3"/>
    <row r="3029" s="160" customFormat="1" x14ac:dyDescent="0.3"/>
    <row r="3030" s="160" customFormat="1" x14ac:dyDescent="0.3"/>
    <row r="3031" s="160" customFormat="1" x14ac:dyDescent="0.3"/>
    <row r="3032" s="160" customFormat="1" x14ac:dyDescent="0.3"/>
    <row r="3033" s="160" customFormat="1" x14ac:dyDescent="0.3"/>
    <row r="3034" s="160" customFormat="1" x14ac:dyDescent="0.3"/>
    <row r="3035" s="160" customFormat="1" x14ac:dyDescent="0.3"/>
    <row r="3036" s="160" customFormat="1" x14ac:dyDescent="0.3"/>
    <row r="3037" s="160" customFormat="1" x14ac:dyDescent="0.3"/>
    <row r="3038" s="160" customFormat="1" x14ac:dyDescent="0.3"/>
    <row r="3039" s="160" customFormat="1" x14ac:dyDescent="0.3"/>
    <row r="3040" s="160" customFormat="1" x14ac:dyDescent="0.3"/>
    <row r="3041" s="160" customFormat="1" x14ac:dyDescent="0.3"/>
    <row r="3042" s="160" customFormat="1" x14ac:dyDescent="0.3"/>
    <row r="3043" s="160" customFormat="1" x14ac:dyDescent="0.3"/>
    <row r="3044" s="160" customFormat="1" x14ac:dyDescent="0.3"/>
    <row r="3045" s="160" customFormat="1" x14ac:dyDescent="0.3"/>
    <row r="3046" s="160" customFormat="1" x14ac:dyDescent="0.3"/>
    <row r="3047" s="160" customFormat="1" x14ac:dyDescent="0.3"/>
    <row r="3048" s="160" customFormat="1" x14ac:dyDescent="0.3"/>
    <row r="3049" s="160" customFormat="1" x14ac:dyDescent="0.3"/>
    <row r="3050" s="160" customFormat="1" x14ac:dyDescent="0.3"/>
    <row r="3051" s="160" customFormat="1" x14ac:dyDescent="0.3"/>
    <row r="3052" s="160" customFormat="1" x14ac:dyDescent="0.3"/>
    <row r="3053" s="160" customFormat="1" x14ac:dyDescent="0.3"/>
    <row r="3054" s="160" customFormat="1" x14ac:dyDescent="0.3"/>
    <row r="3055" s="160" customFormat="1" x14ac:dyDescent="0.3"/>
    <row r="3056" s="160" customFormat="1" x14ac:dyDescent="0.3"/>
    <row r="3057" s="160" customFormat="1" x14ac:dyDescent="0.3"/>
    <row r="3058" s="160" customFormat="1" x14ac:dyDescent="0.3"/>
    <row r="3059" s="160" customFormat="1" x14ac:dyDescent="0.3"/>
    <row r="3060" s="160" customFormat="1" x14ac:dyDescent="0.3"/>
    <row r="3061" s="160" customFormat="1" x14ac:dyDescent="0.3"/>
    <row r="3062" s="160" customFormat="1" x14ac:dyDescent="0.3"/>
    <row r="3063" s="160" customFormat="1" x14ac:dyDescent="0.3"/>
    <row r="3064" s="160" customFormat="1" x14ac:dyDescent="0.3"/>
    <row r="3065" s="160" customFormat="1" x14ac:dyDescent="0.3"/>
    <row r="3066" s="160" customFormat="1" x14ac:dyDescent="0.3"/>
    <row r="3067" s="160" customFormat="1" x14ac:dyDescent="0.3"/>
    <row r="3068" s="160" customFormat="1" x14ac:dyDescent="0.3"/>
    <row r="3069" s="160" customFormat="1" x14ac:dyDescent="0.3"/>
    <row r="3070" s="160" customFormat="1" x14ac:dyDescent="0.3"/>
    <row r="3071" s="160" customFormat="1" x14ac:dyDescent="0.3"/>
    <row r="3072" s="160" customFormat="1" x14ac:dyDescent="0.3"/>
    <row r="3073" s="160" customFormat="1" x14ac:dyDescent="0.3"/>
    <row r="3074" s="160" customFormat="1" x14ac:dyDescent="0.3"/>
    <row r="3075" s="160" customFormat="1" x14ac:dyDescent="0.3"/>
    <row r="3076" s="160" customFormat="1" x14ac:dyDescent="0.3"/>
    <row r="3077" s="160" customFormat="1" x14ac:dyDescent="0.3"/>
    <row r="3078" s="160" customFormat="1" x14ac:dyDescent="0.3"/>
    <row r="3079" s="160" customFormat="1" x14ac:dyDescent="0.3"/>
    <row r="3080" s="160" customFormat="1" x14ac:dyDescent="0.3"/>
    <row r="3081" s="160" customFormat="1" x14ac:dyDescent="0.3"/>
    <row r="3082" s="160" customFormat="1" x14ac:dyDescent="0.3"/>
    <row r="3083" s="160" customFormat="1" x14ac:dyDescent="0.3"/>
    <row r="3084" s="160" customFormat="1" x14ac:dyDescent="0.3"/>
    <row r="3085" s="160" customFormat="1" x14ac:dyDescent="0.3"/>
    <row r="3086" s="160" customFormat="1" x14ac:dyDescent="0.3"/>
    <row r="3087" s="160" customFormat="1" x14ac:dyDescent="0.3"/>
    <row r="3088" s="160" customFormat="1" x14ac:dyDescent="0.3"/>
    <row r="3089" s="160" customFormat="1" x14ac:dyDescent="0.3"/>
    <row r="3090" s="160" customFormat="1" x14ac:dyDescent="0.3"/>
    <row r="3091" s="160" customFormat="1" x14ac:dyDescent="0.3"/>
    <row r="3092" s="160" customFormat="1" x14ac:dyDescent="0.3"/>
    <row r="3093" s="160" customFormat="1" x14ac:dyDescent="0.3"/>
    <row r="3094" s="160" customFormat="1" x14ac:dyDescent="0.3"/>
    <row r="3095" s="160" customFormat="1" x14ac:dyDescent="0.3"/>
    <row r="3096" s="160" customFormat="1" x14ac:dyDescent="0.3"/>
    <row r="3097" s="160" customFormat="1" x14ac:dyDescent="0.3"/>
    <row r="3098" s="160" customFormat="1" x14ac:dyDescent="0.3"/>
    <row r="3099" s="160" customFormat="1" x14ac:dyDescent="0.3"/>
    <row r="3100" s="160" customFormat="1" x14ac:dyDescent="0.3"/>
    <row r="3101" s="160" customFormat="1" x14ac:dyDescent="0.3"/>
    <row r="3102" s="160" customFormat="1" x14ac:dyDescent="0.3"/>
    <row r="3103" s="160" customFormat="1" x14ac:dyDescent="0.3"/>
    <row r="3104" s="160" customFormat="1" x14ac:dyDescent="0.3"/>
    <row r="3105" s="160" customFormat="1" x14ac:dyDescent="0.3"/>
    <row r="3106" s="160" customFormat="1" x14ac:dyDescent="0.3"/>
    <row r="3107" s="160" customFormat="1" x14ac:dyDescent="0.3"/>
    <row r="3108" s="160" customFormat="1" x14ac:dyDescent="0.3"/>
    <row r="3109" s="160" customFormat="1" x14ac:dyDescent="0.3"/>
    <row r="3110" s="160" customFormat="1" x14ac:dyDescent="0.3"/>
    <row r="3111" s="160" customFormat="1" x14ac:dyDescent="0.3"/>
    <row r="3112" s="160" customFormat="1" x14ac:dyDescent="0.3"/>
    <row r="3113" s="160" customFormat="1" x14ac:dyDescent="0.3"/>
    <row r="3114" s="160" customFormat="1" x14ac:dyDescent="0.3"/>
    <row r="3115" s="160" customFormat="1" x14ac:dyDescent="0.3"/>
    <row r="3116" s="160" customFormat="1" x14ac:dyDescent="0.3"/>
    <row r="3117" s="160" customFormat="1" x14ac:dyDescent="0.3"/>
    <row r="3118" s="160" customFormat="1" x14ac:dyDescent="0.3"/>
    <row r="3119" s="160" customFormat="1" x14ac:dyDescent="0.3"/>
    <row r="3120" s="160" customFormat="1" x14ac:dyDescent="0.3"/>
    <row r="3121" s="160" customFormat="1" x14ac:dyDescent="0.3"/>
    <row r="3122" s="160" customFormat="1" x14ac:dyDescent="0.3"/>
    <row r="3123" s="160" customFormat="1" x14ac:dyDescent="0.3"/>
    <row r="3124" s="160" customFormat="1" x14ac:dyDescent="0.3"/>
    <row r="3125" s="160" customFormat="1" x14ac:dyDescent="0.3"/>
    <row r="3126" s="160" customFormat="1" x14ac:dyDescent="0.3"/>
    <row r="3127" s="160" customFormat="1" x14ac:dyDescent="0.3"/>
    <row r="3128" s="160" customFormat="1" x14ac:dyDescent="0.3"/>
    <row r="3129" s="160" customFormat="1" x14ac:dyDescent="0.3"/>
    <row r="3130" s="160" customFormat="1" x14ac:dyDescent="0.3"/>
    <row r="3131" s="160" customFormat="1" x14ac:dyDescent="0.3"/>
    <row r="3132" s="160" customFormat="1" x14ac:dyDescent="0.3"/>
    <row r="3133" s="160" customFormat="1" x14ac:dyDescent="0.3"/>
    <row r="3134" s="160" customFormat="1" x14ac:dyDescent="0.3"/>
    <row r="3135" s="160" customFormat="1" x14ac:dyDescent="0.3"/>
    <row r="3136" s="160" customFormat="1" x14ac:dyDescent="0.3"/>
    <row r="3137" s="160" customFormat="1" x14ac:dyDescent="0.3"/>
    <row r="3138" s="160" customFormat="1" x14ac:dyDescent="0.3"/>
    <row r="3139" s="160" customFormat="1" x14ac:dyDescent="0.3"/>
    <row r="3140" s="160" customFormat="1" x14ac:dyDescent="0.3"/>
    <row r="3141" s="160" customFormat="1" x14ac:dyDescent="0.3"/>
    <row r="3142" s="160" customFormat="1" x14ac:dyDescent="0.3"/>
    <row r="3143" s="160" customFormat="1" x14ac:dyDescent="0.3"/>
    <row r="3144" s="160" customFormat="1" x14ac:dyDescent="0.3"/>
    <row r="3145" s="160" customFormat="1" x14ac:dyDescent="0.3"/>
    <row r="3146" s="160" customFormat="1" x14ac:dyDescent="0.3"/>
    <row r="3147" s="160" customFormat="1" x14ac:dyDescent="0.3"/>
    <row r="3148" s="160" customFormat="1" x14ac:dyDescent="0.3"/>
    <row r="3149" s="160" customFormat="1" x14ac:dyDescent="0.3"/>
    <row r="3150" s="160" customFormat="1" x14ac:dyDescent="0.3"/>
    <row r="3151" s="160" customFormat="1" x14ac:dyDescent="0.3"/>
    <row r="3152" s="160" customFormat="1" x14ac:dyDescent="0.3"/>
    <row r="3153" s="160" customFormat="1" x14ac:dyDescent="0.3"/>
    <row r="3154" s="160" customFormat="1" x14ac:dyDescent="0.3"/>
    <row r="3155" s="160" customFormat="1" x14ac:dyDescent="0.3"/>
    <row r="3156" s="160" customFormat="1" x14ac:dyDescent="0.3"/>
    <row r="3157" s="160" customFormat="1" x14ac:dyDescent="0.3"/>
    <row r="3158" s="160" customFormat="1" x14ac:dyDescent="0.3"/>
    <row r="3159" s="160" customFormat="1" x14ac:dyDescent="0.3"/>
    <row r="3160" s="160" customFormat="1" x14ac:dyDescent="0.3"/>
    <row r="3161" s="160" customFormat="1" x14ac:dyDescent="0.3"/>
    <row r="3162" s="160" customFormat="1" x14ac:dyDescent="0.3"/>
    <row r="3163" s="160" customFormat="1" x14ac:dyDescent="0.3"/>
    <row r="3164" s="160" customFormat="1" x14ac:dyDescent="0.3"/>
    <row r="3165" s="160" customFormat="1" x14ac:dyDescent="0.3"/>
    <row r="3166" s="160" customFormat="1" x14ac:dyDescent="0.3"/>
    <row r="3167" s="160" customFormat="1" x14ac:dyDescent="0.3"/>
    <row r="3168" s="160" customFormat="1" x14ac:dyDescent="0.3"/>
    <row r="3169" s="160" customFormat="1" x14ac:dyDescent="0.3"/>
    <row r="3170" s="160" customFormat="1" x14ac:dyDescent="0.3"/>
    <row r="3171" s="160" customFormat="1" x14ac:dyDescent="0.3"/>
    <row r="3172" s="160" customFormat="1" x14ac:dyDescent="0.3"/>
    <row r="3173" s="160" customFormat="1" x14ac:dyDescent="0.3"/>
    <row r="3174" s="160" customFormat="1" x14ac:dyDescent="0.3"/>
    <row r="3175" s="160" customFormat="1" x14ac:dyDescent="0.3"/>
    <row r="3176" s="160" customFormat="1" x14ac:dyDescent="0.3"/>
    <row r="3177" s="160" customFormat="1" x14ac:dyDescent="0.3"/>
    <row r="3178" s="160" customFormat="1" x14ac:dyDescent="0.3"/>
    <row r="3179" s="160" customFormat="1" x14ac:dyDescent="0.3"/>
    <row r="3180" s="160" customFormat="1" x14ac:dyDescent="0.3"/>
    <row r="3181" s="160" customFormat="1" x14ac:dyDescent="0.3"/>
    <row r="3182" s="160" customFormat="1" x14ac:dyDescent="0.3"/>
    <row r="3183" s="160" customFormat="1" x14ac:dyDescent="0.3"/>
    <row r="3184" s="160" customFormat="1" x14ac:dyDescent="0.3"/>
    <row r="3185" s="160" customFormat="1" x14ac:dyDescent="0.3"/>
    <row r="3186" s="160" customFormat="1" x14ac:dyDescent="0.3"/>
    <row r="3187" s="160" customFormat="1" x14ac:dyDescent="0.3"/>
    <row r="3188" s="160" customFormat="1" x14ac:dyDescent="0.3"/>
    <row r="3189" s="160" customFormat="1" x14ac:dyDescent="0.3"/>
    <row r="3190" s="160" customFormat="1" x14ac:dyDescent="0.3"/>
    <row r="3191" s="160" customFormat="1" x14ac:dyDescent="0.3"/>
    <row r="3192" s="160" customFormat="1" x14ac:dyDescent="0.3"/>
    <row r="3193" s="160" customFormat="1" x14ac:dyDescent="0.3"/>
    <row r="3194" s="160" customFormat="1" x14ac:dyDescent="0.3"/>
    <row r="3195" s="160" customFormat="1" x14ac:dyDescent="0.3"/>
    <row r="3196" s="160" customFormat="1" x14ac:dyDescent="0.3"/>
    <row r="3197" s="160" customFormat="1" x14ac:dyDescent="0.3"/>
    <row r="3198" s="160" customFormat="1" x14ac:dyDescent="0.3"/>
    <row r="3199" s="160" customFormat="1" x14ac:dyDescent="0.3"/>
    <row r="3200" s="160" customFormat="1" x14ac:dyDescent="0.3"/>
    <row r="3201" s="160" customFormat="1" x14ac:dyDescent="0.3"/>
    <row r="3202" s="160" customFormat="1" x14ac:dyDescent="0.3"/>
    <row r="3203" s="160" customFormat="1" x14ac:dyDescent="0.3"/>
    <row r="3204" s="160" customFormat="1" x14ac:dyDescent="0.3"/>
    <row r="3205" s="160" customFormat="1" x14ac:dyDescent="0.3"/>
    <row r="3206" s="160" customFormat="1" x14ac:dyDescent="0.3"/>
    <row r="3207" s="160" customFormat="1" x14ac:dyDescent="0.3"/>
    <row r="3208" s="160" customFormat="1" x14ac:dyDescent="0.3"/>
    <row r="3209" s="160" customFormat="1" x14ac:dyDescent="0.3"/>
    <row r="3210" s="160" customFormat="1" x14ac:dyDescent="0.3"/>
    <row r="3211" s="160" customFormat="1" x14ac:dyDescent="0.3"/>
    <row r="3212" s="160" customFormat="1" x14ac:dyDescent="0.3"/>
    <row r="3213" s="160" customFormat="1" x14ac:dyDescent="0.3"/>
    <row r="3214" s="160" customFormat="1" x14ac:dyDescent="0.3"/>
    <row r="3215" s="160" customFormat="1" x14ac:dyDescent="0.3"/>
    <row r="3216" s="160" customFormat="1" x14ac:dyDescent="0.3"/>
    <row r="3217" s="160" customFormat="1" x14ac:dyDescent="0.3"/>
    <row r="3218" s="160" customFormat="1" x14ac:dyDescent="0.3"/>
    <row r="3219" s="160" customFormat="1" x14ac:dyDescent="0.3"/>
    <row r="3220" s="160" customFormat="1" x14ac:dyDescent="0.3"/>
    <row r="3221" s="160" customFormat="1" x14ac:dyDescent="0.3"/>
    <row r="3222" s="160" customFormat="1" x14ac:dyDescent="0.3"/>
    <row r="3223" s="160" customFormat="1" x14ac:dyDescent="0.3"/>
    <row r="3224" s="160" customFormat="1" x14ac:dyDescent="0.3"/>
    <row r="3225" s="160" customFormat="1" x14ac:dyDescent="0.3"/>
    <row r="3226" s="160" customFormat="1" x14ac:dyDescent="0.3"/>
    <row r="3227" s="160" customFormat="1" x14ac:dyDescent="0.3"/>
    <row r="3228" s="160" customFormat="1" x14ac:dyDescent="0.3"/>
    <row r="3229" s="160" customFormat="1" x14ac:dyDescent="0.3"/>
    <row r="3230" s="160" customFormat="1" x14ac:dyDescent="0.3"/>
    <row r="3231" s="160" customFormat="1" x14ac:dyDescent="0.3"/>
    <row r="3232" s="160" customFormat="1" x14ac:dyDescent="0.3"/>
    <row r="3233" s="160" customFormat="1" x14ac:dyDescent="0.3"/>
    <row r="3234" s="160" customFormat="1" x14ac:dyDescent="0.3"/>
    <row r="3235" s="160" customFormat="1" x14ac:dyDescent="0.3"/>
    <row r="3236" s="160" customFormat="1" x14ac:dyDescent="0.3"/>
    <row r="3237" s="160" customFormat="1" x14ac:dyDescent="0.3"/>
    <row r="3238" s="160" customFormat="1" x14ac:dyDescent="0.3"/>
    <row r="3239" s="160" customFormat="1" x14ac:dyDescent="0.3"/>
    <row r="3240" s="160" customFormat="1" x14ac:dyDescent="0.3"/>
    <row r="3241" s="160" customFormat="1" x14ac:dyDescent="0.3"/>
    <row r="3242" s="160" customFormat="1" x14ac:dyDescent="0.3"/>
    <row r="3243" s="160" customFormat="1" x14ac:dyDescent="0.3"/>
    <row r="3244" s="160" customFormat="1" x14ac:dyDescent="0.3"/>
    <row r="3245" s="160" customFormat="1" x14ac:dyDescent="0.3"/>
    <row r="3246" s="160" customFormat="1" x14ac:dyDescent="0.3"/>
    <row r="3247" s="160" customFormat="1" x14ac:dyDescent="0.3"/>
    <row r="3248" s="160" customFormat="1" x14ac:dyDescent="0.3"/>
    <row r="3249" s="160" customFormat="1" x14ac:dyDescent="0.3"/>
    <row r="3250" s="160" customFormat="1" x14ac:dyDescent="0.3"/>
    <row r="3251" s="160" customFormat="1" x14ac:dyDescent="0.3"/>
    <row r="3252" s="160" customFormat="1" x14ac:dyDescent="0.3"/>
    <row r="3253" s="160" customFormat="1" x14ac:dyDescent="0.3"/>
    <row r="3254" s="160" customFormat="1" x14ac:dyDescent="0.3"/>
    <row r="3255" s="160" customFormat="1" x14ac:dyDescent="0.3"/>
    <row r="3256" s="160" customFormat="1" x14ac:dyDescent="0.3"/>
    <row r="3257" s="160" customFormat="1" x14ac:dyDescent="0.3"/>
    <row r="3258" s="160" customFormat="1" x14ac:dyDescent="0.3"/>
    <row r="3259" s="160" customFormat="1" x14ac:dyDescent="0.3"/>
    <row r="3260" s="160" customFormat="1" x14ac:dyDescent="0.3"/>
    <row r="3261" s="160" customFormat="1" x14ac:dyDescent="0.3"/>
    <row r="3262" s="160" customFormat="1" x14ac:dyDescent="0.3"/>
    <row r="3263" s="160" customFormat="1" x14ac:dyDescent="0.3"/>
    <row r="3264" s="160" customFormat="1" x14ac:dyDescent="0.3"/>
    <row r="3265" s="160" customFormat="1" x14ac:dyDescent="0.3"/>
    <row r="3266" s="160" customFormat="1" x14ac:dyDescent="0.3"/>
    <row r="3267" s="160" customFormat="1" x14ac:dyDescent="0.3"/>
    <row r="3268" s="160" customFormat="1" x14ac:dyDescent="0.3"/>
    <row r="3269" s="160" customFormat="1" x14ac:dyDescent="0.3"/>
    <row r="3270" s="160" customFormat="1" x14ac:dyDescent="0.3"/>
    <row r="3271" s="160" customFormat="1" x14ac:dyDescent="0.3"/>
    <row r="3272" s="160" customFormat="1" x14ac:dyDescent="0.3"/>
    <row r="3273" s="160" customFormat="1" x14ac:dyDescent="0.3"/>
    <row r="3274" s="160" customFormat="1" x14ac:dyDescent="0.3"/>
    <row r="3275" s="160" customFormat="1" x14ac:dyDescent="0.3"/>
    <row r="3276" s="160" customFormat="1" x14ac:dyDescent="0.3"/>
    <row r="3277" s="160" customFormat="1" x14ac:dyDescent="0.3"/>
    <row r="3278" s="160" customFormat="1" x14ac:dyDescent="0.3"/>
    <row r="3279" s="160" customFormat="1" x14ac:dyDescent="0.3"/>
    <row r="3280" s="160" customFormat="1" x14ac:dyDescent="0.3"/>
    <row r="3281" s="160" customFormat="1" x14ac:dyDescent="0.3"/>
    <row r="3282" s="160" customFormat="1" x14ac:dyDescent="0.3"/>
    <row r="3283" s="160" customFormat="1" x14ac:dyDescent="0.3"/>
    <row r="3284" s="160" customFormat="1" x14ac:dyDescent="0.3"/>
    <row r="3285" s="160" customFormat="1" x14ac:dyDescent="0.3"/>
    <row r="3286" s="160" customFormat="1" x14ac:dyDescent="0.3"/>
    <row r="3287" s="160" customFormat="1" x14ac:dyDescent="0.3"/>
    <row r="3288" s="160" customFormat="1" x14ac:dyDescent="0.3"/>
    <row r="3289" s="160" customFormat="1" x14ac:dyDescent="0.3"/>
    <row r="3290" s="160" customFormat="1" x14ac:dyDescent="0.3"/>
    <row r="3291" s="160" customFormat="1" x14ac:dyDescent="0.3"/>
    <row r="3292" s="160" customFormat="1" x14ac:dyDescent="0.3"/>
    <row r="3293" s="160" customFormat="1" x14ac:dyDescent="0.3"/>
    <row r="3294" s="160" customFormat="1" x14ac:dyDescent="0.3"/>
    <row r="3295" s="160" customFormat="1" x14ac:dyDescent="0.3"/>
    <row r="3296" s="160" customFormat="1" x14ac:dyDescent="0.3"/>
    <row r="3297" s="160" customFormat="1" x14ac:dyDescent="0.3"/>
    <row r="3298" s="160" customFormat="1" x14ac:dyDescent="0.3"/>
    <row r="3299" s="160" customFormat="1" x14ac:dyDescent="0.3"/>
    <row r="3300" s="160" customFormat="1" x14ac:dyDescent="0.3"/>
    <row r="3301" s="160" customFormat="1" x14ac:dyDescent="0.3"/>
    <row r="3302" s="160" customFormat="1" x14ac:dyDescent="0.3"/>
    <row r="3303" s="160" customFormat="1" x14ac:dyDescent="0.3"/>
    <row r="3304" s="160" customFormat="1" x14ac:dyDescent="0.3"/>
    <row r="3305" s="160" customFormat="1" x14ac:dyDescent="0.3"/>
    <row r="3306" s="160" customFormat="1" x14ac:dyDescent="0.3"/>
    <row r="3307" s="160" customFormat="1" x14ac:dyDescent="0.3"/>
    <row r="3308" s="160" customFormat="1" x14ac:dyDescent="0.3"/>
    <row r="3309" s="160" customFormat="1" x14ac:dyDescent="0.3"/>
    <row r="3310" s="160" customFormat="1" x14ac:dyDescent="0.3"/>
    <row r="3311" s="160" customFormat="1" x14ac:dyDescent="0.3"/>
    <row r="3312" s="160" customFormat="1" x14ac:dyDescent="0.3"/>
    <row r="3313" s="160" customFormat="1" x14ac:dyDescent="0.3"/>
    <row r="3314" s="160" customFormat="1" x14ac:dyDescent="0.3"/>
    <row r="3315" s="160" customFormat="1" x14ac:dyDescent="0.3"/>
    <row r="3316" s="160" customFormat="1" x14ac:dyDescent="0.3"/>
    <row r="3317" s="160" customFormat="1" x14ac:dyDescent="0.3"/>
    <row r="3318" s="160" customFormat="1" x14ac:dyDescent="0.3"/>
    <row r="3319" s="160" customFormat="1" x14ac:dyDescent="0.3"/>
    <row r="3320" s="160" customFormat="1" x14ac:dyDescent="0.3"/>
    <row r="3321" s="160" customFormat="1" x14ac:dyDescent="0.3"/>
    <row r="3322" s="160" customFormat="1" x14ac:dyDescent="0.3"/>
    <row r="3323" s="160" customFormat="1" x14ac:dyDescent="0.3"/>
    <row r="3324" s="160" customFormat="1" x14ac:dyDescent="0.3"/>
    <row r="3325" s="160" customFormat="1" x14ac:dyDescent="0.3"/>
    <row r="3326" s="160" customFormat="1" x14ac:dyDescent="0.3"/>
    <row r="3327" s="160" customFormat="1" x14ac:dyDescent="0.3"/>
    <row r="3328" s="160" customFormat="1" x14ac:dyDescent="0.3"/>
    <row r="3329" s="160" customFormat="1" x14ac:dyDescent="0.3"/>
    <row r="3330" s="160" customFormat="1" x14ac:dyDescent="0.3"/>
    <row r="3331" s="160" customFormat="1" x14ac:dyDescent="0.3"/>
    <row r="3332" s="160" customFormat="1" x14ac:dyDescent="0.3"/>
    <row r="3333" s="160" customFormat="1" x14ac:dyDescent="0.3"/>
    <row r="3334" s="160" customFormat="1" x14ac:dyDescent="0.3"/>
    <row r="3335" s="160" customFormat="1" x14ac:dyDescent="0.3"/>
    <row r="3336" s="160" customFormat="1" x14ac:dyDescent="0.3"/>
    <row r="3337" s="160" customFormat="1" x14ac:dyDescent="0.3"/>
    <row r="3338" s="160" customFormat="1" x14ac:dyDescent="0.3"/>
    <row r="3339" s="160" customFormat="1" x14ac:dyDescent="0.3"/>
    <row r="3340" s="160" customFormat="1" x14ac:dyDescent="0.3"/>
    <row r="3341" s="160" customFormat="1" x14ac:dyDescent="0.3"/>
    <row r="3342" s="160" customFormat="1" x14ac:dyDescent="0.3"/>
    <row r="3343" s="160" customFormat="1" x14ac:dyDescent="0.3"/>
    <row r="3344" s="160" customFormat="1" x14ac:dyDescent="0.3"/>
    <row r="3345" s="160" customFormat="1" x14ac:dyDescent="0.3"/>
    <row r="3346" s="160" customFormat="1" x14ac:dyDescent="0.3"/>
    <row r="3347" s="160" customFormat="1" x14ac:dyDescent="0.3"/>
    <row r="3348" s="160" customFormat="1" x14ac:dyDescent="0.3"/>
    <row r="3349" s="160" customFormat="1" x14ac:dyDescent="0.3"/>
    <row r="3350" s="160" customFormat="1" x14ac:dyDescent="0.3"/>
    <row r="3351" s="160" customFormat="1" x14ac:dyDescent="0.3"/>
    <row r="3352" s="160" customFormat="1" x14ac:dyDescent="0.3"/>
    <row r="3353" s="160" customFormat="1" x14ac:dyDescent="0.3"/>
    <row r="3354" s="160" customFormat="1" x14ac:dyDescent="0.3"/>
    <row r="3355" s="160" customFormat="1" x14ac:dyDescent="0.3"/>
    <row r="3356" s="160" customFormat="1" x14ac:dyDescent="0.3"/>
    <row r="3357" s="160" customFormat="1" x14ac:dyDescent="0.3"/>
    <row r="3358" s="160" customFormat="1" x14ac:dyDescent="0.3"/>
    <row r="3359" s="160" customFormat="1" x14ac:dyDescent="0.3"/>
    <row r="3360" s="160" customFormat="1" x14ac:dyDescent="0.3"/>
    <row r="3361" s="160" customFormat="1" x14ac:dyDescent="0.3"/>
    <row r="3362" s="160" customFormat="1" x14ac:dyDescent="0.3"/>
    <row r="3363" s="160" customFormat="1" x14ac:dyDescent="0.3"/>
    <row r="3364" s="160" customFormat="1" x14ac:dyDescent="0.3"/>
    <row r="3365" s="160" customFormat="1" x14ac:dyDescent="0.3"/>
    <row r="3366" s="160" customFormat="1" x14ac:dyDescent="0.3"/>
    <row r="3367" s="160" customFormat="1" x14ac:dyDescent="0.3"/>
    <row r="3368" s="160" customFormat="1" x14ac:dyDescent="0.3"/>
    <row r="3369" s="160" customFormat="1" x14ac:dyDescent="0.3"/>
    <row r="3370" s="160" customFormat="1" x14ac:dyDescent="0.3"/>
    <row r="3371" s="160" customFormat="1" x14ac:dyDescent="0.3"/>
    <row r="3372" s="160" customFormat="1" x14ac:dyDescent="0.3"/>
    <row r="3373" s="160" customFormat="1" x14ac:dyDescent="0.3"/>
    <row r="3374" s="160" customFormat="1" x14ac:dyDescent="0.3"/>
    <row r="3375" s="160" customFormat="1" x14ac:dyDescent="0.3"/>
    <row r="3376" s="160" customFormat="1" x14ac:dyDescent="0.3"/>
    <row r="3377" s="160" customFormat="1" x14ac:dyDescent="0.3"/>
    <row r="3378" s="160" customFormat="1" x14ac:dyDescent="0.3"/>
    <row r="3379" s="160" customFormat="1" x14ac:dyDescent="0.3"/>
    <row r="3380" s="160" customFormat="1" x14ac:dyDescent="0.3"/>
    <row r="3381" s="160" customFormat="1" x14ac:dyDescent="0.3"/>
    <row r="3382" s="160" customFormat="1" x14ac:dyDescent="0.3"/>
    <row r="3383" s="160" customFormat="1" x14ac:dyDescent="0.3"/>
    <row r="3384" s="160" customFormat="1" x14ac:dyDescent="0.3"/>
    <row r="3385" s="160" customFormat="1" x14ac:dyDescent="0.3"/>
    <row r="3386" s="160" customFormat="1" x14ac:dyDescent="0.3"/>
    <row r="3387" s="160" customFormat="1" x14ac:dyDescent="0.3"/>
    <row r="3388" s="160" customFormat="1" x14ac:dyDescent="0.3"/>
    <row r="3389" s="160" customFormat="1" x14ac:dyDescent="0.3"/>
    <row r="3390" s="160" customFormat="1" x14ac:dyDescent="0.3"/>
    <row r="3391" s="160" customFormat="1" x14ac:dyDescent="0.3"/>
    <row r="3392" s="160" customFormat="1" x14ac:dyDescent="0.3"/>
    <row r="3393" s="160" customFormat="1" x14ac:dyDescent="0.3"/>
    <row r="3394" s="160" customFormat="1" x14ac:dyDescent="0.3"/>
    <row r="3395" s="160" customFormat="1" x14ac:dyDescent="0.3"/>
    <row r="3396" s="160" customFormat="1" x14ac:dyDescent="0.3"/>
    <row r="3397" s="160" customFormat="1" x14ac:dyDescent="0.3"/>
    <row r="3398" s="160" customFormat="1" x14ac:dyDescent="0.3"/>
    <row r="3399" s="160" customFormat="1" x14ac:dyDescent="0.3"/>
    <row r="3400" s="160" customFormat="1" x14ac:dyDescent="0.3"/>
    <row r="3401" s="160" customFormat="1" x14ac:dyDescent="0.3"/>
    <row r="3402" s="160" customFormat="1" x14ac:dyDescent="0.3"/>
    <row r="3403" s="160" customFormat="1" x14ac:dyDescent="0.3"/>
    <row r="3404" s="160" customFormat="1" x14ac:dyDescent="0.3"/>
    <row r="3405" s="160" customFormat="1" x14ac:dyDescent="0.3"/>
    <row r="3406" s="160" customFormat="1" x14ac:dyDescent="0.3"/>
    <row r="3407" s="160" customFormat="1" x14ac:dyDescent="0.3"/>
    <row r="3408" s="160" customFormat="1" x14ac:dyDescent="0.3"/>
    <row r="3409" s="160" customFormat="1" x14ac:dyDescent="0.3"/>
    <row r="3410" s="160" customFormat="1" x14ac:dyDescent="0.3"/>
    <row r="3411" s="160" customFormat="1" x14ac:dyDescent="0.3"/>
    <row r="3412" s="160" customFormat="1" x14ac:dyDescent="0.3"/>
    <row r="3413" s="160" customFormat="1" x14ac:dyDescent="0.3"/>
    <row r="3414" s="160" customFormat="1" x14ac:dyDescent="0.3"/>
    <row r="3415" s="160" customFormat="1" x14ac:dyDescent="0.3"/>
    <row r="3416" s="160" customFormat="1" x14ac:dyDescent="0.3"/>
    <row r="3417" s="160" customFormat="1" x14ac:dyDescent="0.3"/>
    <row r="3418" s="160" customFormat="1" x14ac:dyDescent="0.3"/>
    <row r="3419" s="160" customFormat="1" x14ac:dyDescent="0.3"/>
    <row r="3420" s="160" customFormat="1" x14ac:dyDescent="0.3"/>
    <row r="3421" s="160" customFormat="1" x14ac:dyDescent="0.3"/>
    <row r="3422" s="160" customFormat="1" x14ac:dyDescent="0.3"/>
    <row r="3423" s="160" customFormat="1" x14ac:dyDescent="0.3"/>
    <row r="3424" s="160" customFormat="1" x14ac:dyDescent="0.3"/>
    <row r="3425" s="160" customFormat="1" x14ac:dyDescent="0.3"/>
    <row r="3426" s="160" customFormat="1" x14ac:dyDescent="0.3"/>
    <row r="3427" s="160" customFormat="1" x14ac:dyDescent="0.3"/>
    <row r="3428" s="160" customFormat="1" x14ac:dyDescent="0.3"/>
    <row r="3429" s="160" customFormat="1" x14ac:dyDescent="0.3"/>
    <row r="3430" s="160" customFormat="1" x14ac:dyDescent="0.3"/>
    <row r="3431" s="160" customFormat="1" x14ac:dyDescent="0.3"/>
    <row r="3432" s="160" customFormat="1" x14ac:dyDescent="0.3"/>
    <row r="3433" s="160" customFormat="1" x14ac:dyDescent="0.3"/>
    <row r="3434" s="160" customFormat="1" x14ac:dyDescent="0.3"/>
    <row r="3435" s="160" customFormat="1" x14ac:dyDescent="0.3"/>
    <row r="3436" s="160" customFormat="1" x14ac:dyDescent="0.3"/>
    <row r="3437" s="160" customFormat="1" x14ac:dyDescent="0.3"/>
    <row r="3438" s="160" customFormat="1" x14ac:dyDescent="0.3"/>
    <row r="3439" s="160" customFormat="1" x14ac:dyDescent="0.3"/>
    <row r="3440" s="160" customFormat="1" x14ac:dyDescent="0.3"/>
    <row r="3441" s="160" customFormat="1" x14ac:dyDescent="0.3"/>
    <row r="3442" s="160" customFormat="1" x14ac:dyDescent="0.3"/>
    <row r="3443" s="160" customFormat="1" x14ac:dyDescent="0.3"/>
    <row r="3444" s="160" customFormat="1" x14ac:dyDescent="0.3"/>
    <row r="3445" s="160" customFormat="1" x14ac:dyDescent="0.3"/>
    <row r="3446" s="160" customFormat="1" x14ac:dyDescent="0.3"/>
    <row r="3447" s="160" customFormat="1" x14ac:dyDescent="0.3"/>
    <row r="3448" s="160" customFormat="1" x14ac:dyDescent="0.3"/>
    <row r="3449" s="160" customFormat="1" x14ac:dyDescent="0.3"/>
    <row r="3450" s="160" customFormat="1" x14ac:dyDescent="0.3"/>
    <row r="3451" s="160" customFormat="1" x14ac:dyDescent="0.3"/>
    <row r="3452" s="160" customFormat="1" x14ac:dyDescent="0.3"/>
    <row r="3453" s="160" customFormat="1" x14ac:dyDescent="0.3"/>
    <row r="3454" s="160" customFormat="1" x14ac:dyDescent="0.3"/>
    <row r="3455" s="160" customFormat="1" x14ac:dyDescent="0.3"/>
    <row r="3456" s="160" customFormat="1" x14ac:dyDescent="0.3"/>
    <row r="3457" s="160" customFormat="1" x14ac:dyDescent="0.3"/>
    <row r="3458" s="160" customFormat="1" x14ac:dyDescent="0.3"/>
    <row r="3459" s="160" customFormat="1" x14ac:dyDescent="0.3"/>
    <row r="3460" s="160" customFormat="1" x14ac:dyDescent="0.3"/>
    <row r="3461" s="160" customFormat="1" x14ac:dyDescent="0.3"/>
    <row r="3462" s="160" customFormat="1" x14ac:dyDescent="0.3"/>
    <row r="3463" s="160" customFormat="1" x14ac:dyDescent="0.3"/>
    <row r="3464" s="160" customFormat="1" x14ac:dyDescent="0.3"/>
    <row r="3465" s="160" customFormat="1" x14ac:dyDescent="0.3"/>
    <row r="3466" s="160" customFormat="1" x14ac:dyDescent="0.3"/>
    <row r="3467" s="160" customFormat="1" x14ac:dyDescent="0.3"/>
    <row r="3468" s="160" customFormat="1" x14ac:dyDescent="0.3"/>
    <row r="3469" s="160" customFormat="1" x14ac:dyDescent="0.3"/>
    <row r="3470" s="160" customFormat="1" x14ac:dyDescent="0.3"/>
    <row r="3471" s="160" customFormat="1" x14ac:dyDescent="0.3"/>
    <row r="3472" s="160" customFormat="1" x14ac:dyDescent="0.3"/>
    <row r="3473" s="160" customFormat="1" x14ac:dyDescent="0.3"/>
    <row r="3474" s="160" customFormat="1" x14ac:dyDescent="0.3"/>
    <row r="3475" s="160" customFormat="1" x14ac:dyDescent="0.3"/>
    <row r="3476" s="160" customFormat="1" x14ac:dyDescent="0.3"/>
    <row r="3477" s="160" customFormat="1" x14ac:dyDescent="0.3"/>
    <row r="3478" s="160" customFormat="1" x14ac:dyDescent="0.3"/>
    <row r="3479" s="160" customFormat="1" x14ac:dyDescent="0.3"/>
    <row r="3480" s="160" customFormat="1" x14ac:dyDescent="0.3"/>
    <row r="3481" s="160" customFormat="1" x14ac:dyDescent="0.3"/>
    <row r="3482" s="160" customFormat="1" x14ac:dyDescent="0.3"/>
    <row r="3483" s="160" customFormat="1" x14ac:dyDescent="0.3"/>
    <row r="3484" s="160" customFormat="1" x14ac:dyDescent="0.3"/>
    <row r="3485" s="160" customFormat="1" x14ac:dyDescent="0.3"/>
    <row r="3486" s="160" customFormat="1" x14ac:dyDescent="0.3"/>
    <row r="3487" s="160" customFormat="1" x14ac:dyDescent="0.3"/>
    <row r="3488" s="160" customFormat="1" x14ac:dyDescent="0.3"/>
    <row r="3489" s="160" customFormat="1" x14ac:dyDescent="0.3"/>
    <row r="3490" s="160" customFormat="1" x14ac:dyDescent="0.3"/>
    <row r="3491" s="160" customFormat="1" x14ac:dyDescent="0.3"/>
    <row r="3492" s="160" customFormat="1" x14ac:dyDescent="0.3"/>
    <row r="3493" s="160" customFormat="1" x14ac:dyDescent="0.3"/>
    <row r="3494" s="160" customFormat="1" x14ac:dyDescent="0.3"/>
    <row r="3495" s="160" customFormat="1" x14ac:dyDescent="0.3"/>
    <row r="3496" s="160" customFormat="1" x14ac:dyDescent="0.3"/>
    <row r="3497" s="160" customFormat="1" x14ac:dyDescent="0.3"/>
    <row r="3498" s="160" customFormat="1" x14ac:dyDescent="0.3"/>
    <row r="3499" s="160" customFormat="1" x14ac:dyDescent="0.3"/>
    <row r="3500" s="160" customFormat="1" x14ac:dyDescent="0.3"/>
    <row r="3501" s="160" customFormat="1" x14ac:dyDescent="0.3"/>
    <row r="3502" s="160" customFormat="1" x14ac:dyDescent="0.3"/>
    <row r="3503" s="160" customFormat="1" x14ac:dyDescent="0.3"/>
    <row r="3504" s="160" customFormat="1" x14ac:dyDescent="0.3"/>
    <row r="3505" s="160" customFormat="1" x14ac:dyDescent="0.3"/>
    <row r="3506" s="160" customFormat="1" x14ac:dyDescent="0.3"/>
    <row r="3507" s="160" customFormat="1" x14ac:dyDescent="0.3"/>
    <row r="3508" s="160" customFormat="1" x14ac:dyDescent="0.3"/>
    <row r="3509" s="160" customFormat="1" x14ac:dyDescent="0.3"/>
    <row r="3510" s="160" customFormat="1" x14ac:dyDescent="0.3"/>
    <row r="3511" s="160" customFormat="1" x14ac:dyDescent="0.3"/>
    <row r="3512" s="160" customFormat="1" x14ac:dyDescent="0.3"/>
    <row r="3513" s="160" customFormat="1" x14ac:dyDescent="0.3"/>
    <row r="3514" s="160" customFormat="1" x14ac:dyDescent="0.3"/>
    <row r="3515" s="160" customFormat="1" x14ac:dyDescent="0.3"/>
    <row r="3516" s="160" customFormat="1" x14ac:dyDescent="0.3"/>
    <row r="3517" s="160" customFormat="1" x14ac:dyDescent="0.3"/>
    <row r="3518" s="160" customFormat="1" x14ac:dyDescent="0.3"/>
    <row r="3519" s="160" customFormat="1" x14ac:dyDescent="0.3"/>
    <row r="3520" s="160" customFormat="1" x14ac:dyDescent="0.3"/>
    <row r="3521" s="160" customFormat="1" x14ac:dyDescent="0.3"/>
    <row r="3522" s="160" customFormat="1" x14ac:dyDescent="0.3"/>
    <row r="3523" s="160" customFormat="1" x14ac:dyDescent="0.3"/>
    <row r="3524" s="160" customFormat="1" x14ac:dyDescent="0.3"/>
    <row r="3525" s="160" customFormat="1" x14ac:dyDescent="0.3"/>
    <row r="3526" s="160" customFormat="1" x14ac:dyDescent="0.3"/>
    <row r="3527" s="160" customFormat="1" x14ac:dyDescent="0.3"/>
    <row r="3528" s="160" customFormat="1" x14ac:dyDescent="0.3"/>
    <row r="3529" s="160" customFormat="1" x14ac:dyDescent="0.3"/>
    <row r="3530" s="160" customFormat="1" x14ac:dyDescent="0.3"/>
    <row r="3531" s="160" customFormat="1" x14ac:dyDescent="0.3"/>
    <row r="3532" s="160" customFormat="1" x14ac:dyDescent="0.3"/>
    <row r="3533" s="160" customFormat="1" x14ac:dyDescent="0.3"/>
    <row r="3534" s="160" customFormat="1" x14ac:dyDescent="0.3"/>
    <row r="3535" s="160" customFormat="1" x14ac:dyDescent="0.3"/>
    <row r="3536" s="160" customFormat="1" x14ac:dyDescent="0.3"/>
    <row r="3537" s="160" customFormat="1" x14ac:dyDescent="0.3"/>
    <row r="3538" s="160" customFormat="1" x14ac:dyDescent="0.3"/>
    <row r="3539" s="160" customFormat="1" x14ac:dyDescent="0.3"/>
    <row r="3540" s="160" customFormat="1" x14ac:dyDescent="0.3"/>
    <row r="3541" s="160" customFormat="1" x14ac:dyDescent="0.3"/>
    <row r="3542" s="160" customFormat="1" x14ac:dyDescent="0.3"/>
    <row r="3543" s="160" customFormat="1" x14ac:dyDescent="0.3"/>
    <row r="3544" s="160" customFormat="1" x14ac:dyDescent="0.3"/>
    <row r="3545" s="160" customFormat="1" x14ac:dyDescent="0.3"/>
    <row r="3546" s="160" customFormat="1" x14ac:dyDescent="0.3"/>
    <row r="3547" s="160" customFormat="1" x14ac:dyDescent="0.3"/>
    <row r="3548" s="160" customFormat="1" x14ac:dyDescent="0.3"/>
    <row r="3549" s="160" customFormat="1" x14ac:dyDescent="0.3"/>
    <row r="3550" s="160" customFormat="1" x14ac:dyDescent="0.3"/>
    <row r="3551" s="160" customFormat="1" x14ac:dyDescent="0.3"/>
    <row r="3552" s="160" customFormat="1" x14ac:dyDescent="0.3"/>
    <row r="3553" s="160" customFormat="1" x14ac:dyDescent="0.3"/>
    <row r="3554" s="160" customFormat="1" x14ac:dyDescent="0.3"/>
    <row r="3555" s="160" customFormat="1" x14ac:dyDescent="0.3"/>
    <row r="3556" s="160" customFormat="1" x14ac:dyDescent="0.3"/>
    <row r="3557" s="160" customFormat="1" x14ac:dyDescent="0.3"/>
    <row r="3558" s="160" customFormat="1" x14ac:dyDescent="0.3"/>
    <row r="3559" s="160" customFormat="1" x14ac:dyDescent="0.3"/>
    <row r="3560" s="160" customFormat="1" x14ac:dyDescent="0.3"/>
    <row r="3561" s="160" customFormat="1" x14ac:dyDescent="0.3"/>
    <row r="3562" s="160" customFormat="1" x14ac:dyDescent="0.3"/>
    <row r="3563" s="160" customFormat="1" x14ac:dyDescent="0.3"/>
    <row r="3564" s="160" customFormat="1" x14ac:dyDescent="0.3"/>
    <row r="3565" s="160" customFormat="1" x14ac:dyDescent="0.3"/>
    <row r="3566" s="160" customFormat="1" x14ac:dyDescent="0.3"/>
    <row r="3567" s="160" customFormat="1" x14ac:dyDescent="0.3"/>
    <row r="3568" s="160" customFormat="1" x14ac:dyDescent="0.3"/>
    <row r="3569" s="160" customFormat="1" x14ac:dyDescent="0.3"/>
    <row r="3570" s="160" customFormat="1" x14ac:dyDescent="0.3"/>
    <row r="3571" s="160" customFormat="1" x14ac:dyDescent="0.3"/>
    <row r="3572" s="160" customFormat="1" x14ac:dyDescent="0.3"/>
    <row r="3573" s="160" customFormat="1" x14ac:dyDescent="0.3"/>
    <row r="3574" s="160" customFormat="1" x14ac:dyDescent="0.3"/>
    <row r="3575" s="160" customFormat="1" x14ac:dyDescent="0.3"/>
    <row r="3576" s="160" customFormat="1" x14ac:dyDescent="0.3"/>
    <row r="3577" s="160" customFormat="1" x14ac:dyDescent="0.3"/>
    <row r="3578" s="160" customFormat="1" x14ac:dyDescent="0.3"/>
    <row r="3579" s="160" customFormat="1" x14ac:dyDescent="0.3"/>
    <row r="3580" s="160" customFormat="1" x14ac:dyDescent="0.3"/>
    <row r="3581" s="160" customFormat="1" x14ac:dyDescent="0.3"/>
    <row r="3582" s="160" customFormat="1" x14ac:dyDescent="0.3"/>
    <row r="3583" s="160" customFormat="1" x14ac:dyDescent="0.3"/>
    <row r="3584" s="160" customFormat="1" x14ac:dyDescent="0.3"/>
    <row r="3585" s="160" customFormat="1" x14ac:dyDescent="0.3"/>
    <row r="3586" s="160" customFormat="1" x14ac:dyDescent="0.3"/>
    <row r="3587" s="160" customFormat="1" x14ac:dyDescent="0.3"/>
    <row r="3588" s="160" customFormat="1" x14ac:dyDescent="0.3"/>
    <row r="3589" s="160" customFormat="1" x14ac:dyDescent="0.3"/>
    <row r="3590" s="160" customFormat="1" x14ac:dyDescent="0.3"/>
    <row r="3591" s="160" customFormat="1" x14ac:dyDescent="0.3"/>
    <row r="3592" s="160" customFormat="1" x14ac:dyDescent="0.3"/>
    <row r="3593" s="160" customFormat="1" x14ac:dyDescent="0.3"/>
    <row r="3594" s="160" customFormat="1" x14ac:dyDescent="0.3"/>
    <row r="3595" s="160" customFormat="1" x14ac:dyDescent="0.3"/>
    <row r="3596" s="160" customFormat="1" x14ac:dyDescent="0.3"/>
    <row r="3597" s="160" customFormat="1" x14ac:dyDescent="0.3"/>
    <row r="3598" s="160" customFormat="1" x14ac:dyDescent="0.3"/>
    <row r="3599" s="160" customFormat="1" x14ac:dyDescent="0.3"/>
    <row r="3600" s="160" customFormat="1" x14ac:dyDescent="0.3"/>
    <row r="3601" s="160" customFormat="1" x14ac:dyDescent="0.3"/>
    <row r="3602" s="160" customFormat="1" x14ac:dyDescent="0.3"/>
    <row r="3603" s="160" customFormat="1" x14ac:dyDescent="0.3"/>
    <row r="3604" s="160" customFormat="1" x14ac:dyDescent="0.3"/>
    <row r="3605" s="160" customFormat="1" x14ac:dyDescent="0.3"/>
    <row r="3606" s="160" customFormat="1" x14ac:dyDescent="0.3"/>
    <row r="3607" s="160" customFormat="1" x14ac:dyDescent="0.3"/>
    <row r="3608" s="160" customFormat="1" x14ac:dyDescent="0.3"/>
    <row r="3609" s="160" customFormat="1" x14ac:dyDescent="0.3"/>
    <row r="3610" s="160" customFormat="1" x14ac:dyDescent="0.3"/>
    <row r="3611" s="160" customFormat="1" x14ac:dyDescent="0.3"/>
    <row r="3612" s="160" customFormat="1" x14ac:dyDescent="0.3"/>
    <row r="3613" s="160" customFormat="1" x14ac:dyDescent="0.3"/>
    <row r="3614" s="160" customFormat="1" x14ac:dyDescent="0.3"/>
    <row r="3615" s="160" customFormat="1" x14ac:dyDescent="0.3"/>
    <row r="3616" s="160" customFormat="1" x14ac:dyDescent="0.3"/>
    <row r="3617" s="160" customFormat="1" x14ac:dyDescent="0.3"/>
    <row r="3618" s="160" customFormat="1" x14ac:dyDescent="0.3"/>
    <row r="3619" s="160" customFormat="1" x14ac:dyDescent="0.3"/>
    <row r="3620" s="160" customFormat="1" x14ac:dyDescent="0.3"/>
    <row r="3621" s="160" customFormat="1" x14ac:dyDescent="0.3"/>
    <row r="3622" s="160" customFormat="1" x14ac:dyDescent="0.3"/>
    <row r="3623" s="160" customFormat="1" x14ac:dyDescent="0.3"/>
    <row r="3624" s="160" customFormat="1" x14ac:dyDescent="0.3"/>
    <row r="3625" s="160" customFormat="1" x14ac:dyDescent="0.3"/>
    <row r="3626" s="160" customFormat="1" x14ac:dyDescent="0.3"/>
    <row r="3627" s="160" customFormat="1" x14ac:dyDescent="0.3"/>
    <row r="3628" s="160" customFormat="1" x14ac:dyDescent="0.3"/>
    <row r="3629" s="160" customFormat="1" x14ac:dyDescent="0.3"/>
    <row r="3630" s="160" customFormat="1" x14ac:dyDescent="0.3"/>
    <row r="3631" s="160" customFormat="1" x14ac:dyDescent="0.3"/>
    <row r="3632" s="160" customFormat="1" x14ac:dyDescent="0.3"/>
    <row r="3633" s="160" customFormat="1" x14ac:dyDescent="0.3"/>
    <row r="3634" s="160" customFormat="1" x14ac:dyDescent="0.3"/>
    <row r="3635" s="160" customFormat="1" x14ac:dyDescent="0.3"/>
    <row r="3636" s="160" customFormat="1" x14ac:dyDescent="0.3"/>
    <row r="3637" s="160" customFormat="1" x14ac:dyDescent="0.3"/>
    <row r="3638" s="160" customFormat="1" x14ac:dyDescent="0.3"/>
    <row r="3639" s="160" customFormat="1" x14ac:dyDescent="0.3"/>
    <row r="3640" s="160" customFormat="1" x14ac:dyDescent="0.3"/>
    <row r="3641" s="160" customFormat="1" x14ac:dyDescent="0.3"/>
    <row r="3642" s="160" customFormat="1" x14ac:dyDescent="0.3"/>
    <row r="3643" s="160" customFormat="1" x14ac:dyDescent="0.3"/>
    <row r="3644" s="160" customFormat="1" x14ac:dyDescent="0.3"/>
    <row r="3645" s="160" customFormat="1" x14ac:dyDescent="0.3"/>
    <row r="3646" s="160" customFormat="1" x14ac:dyDescent="0.3"/>
    <row r="3647" s="160" customFormat="1" x14ac:dyDescent="0.3"/>
    <row r="3648" s="160" customFormat="1" x14ac:dyDescent="0.3"/>
    <row r="3649" s="160" customFormat="1" x14ac:dyDescent="0.3"/>
    <row r="3650" s="160" customFormat="1" x14ac:dyDescent="0.3"/>
    <row r="3651" s="160" customFormat="1" x14ac:dyDescent="0.3"/>
    <row r="3652" s="160" customFormat="1" x14ac:dyDescent="0.3"/>
    <row r="3653" s="160" customFormat="1" x14ac:dyDescent="0.3"/>
    <row r="3654" s="160" customFormat="1" x14ac:dyDescent="0.3"/>
    <row r="3655" s="160" customFormat="1" x14ac:dyDescent="0.3"/>
    <row r="3656" s="160" customFormat="1" x14ac:dyDescent="0.3"/>
    <row r="3657" s="160" customFormat="1" x14ac:dyDescent="0.3"/>
    <row r="3658" s="160" customFormat="1" x14ac:dyDescent="0.3"/>
    <row r="3659" s="160" customFormat="1" x14ac:dyDescent="0.3"/>
    <row r="3660" s="160" customFormat="1" x14ac:dyDescent="0.3"/>
    <row r="3661" s="160" customFormat="1" x14ac:dyDescent="0.3"/>
    <row r="3662" s="160" customFormat="1" x14ac:dyDescent="0.3"/>
    <row r="3663" s="160" customFormat="1" x14ac:dyDescent="0.3"/>
    <row r="3664" s="160" customFormat="1" x14ac:dyDescent="0.3"/>
    <row r="3665" s="160" customFormat="1" x14ac:dyDescent="0.3"/>
    <row r="3666" s="160" customFormat="1" x14ac:dyDescent="0.3"/>
    <row r="3667" s="160" customFormat="1" x14ac:dyDescent="0.3"/>
    <row r="3668" s="160" customFormat="1" x14ac:dyDescent="0.3"/>
    <row r="3669" s="160" customFormat="1" x14ac:dyDescent="0.3"/>
    <row r="3670" s="160" customFormat="1" x14ac:dyDescent="0.3"/>
    <row r="3671" s="160" customFormat="1" x14ac:dyDescent="0.3"/>
    <row r="3672" s="160" customFormat="1" x14ac:dyDescent="0.3"/>
    <row r="3673" s="160" customFormat="1" x14ac:dyDescent="0.3"/>
    <row r="3674" s="160" customFormat="1" x14ac:dyDescent="0.3"/>
    <row r="3675" s="160" customFormat="1" x14ac:dyDescent="0.3"/>
    <row r="3676" s="160" customFormat="1" x14ac:dyDescent="0.3"/>
    <row r="3677" s="160" customFormat="1" x14ac:dyDescent="0.3"/>
    <row r="3678" s="160" customFormat="1" x14ac:dyDescent="0.3"/>
    <row r="3679" s="160" customFormat="1" x14ac:dyDescent="0.3"/>
    <row r="3680" s="160" customFormat="1" x14ac:dyDescent="0.3"/>
    <row r="3681" s="160" customFormat="1" x14ac:dyDescent="0.3"/>
    <row r="3682" s="160" customFormat="1" x14ac:dyDescent="0.3"/>
    <row r="3683" s="160" customFormat="1" x14ac:dyDescent="0.3"/>
    <row r="3684" s="160" customFormat="1" x14ac:dyDescent="0.3"/>
    <row r="3685" s="160" customFormat="1" x14ac:dyDescent="0.3"/>
    <row r="3686" s="160" customFormat="1" x14ac:dyDescent="0.3"/>
    <row r="3687" s="160" customFormat="1" x14ac:dyDescent="0.3"/>
    <row r="3688" s="160" customFormat="1" x14ac:dyDescent="0.3"/>
    <row r="3689" s="160" customFormat="1" x14ac:dyDescent="0.3"/>
    <row r="3690" s="160" customFormat="1" x14ac:dyDescent="0.3"/>
    <row r="3691" s="160" customFormat="1" x14ac:dyDescent="0.3"/>
    <row r="3692" s="160" customFormat="1" x14ac:dyDescent="0.3"/>
    <row r="3693" s="160" customFormat="1" x14ac:dyDescent="0.3"/>
    <row r="3694" s="160" customFormat="1" x14ac:dyDescent="0.3"/>
    <row r="3695" s="160" customFormat="1" x14ac:dyDescent="0.3"/>
    <row r="3696" s="160" customFormat="1" x14ac:dyDescent="0.3"/>
    <row r="3697" s="160" customFormat="1" x14ac:dyDescent="0.3"/>
    <row r="3698" s="160" customFormat="1" x14ac:dyDescent="0.3"/>
    <row r="3699" s="160" customFormat="1" x14ac:dyDescent="0.3"/>
    <row r="3700" s="160" customFormat="1" x14ac:dyDescent="0.3"/>
    <row r="3701" s="160" customFormat="1" x14ac:dyDescent="0.3"/>
    <row r="3702" s="160" customFormat="1" x14ac:dyDescent="0.3"/>
    <row r="3703" s="160" customFormat="1" x14ac:dyDescent="0.3"/>
    <row r="3704" s="160" customFormat="1" x14ac:dyDescent="0.3"/>
    <row r="3705" s="160" customFormat="1" x14ac:dyDescent="0.3"/>
    <row r="3706" s="160" customFormat="1" x14ac:dyDescent="0.3"/>
    <row r="3707" s="160" customFormat="1" x14ac:dyDescent="0.3"/>
    <row r="3708" s="160" customFormat="1" x14ac:dyDescent="0.3"/>
    <row r="3709" s="160" customFormat="1" x14ac:dyDescent="0.3"/>
    <row r="3710" s="160" customFormat="1" x14ac:dyDescent="0.3"/>
    <row r="3711" s="160" customFormat="1" x14ac:dyDescent="0.3"/>
    <row r="3712" s="160" customFormat="1" x14ac:dyDescent="0.3"/>
    <row r="3713" s="160" customFormat="1" x14ac:dyDescent="0.3"/>
    <row r="3714" s="160" customFormat="1" x14ac:dyDescent="0.3"/>
    <row r="3715" s="160" customFormat="1" x14ac:dyDescent="0.3"/>
    <row r="3716" s="160" customFormat="1" x14ac:dyDescent="0.3"/>
    <row r="3717" s="160" customFormat="1" x14ac:dyDescent="0.3"/>
    <row r="3718" s="160" customFormat="1" x14ac:dyDescent="0.3"/>
    <row r="3719" s="160" customFormat="1" x14ac:dyDescent="0.3"/>
    <row r="3720" s="160" customFormat="1" x14ac:dyDescent="0.3"/>
    <row r="3721" s="160" customFormat="1" x14ac:dyDescent="0.3"/>
    <row r="3722" s="160" customFormat="1" x14ac:dyDescent="0.3"/>
    <row r="3723" s="160" customFormat="1" x14ac:dyDescent="0.3"/>
    <row r="3724" s="160" customFormat="1" x14ac:dyDescent="0.3"/>
    <row r="3725" s="160" customFormat="1" x14ac:dyDescent="0.3"/>
    <row r="3726" s="160" customFormat="1" x14ac:dyDescent="0.3"/>
    <row r="3727" s="160" customFormat="1" x14ac:dyDescent="0.3"/>
    <row r="3728" s="160" customFormat="1" x14ac:dyDescent="0.3"/>
    <row r="3729" s="160" customFormat="1" x14ac:dyDescent="0.3"/>
    <row r="3730" s="160" customFormat="1" x14ac:dyDescent="0.3"/>
    <row r="3731" s="160" customFormat="1" x14ac:dyDescent="0.3"/>
    <row r="3732" s="160" customFormat="1" x14ac:dyDescent="0.3"/>
    <row r="3733" s="160" customFormat="1" x14ac:dyDescent="0.3"/>
    <row r="3734" s="160" customFormat="1" x14ac:dyDescent="0.3"/>
    <row r="3735" s="160" customFormat="1" x14ac:dyDescent="0.3"/>
    <row r="3736" s="160" customFormat="1" x14ac:dyDescent="0.3"/>
    <row r="3737" s="160" customFormat="1" x14ac:dyDescent="0.3"/>
    <row r="3738" s="160" customFormat="1" x14ac:dyDescent="0.3"/>
    <row r="3739" s="160" customFormat="1" x14ac:dyDescent="0.3"/>
    <row r="3740" s="160" customFormat="1" x14ac:dyDescent="0.3"/>
    <row r="3741" s="160" customFormat="1" x14ac:dyDescent="0.3"/>
    <row r="3742" s="160" customFormat="1" x14ac:dyDescent="0.3"/>
    <row r="3743" s="160" customFormat="1" x14ac:dyDescent="0.3"/>
    <row r="3744" s="160" customFormat="1" x14ac:dyDescent="0.3"/>
    <row r="3745" s="160" customFormat="1" x14ac:dyDescent="0.3"/>
    <row r="3746" s="160" customFormat="1" x14ac:dyDescent="0.3"/>
    <row r="3747" s="160" customFormat="1" x14ac:dyDescent="0.3"/>
    <row r="3748" s="160" customFormat="1" x14ac:dyDescent="0.3"/>
    <row r="3749" s="160" customFormat="1" x14ac:dyDescent="0.3"/>
    <row r="3750" s="160" customFormat="1" x14ac:dyDescent="0.3"/>
    <row r="3751" s="160" customFormat="1" x14ac:dyDescent="0.3"/>
    <row r="3752" s="160" customFormat="1" x14ac:dyDescent="0.3"/>
    <row r="3753" s="160" customFormat="1" x14ac:dyDescent="0.3"/>
    <row r="3754" s="160" customFormat="1" x14ac:dyDescent="0.3"/>
    <row r="3755" s="160" customFormat="1" x14ac:dyDescent="0.3"/>
    <row r="3756" s="160" customFormat="1" x14ac:dyDescent="0.3"/>
    <row r="3757" s="160" customFormat="1" x14ac:dyDescent="0.3"/>
    <row r="3758" s="160" customFormat="1" x14ac:dyDescent="0.3"/>
    <row r="3759" s="160" customFormat="1" x14ac:dyDescent="0.3"/>
    <row r="3760" s="160" customFormat="1" x14ac:dyDescent="0.3"/>
    <row r="3761" s="160" customFormat="1" x14ac:dyDescent="0.3"/>
    <row r="3762" s="160" customFormat="1" x14ac:dyDescent="0.3"/>
    <row r="3763" s="160" customFormat="1" x14ac:dyDescent="0.3"/>
    <row r="3764" s="160" customFormat="1" x14ac:dyDescent="0.3"/>
    <row r="3765" s="160" customFormat="1" x14ac:dyDescent="0.3"/>
    <row r="3766" s="160" customFormat="1" x14ac:dyDescent="0.3"/>
    <row r="3767" s="160" customFormat="1" x14ac:dyDescent="0.3"/>
    <row r="3768" s="160" customFormat="1" x14ac:dyDescent="0.3"/>
    <row r="3769" s="160" customFormat="1" x14ac:dyDescent="0.3"/>
    <row r="3770" s="160" customFormat="1" x14ac:dyDescent="0.3"/>
    <row r="3771" s="160" customFormat="1" x14ac:dyDescent="0.3"/>
    <row r="3772" s="160" customFormat="1" x14ac:dyDescent="0.3"/>
    <row r="3773" s="160" customFormat="1" x14ac:dyDescent="0.3"/>
    <row r="3774" s="160" customFormat="1" x14ac:dyDescent="0.3"/>
    <row r="3775" s="160" customFormat="1" x14ac:dyDescent="0.3"/>
    <row r="3776" s="160" customFormat="1" x14ac:dyDescent="0.3"/>
    <row r="3777" s="160" customFormat="1" x14ac:dyDescent="0.3"/>
    <row r="3778" s="160" customFormat="1" x14ac:dyDescent="0.3"/>
    <row r="3779" s="160" customFormat="1" x14ac:dyDescent="0.3"/>
    <row r="3780" s="160" customFormat="1" x14ac:dyDescent="0.3"/>
    <row r="3781" s="160" customFormat="1" x14ac:dyDescent="0.3"/>
    <row r="3782" s="160" customFormat="1" x14ac:dyDescent="0.3"/>
    <row r="3783" s="160" customFormat="1" x14ac:dyDescent="0.3"/>
    <row r="3784" s="160" customFormat="1" x14ac:dyDescent="0.3"/>
    <row r="3785" s="160" customFormat="1" x14ac:dyDescent="0.3"/>
    <row r="3786" s="160" customFormat="1" x14ac:dyDescent="0.3"/>
    <row r="3787" s="160" customFormat="1" x14ac:dyDescent="0.3"/>
    <row r="3788" s="160" customFormat="1" x14ac:dyDescent="0.3"/>
    <row r="3789" s="160" customFormat="1" x14ac:dyDescent="0.3"/>
    <row r="3790" s="160" customFormat="1" x14ac:dyDescent="0.3"/>
    <row r="3791" s="160" customFormat="1" x14ac:dyDescent="0.3"/>
    <row r="3792" s="160" customFormat="1" x14ac:dyDescent="0.3"/>
    <row r="3793" s="160" customFormat="1" x14ac:dyDescent="0.3"/>
    <row r="3794" s="160" customFormat="1" x14ac:dyDescent="0.3"/>
    <row r="3795" s="160" customFormat="1" x14ac:dyDescent="0.3"/>
    <row r="3796" s="160" customFormat="1" x14ac:dyDescent="0.3"/>
    <row r="3797" s="160" customFormat="1" x14ac:dyDescent="0.3"/>
    <row r="3798" s="160" customFormat="1" x14ac:dyDescent="0.3"/>
    <row r="3799" s="160" customFormat="1" x14ac:dyDescent="0.3"/>
    <row r="3800" s="160" customFormat="1" x14ac:dyDescent="0.3"/>
    <row r="3801" s="160" customFormat="1" x14ac:dyDescent="0.3"/>
    <row r="3802" s="160" customFormat="1" x14ac:dyDescent="0.3"/>
    <row r="3803" s="160" customFormat="1" x14ac:dyDescent="0.3"/>
    <row r="3804" s="160" customFormat="1" x14ac:dyDescent="0.3"/>
    <row r="3805" s="160" customFormat="1" x14ac:dyDescent="0.3"/>
    <row r="3806" s="160" customFormat="1" x14ac:dyDescent="0.3"/>
    <row r="3807" s="160" customFormat="1" x14ac:dyDescent="0.3"/>
    <row r="3808" s="160" customFormat="1" x14ac:dyDescent="0.3"/>
    <row r="3809" s="160" customFormat="1" x14ac:dyDescent="0.3"/>
    <row r="3810" s="160" customFormat="1" x14ac:dyDescent="0.3"/>
    <row r="3811" s="160" customFormat="1" x14ac:dyDescent="0.3"/>
    <row r="3812" s="160" customFormat="1" x14ac:dyDescent="0.3"/>
    <row r="3813" s="160" customFormat="1" x14ac:dyDescent="0.3"/>
    <row r="3814" s="160" customFormat="1" x14ac:dyDescent="0.3"/>
    <row r="3815" s="160" customFormat="1" x14ac:dyDescent="0.3"/>
    <row r="3816" s="160" customFormat="1" x14ac:dyDescent="0.3"/>
    <row r="3817" s="160" customFormat="1" x14ac:dyDescent="0.3"/>
    <row r="3818" s="160" customFormat="1" x14ac:dyDescent="0.3"/>
    <row r="3819" s="160" customFormat="1" x14ac:dyDescent="0.3"/>
    <row r="3820" s="160" customFormat="1" x14ac:dyDescent="0.3"/>
    <row r="3821" s="160" customFormat="1" x14ac:dyDescent="0.3"/>
    <row r="3822" s="160" customFormat="1" x14ac:dyDescent="0.3"/>
    <row r="3823" s="160" customFormat="1" x14ac:dyDescent="0.3"/>
    <row r="3824" s="160" customFormat="1" x14ac:dyDescent="0.3"/>
    <row r="3825" s="160" customFormat="1" x14ac:dyDescent="0.3"/>
    <row r="3826" s="160" customFormat="1" x14ac:dyDescent="0.3"/>
    <row r="3827" s="160" customFormat="1" x14ac:dyDescent="0.3"/>
    <row r="3828" s="160" customFormat="1" x14ac:dyDescent="0.3"/>
    <row r="3829" s="160" customFormat="1" x14ac:dyDescent="0.3"/>
    <row r="3830" s="160" customFormat="1" x14ac:dyDescent="0.3"/>
    <row r="3831" s="160" customFormat="1" x14ac:dyDescent="0.3"/>
    <row r="3832" s="160" customFormat="1" x14ac:dyDescent="0.3"/>
    <row r="3833" s="160" customFormat="1" x14ac:dyDescent="0.3"/>
    <row r="3834" s="160" customFormat="1" x14ac:dyDescent="0.3"/>
    <row r="3835" s="160" customFormat="1" x14ac:dyDescent="0.3"/>
    <row r="3836" s="160" customFormat="1" x14ac:dyDescent="0.3"/>
    <row r="3837" s="160" customFormat="1" x14ac:dyDescent="0.3"/>
    <row r="3838" s="160" customFormat="1" x14ac:dyDescent="0.3"/>
    <row r="3839" s="160" customFormat="1" x14ac:dyDescent="0.3"/>
    <row r="3840" s="160" customFormat="1" x14ac:dyDescent="0.3"/>
    <row r="3841" s="160" customFormat="1" x14ac:dyDescent="0.3"/>
    <row r="3842" s="160" customFormat="1" x14ac:dyDescent="0.3"/>
    <row r="3843" s="160" customFormat="1" x14ac:dyDescent="0.3"/>
    <row r="3844" s="160" customFormat="1" x14ac:dyDescent="0.3"/>
    <row r="3845" s="160" customFormat="1" x14ac:dyDescent="0.3"/>
    <row r="3846" s="160" customFormat="1" x14ac:dyDescent="0.3"/>
    <row r="3847" s="160" customFormat="1" x14ac:dyDescent="0.3"/>
    <row r="3848" s="160" customFormat="1" x14ac:dyDescent="0.3"/>
    <row r="3849" s="160" customFormat="1" x14ac:dyDescent="0.3"/>
    <row r="3850" s="160" customFormat="1" x14ac:dyDescent="0.3"/>
    <row r="3851" s="160" customFormat="1" x14ac:dyDescent="0.3"/>
    <row r="3852" s="160" customFormat="1" x14ac:dyDescent="0.3"/>
    <row r="3853" s="160" customFormat="1" x14ac:dyDescent="0.3"/>
    <row r="3854" s="160" customFormat="1" x14ac:dyDescent="0.3"/>
    <row r="3855" s="160" customFormat="1" x14ac:dyDescent="0.3"/>
    <row r="3856" s="160" customFormat="1" x14ac:dyDescent="0.3"/>
    <row r="3857" s="160" customFormat="1" x14ac:dyDescent="0.3"/>
    <row r="3858" s="160" customFormat="1" x14ac:dyDescent="0.3"/>
    <row r="3859" s="160" customFormat="1" x14ac:dyDescent="0.3"/>
    <row r="3860" s="160" customFormat="1" x14ac:dyDescent="0.3"/>
    <row r="3861" s="160" customFormat="1" x14ac:dyDescent="0.3"/>
    <row r="3862" s="160" customFormat="1" x14ac:dyDescent="0.3"/>
    <row r="3863" s="160" customFormat="1" x14ac:dyDescent="0.3"/>
    <row r="3864" s="160" customFormat="1" x14ac:dyDescent="0.3"/>
    <row r="3865" s="160" customFormat="1" x14ac:dyDescent="0.3"/>
    <row r="3866" s="160" customFormat="1" x14ac:dyDescent="0.3"/>
    <row r="3867" s="160" customFormat="1" x14ac:dyDescent="0.3"/>
    <row r="3868" s="160" customFormat="1" x14ac:dyDescent="0.3"/>
    <row r="3869" s="160" customFormat="1" x14ac:dyDescent="0.3"/>
    <row r="3870" s="160" customFormat="1" x14ac:dyDescent="0.3"/>
    <row r="3871" s="160" customFormat="1" x14ac:dyDescent="0.3"/>
    <row r="3872" s="160" customFormat="1" x14ac:dyDescent="0.3"/>
    <row r="3873" s="160" customFormat="1" x14ac:dyDescent="0.3"/>
    <row r="3874" s="160" customFormat="1" x14ac:dyDescent="0.3"/>
    <row r="3875" s="160" customFormat="1" x14ac:dyDescent="0.3"/>
    <row r="3876" s="160" customFormat="1" x14ac:dyDescent="0.3"/>
    <row r="3877" s="160" customFormat="1" x14ac:dyDescent="0.3"/>
    <row r="3878" s="160" customFormat="1" x14ac:dyDescent="0.3"/>
    <row r="3879" s="160" customFormat="1" x14ac:dyDescent="0.3"/>
    <row r="3880" s="160" customFormat="1" x14ac:dyDescent="0.3"/>
    <row r="3881" s="160" customFormat="1" x14ac:dyDescent="0.3"/>
    <row r="3882" s="160" customFormat="1" x14ac:dyDescent="0.3"/>
    <row r="3883" s="160" customFormat="1" x14ac:dyDescent="0.3"/>
    <row r="3884" s="160" customFormat="1" x14ac:dyDescent="0.3"/>
    <row r="3885" s="160" customFormat="1" x14ac:dyDescent="0.3"/>
    <row r="3886" s="160" customFormat="1" x14ac:dyDescent="0.3"/>
    <row r="3887" s="160" customFormat="1" x14ac:dyDescent="0.3"/>
    <row r="3888" s="160" customFormat="1" x14ac:dyDescent="0.3"/>
    <row r="3889" s="160" customFormat="1" x14ac:dyDescent="0.3"/>
    <row r="3890" s="160" customFormat="1" x14ac:dyDescent="0.3"/>
    <row r="3891" s="160" customFormat="1" x14ac:dyDescent="0.3"/>
    <row r="3892" s="160" customFormat="1" x14ac:dyDescent="0.3"/>
    <row r="3893" s="160" customFormat="1" x14ac:dyDescent="0.3"/>
    <row r="3894" s="160" customFormat="1" x14ac:dyDescent="0.3"/>
    <row r="3895" s="160" customFormat="1" x14ac:dyDescent="0.3"/>
    <row r="3896" s="160" customFormat="1" x14ac:dyDescent="0.3"/>
    <row r="3897" s="160" customFormat="1" x14ac:dyDescent="0.3"/>
    <row r="3898" s="160" customFormat="1" x14ac:dyDescent="0.3"/>
    <row r="3899" s="160" customFormat="1" x14ac:dyDescent="0.3"/>
    <row r="3900" s="160" customFormat="1" x14ac:dyDescent="0.3"/>
    <row r="3901" s="160" customFormat="1" x14ac:dyDescent="0.3"/>
    <row r="3902" s="160" customFormat="1" x14ac:dyDescent="0.3"/>
    <row r="3903" s="160" customFormat="1" x14ac:dyDescent="0.3"/>
    <row r="3904" s="160" customFormat="1" x14ac:dyDescent="0.3"/>
    <row r="3905" s="160" customFormat="1" x14ac:dyDescent="0.3"/>
    <row r="3906" s="160" customFormat="1" x14ac:dyDescent="0.3"/>
    <row r="3907" s="160" customFormat="1" x14ac:dyDescent="0.3"/>
    <row r="3908" s="160" customFormat="1" x14ac:dyDescent="0.3"/>
    <row r="3909" s="160" customFormat="1" x14ac:dyDescent="0.3"/>
    <row r="3910" s="160" customFormat="1" x14ac:dyDescent="0.3"/>
    <row r="3911" s="160" customFormat="1" x14ac:dyDescent="0.3"/>
    <row r="3912" s="160" customFormat="1" x14ac:dyDescent="0.3"/>
    <row r="3913" s="160" customFormat="1" x14ac:dyDescent="0.3"/>
    <row r="3914" s="160" customFormat="1" x14ac:dyDescent="0.3"/>
    <row r="3915" s="160" customFormat="1" x14ac:dyDescent="0.3"/>
    <row r="3916" s="160" customFormat="1" x14ac:dyDescent="0.3"/>
    <row r="3917" s="160" customFormat="1" x14ac:dyDescent="0.3"/>
    <row r="3918" s="160" customFormat="1" x14ac:dyDescent="0.3"/>
    <row r="3919" s="160" customFormat="1" x14ac:dyDescent="0.3"/>
    <row r="3920" s="160" customFormat="1" x14ac:dyDescent="0.3"/>
    <row r="3921" s="160" customFormat="1" x14ac:dyDescent="0.3"/>
    <row r="3922" s="160" customFormat="1" x14ac:dyDescent="0.3"/>
    <row r="3923" s="160" customFormat="1" x14ac:dyDescent="0.3"/>
    <row r="3924" s="160" customFormat="1" x14ac:dyDescent="0.3"/>
    <row r="3925" s="160" customFormat="1" x14ac:dyDescent="0.3"/>
    <row r="3926" s="160" customFormat="1" x14ac:dyDescent="0.3"/>
    <row r="3927" s="160" customFormat="1" x14ac:dyDescent="0.3"/>
    <row r="3928" s="160" customFormat="1" x14ac:dyDescent="0.3"/>
    <row r="3929" s="160" customFormat="1" x14ac:dyDescent="0.3"/>
    <row r="3930" s="160" customFormat="1" x14ac:dyDescent="0.3"/>
    <row r="3931" s="160" customFormat="1" x14ac:dyDescent="0.3"/>
    <row r="3932" s="160" customFormat="1" x14ac:dyDescent="0.3"/>
    <row r="3933" s="160" customFormat="1" x14ac:dyDescent="0.3"/>
    <row r="3934" s="160" customFormat="1" x14ac:dyDescent="0.3"/>
    <row r="3935" s="160" customFormat="1" x14ac:dyDescent="0.3"/>
    <row r="3936" s="160" customFormat="1" x14ac:dyDescent="0.3"/>
    <row r="3937" s="160" customFormat="1" x14ac:dyDescent="0.3"/>
    <row r="3938" s="160" customFormat="1" x14ac:dyDescent="0.3"/>
    <row r="3939" s="160" customFormat="1" x14ac:dyDescent="0.3"/>
    <row r="3940" s="160" customFormat="1" x14ac:dyDescent="0.3"/>
    <row r="3941" s="160" customFormat="1" x14ac:dyDescent="0.3"/>
    <row r="3942" s="160" customFormat="1" x14ac:dyDescent="0.3"/>
    <row r="3943" s="160" customFormat="1" x14ac:dyDescent="0.3"/>
    <row r="3944" s="160" customFormat="1" x14ac:dyDescent="0.3"/>
    <row r="3945" s="160" customFormat="1" x14ac:dyDescent="0.3"/>
    <row r="3946" s="160" customFormat="1" x14ac:dyDescent="0.3"/>
    <row r="3947" s="160" customFormat="1" x14ac:dyDescent="0.3"/>
    <row r="3948" s="160" customFormat="1" x14ac:dyDescent="0.3"/>
    <row r="3949" s="160" customFormat="1" x14ac:dyDescent="0.3"/>
    <row r="3950" s="160" customFormat="1" x14ac:dyDescent="0.3"/>
    <row r="3951" s="160" customFormat="1" x14ac:dyDescent="0.3"/>
    <row r="3952" s="160" customFormat="1" x14ac:dyDescent="0.3"/>
    <row r="3953" s="160" customFormat="1" x14ac:dyDescent="0.3"/>
    <row r="3954" s="160" customFormat="1" x14ac:dyDescent="0.3"/>
    <row r="3955" s="160" customFormat="1" x14ac:dyDescent="0.3"/>
    <row r="3956" s="160" customFormat="1" x14ac:dyDescent="0.3"/>
    <row r="3957" s="160" customFormat="1" x14ac:dyDescent="0.3"/>
    <row r="3958" s="160" customFormat="1" x14ac:dyDescent="0.3"/>
    <row r="3959" s="160" customFormat="1" x14ac:dyDescent="0.3"/>
    <row r="3960" s="160" customFormat="1" x14ac:dyDescent="0.3"/>
    <row r="3961" s="160" customFormat="1" x14ac:dyDescent="0.3"/>
    <row r="3962" s="160" customFormat="1" x14ac:dyDescent="0.3"/>
    <row r="3963" s="160" customFormat="1" x14ac:dyDescent="0.3"/>
    <row r="3964" s="160" customFormat="1" x14ac:dyDescent="0.3"/>
    <row r="3965" s="160" customFormat="1" x14ac:dyDescent="0.3"/>
    <row r="3966" s="160" customFormat="1" x14ac:dyDescent="0.3"/>
    <row r="3967" s="160" customFormat="1" x14ac:dyDescent="0.3"/>
    <row r="3968" s="160" customFormat="1" x14ac:dyDescent="0.3"/>
    <row r="3969" s="160" customFormat="1" x14ac:dyDescent="0.3"/>
    <row r="3970" s="160" customFormat="1" x14ac:dyDescent="0.3"/>
    <row r="3971" s="160" customFormat="1" x14ac:dyDescent="0.3"/>
    <row r="3972" s="160" customFormat="1" x14ac:dyDescent="0.3"/>
    <row r="3973" s="160" customFormat="1" x14ac:dyDescent="0.3"/>
    <row r="3974" s="160" customFormat="1" x14ac:dyDescent="0.3"/>
    <row r="3975" s="160" customFormat="1" x14ac:dyDescent="0.3"/>
    <row r="3976" s="160" customFormat="1" x14ac:dyDescent="0.3"/>
    <row r="3977" s="160" customFormat="1" x14ac:dyDescent="0.3"/>
    <row r="3978" s="160" customFormat="1" x14ac:dyDescent="0.3"/>
    <row r="3979" s="160" customFormat="1" x14ac:dyDescent="0.3"/>
    <row r="3980" s="160" customFormat="1" x14ac:dyDescent="0.3"/>
    <row r="3981" s="160" customFormat="1" x14ac:dyDescent="0.3"/>
    <row r="3982" s="160" customFormat="1" x14ac:dyDescent="0.3"/>
    <row r="3983" s="160" customFormat="1" x14ac:dyDescent="0.3"/>
    <row r="3984" s="160" customFormat="1" x14ac:dyDescent="0.3"/>
    <row r="3985" s="160" customFormat="1" x14ac:dyDescent="0.3"/>
    <row r="3986" s="160" customFormat="1" x14ac:dyDescent="0.3"/>
    <row r="3987" s="160" customFormat="1" x14ac:dyDescent="0.3"/>
    <row r="3988" s="160" customFormat="1" x14ac:dyDescent="0.3"/>
    <row r="3989" s="160" customFormat="1" x14ac:dyDescent="0.3"/>
    <row r="3990" s="160" customFormat="1" x14ac:dyDescent="0.3"/>
    <row r="3991" s="160" customFormat="1" x14ac:dyDescent="0.3"/>
    <row r="3992" s="160" customFormat="1" x14ac:dyDescent="0.3"/>
    <row r="3993" s="160" customFormat="1" x14ac:dyDescent="0.3"/>
    <row r="3994" s="160" customFormat="1" x14ac:dyDescent="0.3"/>
    <row r="3995" s="160" customFormat="1" x14ac:dyDescent="0.3"/>
    <row r="3996" s="160" customFormat="1" x14ac:dyDescent="0.3"/>
    <row r="3997" s="160" customFormat="1" x14ac:dyDescent="0.3"/>
    <row r="3998" s="160" customFormat="1" x14ac:dyDescent="0.3"/>
    <row r="3999" s="160" customFormat="1" x14ac:dyDescent="0.3"/>
    <row r="4000" s="160" customFormat="1" x14ac:dyDescent="0.3"/>
    <row r="4001" s="160" customFormat="1" x14ac:dyDescent="0.3"/>
    <row r="4002" s="160" customFormat="1" x14ac:dyDescent="0.3"/>
    <row r="4003" s="160" customFormat="1" x14ac:dyDescent="0.3"/>
    <row r="4004" s="160" customFormat="1" x14ac:dyDescent="0.3"/>
    <row r="4005" s="160" customFormat="1" x14ac:dyDescent="0.3"/>
    <row r="4006" s="160" customFormat="1" x14ac:dyDescent="0.3"/>
    <row r="4007" s="160" customFormat="1" x14ac:dyDescent="0.3"/>
    <row r="4008" s="160" customFormat="1" x14ac:dyDescent="0.3"/>
    <row r="4009" s="160" customFormat="1" x14ac:dyDescent="0.3"/>
    <row r="4010" s="160" customFormat="1" x14ac:dyDescent="0.3"/>
    <row r="4011" s="160" customFormat="1" x14ac:dyDescent="0.3"/>
    <row r="4012" s="160" customFormat="1" x14ac:dyDescent="0.3"/>
    <row r="4013" s="160" customFormat="1" x14ac:dyDescent="0.3"/>
    <row r="4014" s="160" customFormat="1" x14ac:dyDescent="0.3"/>
    <row r="4015" s="160" customFormat="1" x14ac:dyDescent="0.3"/>
    <row r="4016" s="160" customFormat="1" x14ac:dyDescent="0.3"/>
    <row r="4017" s="160" customFormat="1" x14ac:dyDescent="0.3"/>
    <row r="4018" s="160" customFormat="1" x14ac:dyDescent="0.3"/>
    <row r="4019" s="160" customFormat="1" x14ac:dyDescent="0.3"/>
    <row r="4020" s="160" customFormat="1" x14ac:dyDescent="0.3"/>
    <row r="4021" s="160" customFormat="1" x14ac:dyDescent="0.3"/>
    <row r="4022" s="160" customFormat="1" x14ac:dyDescent="0.3"/>
    <row r="4023" s="160" customFormat="1" x14ac:dyDescent="0.3"/>
    <row r="4024" s="160" customFormat="1" x14ac:dyDescent="0.3"/>
    <row r="4025" s="160" customFormat="1" x14ac:dyDescent="0.3"/>
    <row r="4026" s="160" customFormat="1" x14ac:dyDescent="0.3"/>
    <row r="4027" s="160" customFormat="1" x14ac:dyDescent="0.3"/>
    <row r="4028" s="160" customFormat="1" x14ac:dyDescent="0.3"/>
    <row r="4029" s="160" customFormat="1" x14ac:dyDescent="0.3"/>
    <row r="4030" s="160" customFormat="1" x14ac:dyDescent="0.3"/>
    <row r="4031" s="160" customFormat="1" x14ac:dyDescent="0.3"/>
    <row r="4032" s="160" customFormat="1" x14ac:dyDescent="0.3"/>
    <row r="4033" s="160" customFormat="1" x14ac:dyDescent="0.3"/>
    <row r="4034" s="160" customFormat="1" x14ac:dyDescent="0.3"/>
    <row r="4035" s="160" customFormat="1" x14ac:dyDescent="0.3"/>
    <row r="4036" s="160" customFormat="1" x14ac:dyDescent="0.3"/>
    <row r="4037" s="160" customFormat="1" x14ac:dyDescent="0.3"/>
    <row r="4038" s="160" customFormat="1" x14ac:dyDescent="0.3"/>
    <row r="4039" s="160" customFormat="1" x14ac:dyDescent="0.3"/>
    <row r="4040" s="160" customFormat="1" x14ac:dyDescent="0.3"/>
    <row r="4041" s="160" customFormat="1" x14ac:dyDescent="0.3"/>
    <row r="4042" s="160" customFormat="1" x14ac:dyDescent="0.3"/>
    <row r="4043" s="160" customFormat="1" x14ac:dyDescent="0.3"/>
    <row r="4044" s="160" customFormat="1" x14ac:dyDescent="0.3"/>
    <row r="4045" s="160" customFormat="1" x14ac:dyDescent="0.3"/>
    <row r="4046" s="160" customFormat="1" x14ac:dyDescent="0.3"/>
    <row r="4047" s="160" customFormat="1" x14ac:dyDescent="0.3"/>
    <row r="4048" s="160" customFormat="1" x14ac:dyDescent="0.3"/>
    <row r="4049" s="160" customFormat="1" x14ac:dyDescent="0.3"/>
    <row r="4050" s="160" customFormat="1" x14ac:dyDescent="0.3"/>
    <row r="4051" s="160" customFormat="1" x14ac:dyDescent="0.3"/>
    <row r="4052" s="160" customFormat="1" x14ac:dyDescent="0.3"/>
    <row r="4053" s="160" customFormat="1" x14ac:dyDescent="0.3"/>
    <row r="4054" s="160" customFormat="1" x14ac:dyDescent="0.3"/>
    <row r="4055" s="160" customFormat="1" x14ac:dyDescent="0.3"/>
    <row r="4056" s="160" customFormat="1" x14ac:dyDescent="0.3"/>
    <row r="4057" s="160" customFormat="1" x14ac:dyDescent="0.3"/>
    <row r="4058" s="160" customFormat="1" x14ac:dyDescent="0.3"/>
    <row r="4059" s="160" customFormat="1" x14ac:dyDescent="0.3"/>
    <row r="4060" s="160" customFormat="1" x14ac:dyDescent="0.3"/>
    <row r="4061" s="160" customFormat="1" x14ac:dyDescent="0.3"/>
    <row r="4062" s="160" customFormat="1" x14ac:dyDescent="0.3"/>
    <row r="4063" s="160" customFormat="1" x14ac:dyDescent="0.3"/>
    <row r="4064" s="160" customFormat="1" x14ac:dyDescent="0.3"/>
    <row r="4065" s="160" customFormat="1" x14ac:dyDescent="0.3"/>
    <row r="4066" s="160" customFormat="1" x14ac:dyDescent="0.3"/>
    <row r="4067" s="160" customFormat="1" x14ac:dyDescent="0.3"/>
    <row r="4068" s="160" customFormat="1" x14ac:dyDescent="0.3"/>
    <row r="4069" s="160" customFormat="1" x14ac:dyDescent="0.3"/>
    <row r="4070" s="160" customFormat="1" x14ac:dyDescent="0.3"/>
    <row r="4071" s="160" customFormat="1" x14ac:dyDescent="0.3"/>
    <row r="4072" s="160" customFormat="1" x14ac:dyDescent="0.3"/>
    <row r="4073" s="160" customFormat="1" x14ac:dyDescent="0.3"/>
    <row r="4074" s="160" customFormat="1" x14ac:dyDescent="0.3"/>
    <row r="4075" s="160" customFormat="1" x14ac:dyDescent="0.3"/>
    <row r="4076" s="160" customFormat="1" x14ac:dyDescent="0.3"/>
    <row r="4077" s="160" customFormat="1" x14ac:dyDescent="0.3"/>
    <row r="4078" s="160" customFormat="1" x14ac:dyDescent="0.3"/>
    <row r="4079" s="160" customFormat="1" x14ac:dyDescent="0.3"/>
    <row r="4080" s="160" customFormat="1" x14ac:dyDescent="0.3"/>
    <row r="4081" s="160" customFormat="1" x14ac:dyDescent="0.3"/>
    <row r="4082" s="160" customFormat="1" x14ac:dyDescent="0.3"/>
    <row r="4083" s="160" customFormat="1" x14ac:dyDescent="0.3"/>
    <row r="4084" s="160" customFormat="1" x14ac:dyDescent="0.3"/>
    <row r="4085" s="160" customFormat="1" x14ac:dyDescent="0.3"/>
    <row r="4086" s="160" customFormat="1" x14ac:dyDescent="0.3"/>
    <row r="4087" s="160" customFormat="1" x14ac:dyDescent="0.3"/>
    <row r="4088" s="160" customFormat="1" x14ac:dyDescent="0.3"/>
    <row r="4089" s="160" customFormat="1" x14ac:dyDescent="0.3"/>
    <row r="4090" s="160" customFormat="1" x14ac:dyDescent="0.3"/>
    <row r="4091" s="160" customFormat="1" x14ac:dyDescent="0.3"/>
    <row r="4092" s="160" customFormat="1" x14ac:dyDescent="0.3"/>
    <row r="4093" s="160" customFormat="1" x14ac:dyDescent="0.3"/>
    <row r="4094" s="160" customFormat="1" x14ac:dyDescent="0.3"/>
    <row r="4095" s="160" customFormat="1" x14ac:dyDescent="0.3"/>
    <row r="4096" s="160" customFormat="1" x14ac:dyDescent="0.3"/>
    <row r="4097" s="160" customFormat="1" x14ac:dyDescent="0.3"/>
    <row r="4098" s="160" customFormat="1" x14ac:dyDescent="0.3"/>
    <row r="4099" s="160" customFormat="1" x14ac:dyDescent="0.3"/>
    <row r="4100" s="160" customFormat="1" x14ac:dyDescent="0.3"/>
    <row r="4101" s="160" customFormat="1" x14ac:dyDescent="0.3"/>
    <row r="4102" s="160" customFormat="1" x14ac:dyDescent="0.3"/>
    <row r="4103" s="160" customFormat="1" x14ac:dyDescent="0.3"/>
    <row r="4104" s="160" customFormat="1" x14ac:dyDescent="0.3"/>
    <row r="4105" s="160" customFormat="1" x14ac:dyDescent="0.3"/>
    <row r="4106" s="160" customFormat="1" x14ac:dyDescent="0.3"/>
    <row r="4107" s="160" customFormat="1" x14ac:dyDescent="0.3"/>
    <row r="4108" s="160" customFormat="1" x14ac:dyDescent="0.3"/>
    <row r="4109" s="160" customFormat="1" x14ac:dyDescent="0.3"/>
    <row r="4110" s="160" customFormat="1" x14ac:dyDescent="0.3"/>
    <row r="4111" s="160" customFormat="1" x14ac:dyDescent="0.3"/>
    <row r="4112" s="160" customFormat="1" x14ac:dyDescent="0.3"/>
    <row r="4113" s="160" customFormat="1" x14ac:dyDescent="0.3"/>
    <row r="4114" s="160" customFormat="1" x14ac:dyDescent="0.3"/>
    <row r="4115" s="160" customFormat="1" x14ac:dyDescent="0.3"/>
    <row r="4116" s="160" customFormat="1" x14ac:dyDescent="0.3"/>
    <row r="4117" s="160" customFormat="1" x14ac:dyDescent="0.3"/>
    <row r="4118" s="160" customFormat="1" x14ac:dyDescent="0.3"/>
    <row r="4119" s="160" customFormat="1" x14ac:dyDescent="0.3"/>
    <row r="4120" s="160" customFormat="1" x14ac:dyDescent="0.3"/>
    <row r="4121" s="160" customFormat="1" x14ac:dyDescent="0.3"/>
    <row r="4122" s="160" customFormat="1" x14ac:dyDescent="0.3"/>
    <row r="4123" s="160" customFormat="1" x14ac:dyDescent="0.3"/>
    <row r="4124" s="160" customFormat="1" x14ac:dyDescent="0.3"/>
    <row r="4125" s="160" customFormat="1" x14ac:dyDescent="0.3"/>
    <row r="4126" s="160" customFormat="1" x14ac:dyDescent="0.3"/>
    <row r="4127" s="160" customFormat="1" x14ac:dyDescent="0.3"/>
    <row r="4128" s="160" customFormat="1" x14ac:dyDescent="0.3"/>
    <row r="4129" s="160" customFormat="1" x14ac:dyDescent="0.3"/>
    <row r="4130" s="160" customFormat="1" x14ac:dyDescent="0.3"/>
    <row r="4131" s="160" customFormat="1" x14ac:dyDescent="0.3"/>
    <row r="4132" s="160" customFormat="1" x14ac:dyDescent="0.3"/>
    <row r="4133" s="160" customFormat="1" x14ac:dyDescent="0.3"/>
    <row r="4134" s="160" customFormat="1" x14ac:dyDescent="0.3"/>
    <row r="4135" s="160" customFormat="1" x14ac:dyDescent="0.3"/>
    <row r="4136" s="160" customFormat="1" x14ac:dyDescent="0.3"/>
    <row r="4137" s="160" customFormat="1" x14ac:dyDescent="0.3"/>
    <row r="4138" s="160" customFormat="1" x14ac:dyDescent="0.3"/>
    <row r="4139" s="160" customFormat="1" x14ac:dyDescent="0.3"/>
    <row r="4140" s="160" customFormat="1" x14ac:dyDescent="0.3"/>
    <row r="4141" s="160" customFormat="1" x14ac:dyDescent="0.3"/>
    <row r="4142" s="160" customFormat="1" x14ac:dyDescent="0.3"/>
    <row r="4143" s="160" customFormat="1" x14ac:dyDescent="0.3"/>
    <row r="4144" s="160" customFormat="1" x14ac:dyDescent="0.3"/>
    <row r="4145" s="160" customFormat="1" x14ac:dyDescent="0.3"/>
    <row r="4146" s="160" customFormat="1" x14ac:dyDescent="0.3"/>
    <row r="4147" s="160" customFormat="1" x14ac:dyDescent="0.3"/>
    <row r="4148" s="160" customFormat="1" x14ac:dyDescent="0.3"/>
    <row r="4149" s="160" customFormat="1" x14ac:dyDescent="0.3"/>
    <row r="4150" s="160" customFormat="1" x14ac:dyDescent="0.3"/>
    <row r="4151" s="160" customFormat="1" x14ac:dyDescent="0.3"/>
    <row r="4152" s="160" customFormat="1" x14ac:dyDescent="0.3"/>
    <row r="4153" s="160" customFormat="1" x14ac:dyDescent="0.3"/>
    <row r="4154" s="160" customFormat="1" x14ac:dyDescent="0.3"/>
    <row r="4155" s="160" customFormat="1" x14ac:dyDescent="0.3"/>
    <row r="4156" s="160" customFormat="1" x14ac:dyDescent="0.3"/>
    <row r="4157" s="160" customFormat="1" x14ac:dyDescent="0.3"/>
    <row r="4158" s="160" customFormat="1" x14ac:dyDescent="0.3"/>
    <row r="4159" s="160" customFormat="1" x14ac:dyDescent="0.3"/>
    <row r="4160" s="160" customFormat="1" x14ac:dyDescent="0.3"/>
    <row r="4161" s="160" customFormat="1" x14ac:dyDescent="0.3"/>
    <row r="4162" s="160" customFormat="1" x14ac:dyDescent="0.3"/>
    <row r="4163" s="160" customFormat="1" x14ac:dyDescent="0.3"/>
    <row r="4164" s="160" customFormat="1" x14ac:dyDescent="0.3"/>
    <row r="4165" s="160" customFormat="1" x14ac:dyDescent="0.3"/>
    <row r="4166" s="160" customFormat="1" x14ac:dyDescent="0.3"/>
    <row r="4167" s="160" customFormat="1" x14ac:dyDescent="0.3"/>
    <row r="4168" s="160" customFormat="1" x14ac:dyDescent="0.3"/>
    <row r="4169" s="160" customFormat="1" x14ac:dyDescent="0.3"/>
    <row r="4170" s="160" customFormat="1" x14ac:dyDescent="0.3"/>
    <row r="4171" s="160" customFormat="1" x14ac:dyDescent="0.3"/>
    <row r="4172" s="160" customFormat="1" x14ac:dyDescent="0.3"/>
    <row r="4173" s="160" customFormat="1" x14ac:dyDescent="0.3"/>
    <row r="4174" s="160" customFormat="1" x14ac:dyDescent="0.3"/>
    <row r="4175" s="160" customFormat="1" x14ac:dyDescent="0.3"/>
    <row r="4176" s="160" customFormat="1" x14ac:dyDescent="0.3"/>
    <row r="4177" s="160" customFormat="1" x14ac:dyDescent="0.3"/>
    <row r="4178" s="160" customFormat="1" x14ac:dyDescent="0.3"/>
    <row r="4179" s="160" customFormat="1" x14ac:dyDescent="0.3"/>
    <row r="4180" s="160" customFormat="1" x14ac:dyDescent="0.3"/>
    <row r="4181" s="160" customFormat="1" x14ac:dyDescent="0.3"/>
    <row r="4182" s="160" customFormat="1" x14ac:dyDescent="0.3"/>
    <row r="4183" s="160" customFormat="1" x14ac:dyDescent="0.3"/>
    <row r="4184" s="160" customFormat="1" x14ac:dyDescent="0.3"/>
    <row r="4185" s="160" customFormat="1" x14ac:dyDescent="0.3"/>
    <row r="4186" s="160" customFormat="1" x14ac:dyDescent="0.3"/>
    <row r="4187" s="160" customFormat="1" x14ac:dyDescent="0.3"/>
    <row r="4188" s="160" customFormat="1" x14ac:dyDescent="0.3"/>
    <row r="4189" s="160" customFormat="1" x14ac:dyDescent="0.3"/>
    <row r="4190" s="160" customFormat="1" x14ac:dyDescent="0.3"/>
    <row r="4191" s="160" customFormat="1" x14ac:dyDescent="0.3"/>
    <row r="4192" s="160" customFormat="1" x14ac:dyDescent="0.3"/>
    <row r="4193" s="160" customFormat="1" x14ac:dyDescent="0.3"/>
    <row r="4194" s="160" customFormat="1" x14ac:dyDescent="0.3"/>
    <row r="4195" s="160" customFormat="1" x14ac:dyDescent="0.3"/>
    <row r="4196" s="160" customFormat="1" x14ac:dyDescent="0.3"/>
    <row r="4197" s="160" customFormat="1" x14ac:dyDescent="0.3"/>
    <row r="4198" s="160" customFormat="1" x14ac:dyDescent="0.3"/>
    <row r="4199" s="160" customFormat="1" x14ac:dyDescent="0.3"/>
    <row r="4200" s="160" customFormat="1" x14ac:dyDescent="0.3"/>
    <row r="4201" s="160" customFormat="1" x14ac:dyDescent="0.3"/>
    <row r="4202" s="160" customFormat="1" x14ac:dyDescent="0.3"/>
    <row r="4203" s="160" customFormat="1" x14ac:dyDescent="0.3"/>
    <row r="4204" s="160" customFormat="1" x14ac:dyDescent="0.3"/>
    <row r="4205" s="160" customFormat="1" x14ac:dyDescent="0.3"/>
    <row r="4206" s="160" customFormat="1" x14ac:dyDescent="0.3"/>
    <row r="4207" s="160" customFormat="1" x14ac:dyDescent="0.3"/>
    <row r="4208" s="160" customFormat="1" x14ac:dyDescent="0.3"/>
    <row r="4209" s="160" customFormat="1" x14ac:dyDescent="0.3"/>
    <row r="4210" s="160" customFormat="1" x14ac:dyDescent="0.3"/>
    <row r="4211" s="160" customFormat="1" x14ac:dyDescent="0.3"/>
    <row r="4212" s="160" customFormat="1" x14ac:dyDescent="0.3"/>
    <row r="4213" s="160" customFormat="1" x14ac:dyDescent="0.3"/>
    <row r="4214" s="160" customFormat="1" x14ac:dyDescent="0.3"/>
    <row r="4215" s="160" customFormat="1" x14ac:dyDescent="0.3"/>
    <row r="4216" s="160" customFormat="1" x14ac:dyDescent="0.3"/>
    <row r="4217" s="160" customFormat="1" x14ac:dyDescent="0.3"/>
    <row r="4218" s="160" customFormat="1" x14ac:dyDescent="0.3"/>
    <row r="4219" s="160" customFormat="1" x14ac:dyDescent="0.3"/>
    <row r="4220" s="160" customFormat="1" x14ac:dyDescent="0.3"/>
    <row r="4221" s="160" customFormat="1" x14ac:dyDescent="0.3"/>
    <row r="4222" s="160" customFormat="1" x14ac:dyDescent="0.3"/>
    <row r="4223" s="160" customFormat="1" x14ac:dyDescent="0.3"/>
    <row r="4224" s="160" customFormat="1" x14ac:dyDescent="0.3"/>
    <row r="4225" s="160" customFormat="1" x14ac:dyDescent="0.3"/>
    <row r="4226" s="160" customFormat="1" x14ac:dyDescent="0.3"/>
    <row r="4227" s="160" customFormat="1" x14ac:dyDescent="0.3"/>
    <row r="4228" s="160" customFormat="1" x14ac:dyDescent="0.3"/>
    <row r="4229" s="160" customFormat="1" x14ac:dyDescent="0.3"/>
    <row r="4230" s="160" customFormat="1" x14ac:dyDescent="0.3"/>
    <row r="4231" s="160" customFormat="1" x14ac:dyDescent="0.3"/>
    <row r="4232" s="160" customFormat="1" x14ac:dyDescent="0.3"/>
    <row r="4233" s="160" customFormat="1" x14ac:dyDescent="0.3"/>
    <row r="4234" s="160" customFormat="1" x14ac:dyDescent="0.3"/>
    <row r="4235" s="160" customFormat="1" x14ac:dyDescent="0.3"/>
    <row r="4236" s="160" customFormat="1" x14ac:dyDescent="0.3"/>
    <row r="4237" s="160" customFormat="1" x14ac:dyDescent="0.3"/>
    <row r="4238" s="160" customFormat="1" x14ac:dyDescent="0.3"/>
    <row r="4239" s="160" customFormat="1" x14ac:dyDescent="0.3"/>
    <row r="4240" s="160" customFormat="1" x14ac:dyDescent="0.3"/>
    <row r="4241" s="160" customFormat="1" x14ac:dyDescent="0.3"/>
    <row r="4242" s="160" customFormat="1" x14ac:dyDescent="0.3"/>
    <row r="4243" s="160" customFormat="1" x14ac:dyDescent="0.3"/>
    <row r="4244" s="160" customFormat="1" x14ac:dyDescent="0.3"/>
    <row r="4245" s="160" customFormat="1" x14ac:dyDescent="0.3"/>
    <row r="4246" s="160" customFormat="1" x14ac:dyDescent="0.3"/>
    <row r="4247" s="160" customFormat="1" x14ac:dyDescent="0.3"/>
    <row r="4248" s="160" customFormat="1" x14ac:dyDescent="0.3"/>
    <row r="4249" s="160" customFormat="1" x14ac:dyDescent="0.3"/>
    <row r="4250" s="160" customFormat="1" x14ac:dyDescent="0.3"/>
    <row r="4251" s="160" customFormat="1" x14ac:dyDescent="0.3"/>
    <row r="4252" s="160" customFormat="1" x14ac:dyDescent="0.3"/>
    <row r="4253" s="160" customFormat="1" x14ac:dyDescent="0.3"/>
    <row r="4254" s="160" customFormat="1" x14ac:dyDescent="0.3"/>
    <row r="4255" s="160" customFormat="1" x14ac:dyDescent="0.3"/>
    <row r="4256" s="160" customFormat="1" x14ac:dyDescent="0.3"/>
    <row r="4257" s="160" customFormat="1" x14ac:dyDescent="0.3"/>
    <row r="4258" s="160" customFormat="1" x14ac:dyDescent="0.3"/>
    <row r="4259" s="160" customFormat="1" x14ac:dyDescent="0.3"/>
    <row r="4260" s="160" customFormat="1" x14ac:dyDescent="0.3"/>
    <row r="4261" s="160" customFormat="1" x14ac:dyDescent="0.3"/>
    <row r="4262" s="160" customFormat="1" x14ac:dyDescent="0.3"/>
    <row r="4263" s="160" customFormat="1" x14ac:dyDescent="0.3"/>
    <row r="4264" s="160" customFormat="1" x14ac:dyDescent="0.3"/>
    <row r="4265" s="160" customFormat="1" x14ac:dyDescent="0.3"/>
    <row r="4266" s="160" customFormat="1" x14ac:dyDescent="0.3"/>
    <row r="4267" s="160" customFormat="1" x14ac:dyDescent="0.3"/>
    <row r="4268" s="160" customFormat="1" x14ac:dyDescent="0.3"/>
    <row r="4269" s="160" customFormat="1" x14ac:dyDescent="0.3"/>
    <row r="4270" s="160" customFormat="1" x14ac:dyDescent="0.3"/>
    <row r="4271" s="160" customFormat="1" x14ac:dyDescent="0.3"/>
    <row r="4272" s="160" customFormat="1" x14ac:dyDescent="0.3"/>
    <row r="4273" s="160" customFormat="1" x14ac:dyDescent="0.3"/>
    <row r="4274" s="160" customFormat="1" x14ac:dyDescent="0.3"/>
    <row r="4275" s="160" customFormat="1" x14ac:dyDescent="0.3"/>
    <row r="4276" s="160" customFormat="1" x14ac:dyDescent="0.3"/>
    <row r="4277" s="160" customFormat="1" x14ac:dyDescent="0.3"/>
    <row r="4278" s="160" customFormat="1" x14ac:dyDescent="0.3"/>
    <row r="4279" s="160" customFormat="1" x14ac:dyDescent="0.3"/>
    <row r="4280" s="160" customFormat="1" x14ac:dyDescent="0.3"/>
    <row r="4281" s="160" customFormat="1" x14ac:dyDescent="0.3"/>
    <row r="4282" s="160" customFormat="1" x14ac:dyDescent="0.3"/>
    <row r="4283" s="160" customFormat="1" x14ac:dyDescent="0.3"/>
    <row r="4284" s="160" customFormat="1" x14ac:dyDescent="0.3"/>
    <row r="4285" s="160" customFormat="1" x14ac:dyDescent="0.3"/>
    <row r="4286" s="160" customFormat="1" x14ac:dyDescent="0.3"/>
    <row r="4287" s="160" customFormat="1" x14ac:dyDescent="0.3"/>
    <row r="4288" s="160" customFormat="1" x14ac:dyDescent="0.3"/>
    <row r="4289" s="160" customFormat="1" x14ac:dyDescent="0.3"/>
    <row r="4290" s="160" customFormat="1" x14ac:dyDescent="0.3"/>
    <row r="4291" s="160" customFormat="1" x14ac:dyDescent="0.3"/>
    <row r="4292" s="160" customFormat="1" x14ac:dyDescent="0.3"/>
    <row r="4293" s="160" customFormat="1" x14ac:dyDescent="0.3"/>
    <row r="4294" s="160" customFormat="1" x14ac:dyDescent="0.3"/>
    <row r="4295" s="160" customFormat="1" x14ac:dyDescent="0.3"/>
    <row r="4296" s="160" customFormat="1" x14ac:dyDescent="0.3"/>
    <row r="4297" s="160" customFormat="1" x14ac:dyDescent="0.3"/>
    <row r="4298" s="160" customFormat="1" x14ac:dyDescent="0.3"/>
    <row r="4299" s="160" customFormat="1" x14ac:dyDescent="0.3"/>
    <row r="4300" s="160" customFormat="1" x14ac:dyDescent="0.3"/>
    <row r="4301" s="160" customFormat="1" x14ac:dyDescent="0.3"/>
    <row r="4302" s="160" customFormat="1" x14ac:dyDescent="0.3"/>
    <row r="4303" s="160" customFormat="1" x14ac:dyDescent="0.3"/>
    <row r="4304" s="160" customFormat="1" x14ac:dyDescent="0.3"/>
    <row r="4305" s="160" customFormat="1" x14ac:dyDescent="0.3"/>
    <row r="4306" s="160" customFormat="1" x14ac:dyDescent="0.3"/>
    <row r="4307" s="160" customFormat="1" x14ac:dyDescent="0.3"/>
    <row r="4308" s="160" customFormat="1" x14ac:dyDescent="0.3"/>
    <row r="4309" s="160" customFormat="1" x14ac:dyDescent="0.3"/>
    <row r="4310" s="160" customFormat="1" x14ac:dyDescent="0.3"/>
    <row r="4311" s="160" customFormat="1" x14ac:dyDescent="0.3"/>
    <row r="4312" s="160" customFormat="1" x14ac:dyDescent="0.3"/>
    <row r="4313" s="160" customFormat="1" x14ac:dyDescent="0.3"/>
    <row r="4314" s="160" customFormat="1" x14ac:dyDescent="0.3"/>
    <row r="4315" s="160" customFormat="1" x14ac:dyDescent="0.3"/>
    <row r="4316" s="160" customFormat="1" x14ac:dyDescent="0.3"/>
    <row r="4317" s="160" customFormat="1" x14ac:dyDescent="0.3"/>
    <row r="4318" s="160" customFormat="1" x14ac:dyDescent="0.3"/>
    <row r="4319" s="160" customFormat="1" x14ac:dyDescent="0.3"/>
    <row r="4320" s="160" customFormat="1" x14ac:dyDescent="0.3"/>
    <row r="4321" s="160" customFormat="1" x14ac:dyDescent="0.3"/>
    <row r="4322" s="160" customFormat="1" x14ac:dyDescent="0.3"/>
    <row r="4323" s="160" customFormat="1" x14ac:dyDescent="0.3"/>
    <row r="4324" s="160" customFormat="1" x14ac:dyDescent="0.3"/>
    <row r="4325" s="160" customFormat="1" x14ac:dyDescent="0.3"/>
    <row r="4326" s="160" customFormat="1" x14ac:dyDescent="0.3"/>
    <row r="4327" s="160" customFormat="1" x14ac:dyDescent="0.3"/>
    <row r="4328" s="160" customFormat="1" x14ac:dyDescent="0.3"/>
    <row r="4329" s="160" customFormat="1" x14ac:dyDescent="0.3"/>
    <row r="4330" s="160" customFormat="1" x14ac:dyDescent="0.3"/>
    <row r="4331" s="160" customFormat="1" x14ac:dyDescent="0.3"/>
    <row r="4332" s="160" customFormat="1" x14ac:dyDescent="0.3"/>
    <row r="4333" s="160" customFormat="1" x14ac:dyDescent="0.3"/>
    <row r="4334" s="160" customFormat="1" x14ac:dyDescent="0.3"/>
    <row r="4335" s="160" customFormat="1" x14ac:dyDescent="0.3"/>
    <row r="4336" s="160" customFormat="1" x14ac:dyDescent="0.3"/>
    <row r="4337" s="160" customFormat="1" x14ac:dyDescent="0.3"/>
    <row r="4338" s="160" customFormat="1" x14ac:dyDescent="0.3"/>
    <row r="4339" s="160" customFormat="1" x14ac:dyDescent="0.3"/>
    <row r="4340" s="160" customFormat="1" x14ac:dyDescent="0.3"/>
    <row r="4341" s="160" customFormat="1" x14ac:dyDescent="0.3"/>
    <row r="4342" s="160" customFormat="1" x14ac:dyDescent="0.3"/>
    <row r="4343" s="160" customFormat="1" x14ac:dyDescent="0.3"/>
    <row r="4344" s="160" customFormat="1" x14ac:dyDescent="0.3"/>
    <row r="4345" s="160" customFormat="1" x14ac:dyDescent="0.3"/>
    <row r="4346" s="160" customFormat="1" x14ac:dyDescent="0.3"/>
    <row r="4347" s="160" customFormat="1" x14ac:dyDescent="0.3"/>
    <row r="4348" s="160" customFormat="1" x14ac:dyDescent="0.3"/>
    <row r="4349" s="160" customFormat="1" x14ac:dyDescent="0.3"/>
    <row r="4350" s="160" customFormat="1" x14ac:dyDescent="0.3"/>
    <row r="4351" s="160" customFormat="1" x14ac:dyDescent="0.3"/>
    <row r="4352" s="160" customFormat="1" x14ac:dyDescent="0.3"/>
    <row r="4353" s="160" customFormat="1" x14ac:dyDescent="0.3"/>
    <row r="4354" s="160" customFormat="1" x14ac:dyDescent="0.3"/>
    <row r="4355" s="160" customFormat="1" x14ac:dyDescent="0.3"/>
    <row r="4356" s="160" customFormat="1" x14ac:dyDescent="0.3"/>
    <row r="4357" s="160" customFormat="1" x14ac:dyDescent="0.3"/>
    <row r="4358" s="160" customFormat="1" x14ac:dyDescent="0.3"/>
    <row r="4359" s="160" customFormat="1" x14ac:dyDescent="0.3"/>
    <row r="4360" s="160" customFormat="1" x14ac:dyDescent="0.3"/>
    <row r="4361" s="160" customFormat="1" x14ac:dyDescent="0.3"/>
    <row r="4362" s="160" customFormat="1" x14ac:dyDescent="0.3"/>
    <row r="4363" s="160" customFormat="1" x14ac:dyDescent="0.3"/>
    <row r="4364" s="160" customFormat="1" x14ac:dyDescent="0.3"/>
    <row r="4365" s="160" customFormat="1" x14ac:dyDescent="0.3"/>
    <row r="4366" s="160" customFormat="1" x14ac:dyDescent="0.3"/>
    <row r="4367" s="160" customFormat="1" x14ac:dyDescent="0.3"/>
    <row r="4368" s="160" customFormat="1" x14ac:dyDescent="0.3"/>
    <row r="4369" s="160" customFormat="1" x14ac:dyDescent="0.3"/>
    <row r="4370" s="160" customFormat="1" x14ac:dyDescent="0.3"/>
    <row r="4371" s="160" customFormat="1" x14ac:dyDescent="0.3"/>
    <row r="4372" s="160" customFormat="1" x14ac:dyDescent="0.3"/>
    <row r="4373" s="160" customFormat="1" x14ac:dyDescent="0.3"/>
    <row r="4374" s="160" customFormat="1" x14ac:dyDescent="0.3"/>
    <row r="4375" s="160" customFormat="1" x14ac:dyDescent="0.3"/>
    <row r="4376" s="160" customFormat="1" x14ac:dyDescent="0.3"/>
    <row r="4377" s="160" customFormat="1" x14ac:dyDescent="0.3"/>
    <row r="4378" s="160" customFormat="1" x14ac:dyDescent="0.3"/>
    <row r="4379" s="160" customFormat="1" x14ac:dyDescent="0.3"/>
    <row r="4380" s="160" customFormat="1" x14ac:dyDescent="0.3"/>
    <row r="4381" s="160" customFormat="1" x14ac:dyDescent="0.3"/>
    <row r="4382" s="160" customFormat="1" x14ac:dyDescent="0.3"/>
    <row r="4383" s="160" customFormat="1" x14ac:dyDescent="0.3"/>
    <row r="4384" s="160" customFormat="1" x14ac:dyDescent="0.3"/>
    <row r="4385" s="160" customFormat="1" x14ac:dyDescent="0.3"/>
    <row r="4386" s="160" customFormat="1" x14ac:dyDescent="0.3"/>
    <row r="4387" s="160" customFormat="1" x14ac:dyDescent="0.3"/>
    <row r="4388" s="160" customFormat="1" x14ac:dyDescent="0.3"/>
    <row r="4389" s="160" customFormat="1" x14ac:dyDescent="0.3"/>
    <row r="4390" s="160" customFormat="1" x14ac:dyDescent="0.3"/>
    <row r="4391" s="160" customFormat="1" x14ac:dyDescent="0.3"/>
    <row r="4392" s="160" customFormat="1" x14ac:dyDescent="0.3"/>
    <row r="4393" s="160" customFormat="1" x14ac:dyDescent="0.3"/>
    <row r="4394" s="160" customFormat="1" x14ac:dyDescent="0.3"/>
    <row r="4395" s="160" customFormat="1" x14ac:dyDescent="0.3"/>
    <row r="4396" s="160" customFormat="1" x14ac:dyDescent="0.3"/>
    <row r="4397" s="160" customFormat="1" x14ac:dyDescent="0.3"/>
    <row r="4398" s="160" customFormat="1" x14ac:dyDescent="0.3"/>
    <row r="4399" s="160" customFormat="1" x14ac:dyDescent="0.3"/>
    <row r="4400" s="160" customFormat="1" x14ac:dyDescent="0.3"/>
    <row r="4401" s="160" customFormat="1" x14ac:dyDescent="0.3"/>
    <row r="4402" s="160" customFormat="1" x14ac:dyDescent="0.3"/>
    <row r="4403" s="160" customFormat="1" x14ac:dyDescent="0.3"/>
    <row r="4404" s="160" customFormat="1" x14ac:dyDescent="0.3"/>
    <row r="4405" s="160" customFormat="1" x14ac:dyDescent="0.3"/>
    <row r="4406" s="160" customFormat="1" x14ac:dyDescent="0.3"/>
    <row r="4407" s="160" customFormat="1" x14ac:dyDescent="0.3"/>
    <row r="4408" s="160" customFormat="1" x14ac:dyDescent="0.3"/>
    <row r="4409" s="160" customFormat="1" x14ac:dyDescent="0.3"/>
    <row r="4410" s="160" customFormat="1" x14ac:dyDescent="0.3"/>
    <row r="4411" s="160" customFormat="1" x14ac:dyDescent="0.3"/>
    <row r="4412" s="160" customFormat="1" x14ac:dyDescent="0.3"/>
    <row r="4413" s="160" customFormat="1" x14ac:dyDescent="0.3"/>
    <row r="4414" s="160" customFormat="1" x14ac:dyDescent="0.3"/>
    <row r="4415" s="160" customFormat="1" x14ac:dyDescent="0.3"/>
    <row r="4416" s="160" customFormat="1" x14ac:dyDescent="0.3"/>
    <row r="4417" s="160" customFormat="1" x14ac:dyDescent="0.3"/>
    <row r="4418" s="160" customFormat="1" x14ac:dyDescent="0.3"/>
    <row r="4419" s="160" customFormat="1" x14ac:dyDescent="0.3"/>
    <row r="4420" s="160" customFormat="1" x14ac:dyDescent="0.3"/>
    <row r="4421" s="160" customFormat="1" x14ac:dyDescent="0.3"/>
    <row r="4422" s="160" customFormat="1" x14ac:dyDescent="0.3"/>
    <row r="4423" s="160" customFormat="1" x14ac:dyDescent="0.3"/>
    <row r="4424" s="160" customFormat="1" x14ac:dyDescent="0.3"/>
    <row r="4425" s="160" customFormat="1" x14ac:dyDescent="0.3"/>
    <row r="4426" s="160" customFormat="1" x14ac:dyDescent="0.3"/>
    <row r="4427" s="160" customFormat="1" x14ac:dyDescent="0.3"/>
    <row r="4428" s="160" customFormat="1" x14ac:dyDescent="0.3"/>
    <row r="4429" s="160" customFormat="1" x14ac:dyDescent="0.3"/>
    <row r="4430" s="160" customFormat="1" x14ac:dyDescent="0.3"/>
    <row r="4431" s="160" customFormat="1" x14ac:dyDescent="0.3"/>
    <row r="4432" s="160" customFormat="1" x14ac:dyDescent="0.3"/>
    <row r="4433" s="160" customFormat="1" x14ac:dyDescent="0.3"/>
    <row r="4434" s="160" customFormat="1" x14ac:dyDescent="0.3"/>
    <row r="4435" s="160" customFormat="1" x14ac:dyDescent="0.3"/>
    <row r="4436" s="160" customFormat="1" x14ac:dyDescent="0.3"/>
    <row r="4437" s="160" customFormat="1" x14ac:dyDescent="0.3"/>
    <row r="4438" s="160" customFormat="1" x14ac:dyDescent="0.3"/>
    <row r="4439" s="160" customFormat="1" x14ac:dyDescent="0.3"/>
    <row r="4440" s="160" customFormat="1" x14ac:dyDescent="0.3"/>
    <row r="4441" s="160" customFormat="1" x14ac:dyDescent="0.3"/>
    <row r="4442" s="160" customFormat="1" x14ac:dyDescent="0.3"/>
    <row r="4443" s="160" customFormat="1" x14ac:dyDescent="0.3"/>
    <row r="4444" s="160" customFormat="1" x14ac:dyDescent="0.3"/>
    <row r="4445" s="160" customFormat="1" x14ac:dyDescent="0.3"/>
    <row r="4446" s="160" customFormat="1" x14ac:dyDescent="0.3"/>
    <row r="4447" s="160" customFormat="1" x14ac:dyDescent="0.3"/>
    <row r="4448" s="160" customFormat="1" x14ac:dyDescent="0.3"/>
    <row r="4449" s="160" customFormat="1" x14ac:dyDescent="0.3"/>
    <row r="4450" s="160" customFormat="1" x14ac:dyDescent="0.3"/>
    <row r="4451" s="160" customFormat="1" x14ac:dyDescent="0.3"/>
    <row r="4452" s="160" customFormat="1" x14ac:dyDescent="0.3"/>
    <row r="4453" s="160" customFormat="1" x14ac:dyDescent="0.3"/>
    <row r="4454" s="160" customFormat="1" x14ac:dyDescent="0.3"/>
    <row r="4455" s="160" customFormat="1" x14ac:dyDescent="0.3"/>
    <row r="4456" s="160" customFormat="1" x14ac:dyDescent="0.3"/>
    <row r="4457" s="160" customFormat="1" x14ac:dyDescent="0.3"/>
    <row r="4458" s="160" customFormat="1" x14ac:dyDescent="0.3"/>
    <row r="4459" s="160" customFormat="1" x14ac:dyDescent="0.3"/>
    <row r="4460" s="160" customFormat="1" x14ac:dyDescent="0.3"/>
    <row r="4461" s="160" customFormat="1" x14ac:dyDescent="0.3"/>
    <row r="4462" s="160" customFormat="1" x14ac:dyDescent="0.3"/>
    <row r="4463" s="160" customFormat="1" x14ac:dyDescent="0.3"/>
    <row r="4464" s="160" customFormat="1" x14ac:dyDescent="0.3"/>
    <row r="4465" s="160" customFormat="1" x14ac:dyDescent="0.3"/>
    <row r="4466" s="160" customFormat="1" x14ac:dyDescent="0.3"/>
    <row r="4467" s="160" customFormat="1" x14ac:dyDescent="0.3"/>
    <row r="4468" s="160" customFormat="1" x14ac:dyDescent="0.3"/>
    <row r="4469" s="160" customFormat="1" x14ac:dyDescent="0.3"/>
    <row r="4470" s="160" customFormat="1" x14ac:dyDescent="0.3"/>
    <row r="4471" s="160" customFormat="1" x14ac:dyDescent="0.3"/>
    <row r="4472" s="160" customFormat="1" x14ac:dyDescent="0.3"/>
    <row r="4473" s="160" customFormat="1" x14ac:dyDescent="0.3"/>
    <row r="4474" s="160" customFormat="1" x14ac:dyDescent="0.3"/>
    <row r="4475" s="160" customFormat="1" x14ac:dyDescent="0.3"/>
    <row r="4476" s="160" customFormat="1" x14ac:dyDescent="0.3"/>
    <row r="4477" s="160" customFormat="1" x14ac:dyDescent="0.3"/>
    <row r="4478" s="160" customFormat="1" x14ac:dyDescent="0.3"/>
    <row r="4479" s="160" customFormat="1" x14ac:dyDescent="0.3"/>
    <row r="4480" s="160" customFormat="1" x14ac:dyDescent="0.3"/>
    <row r="4481" s="160" customFormat="1" x14ac:dyDescent="0.3"/>
    <row r="4482" s="160" customFormat="1" x14ac:dyDescent="0.3"/>
    <row r="4483" s="160" customFormat="1" x14ac:dyDescent="0.3"/>
    <row r="4484" s="160" customFormat="1" x14ac:dyDescent="0.3"/>
    <row r="4485" s="160" customFormat="1" x14ac:dyDescent="0.3"/>
    <row r="4486" s="160" customFormat="1" x14ac:dyDescent="0.3"/>
    <row r="4487" s="160" customFormat="1" x14ac:dyDescent="0.3"/>
    <row r="4488" s="160" customFormat="1" x14ac:dyDescent="0.3"/>
    <row r="4489" s="160" customFormat="1" x14ac:dyDescent="0.3"/>
    <row r="4490" s="160" customFormat="1" x14ac:dyDescent="0.3"/>
    <row r="4491" s="160" customFormat="1" x14ac:dyDescent="0.3"/>
    <row r="4492" s="160" customFormat="1" x14ac:dyDescent="0.3"/>
    <row r="4493" s="160" customFormat="1" x14ac:dyDescent="0.3"/>
    <row r="4494" s="160" customFormat="1" x14ac:dyDescent="0.3"/>
    <row r="4495" s="160" customFormat="1" x14ac:dyDescent="0.3"/>
    <row r="4496" s="160" customFormat="1" x14ac:dyDescent="0.3"/>
    <row r="4497" s="160" customFormat="1" x14ac:dyDescent="0.3"/>
    <row r="4498" s="160" customFormat="1" x14ac:dyDescent="0.3"/>
    <row r="4499" s="160" customFormat="1" x14ac:dyDescent="0.3"/>
    <row r="4500" s="160" customFormat="1" x14ac:dyDescent="0.3"/>
    <row r="4501" s="160" customFormat="1" x14ac:dyDescent="0.3"/>
    <row r="4502" s="160" customFormat="1" x14ac:dyDescent="0.3"/>
    <row r="4503" s="160" customFormat="1" x14ac:dyDescent="0.3"/>
    <row r="4504" s="160" customFormat="1" x14ac:dyDescent="0.3"/>
    <row r="4505" s="160" customFormat="1" x14ac:dyDescent="0.3"/>
    <row r="4506" s="160" customFormat="1" x14ac:dyDescent="0.3"/>
    <row r="4507" s="160" customFormat="1" x14ac:dyDescent="0.3"/>
    <row r="4508" s="160" customFormat="1" x14ac:dyDescent="0.3"/>
    <row r="4509" s="160" customFormat="1" x14ac:dyDescent="0.3"/>
    <row r="4510" s="160" customFormat="1" x14ac:dyDescent="0.3"/>
    <row r="4511" s="160" customFormat="1" x14ac:dyDescent="0.3"/>
    <row r="4512" s="160" customFormat="1" x14ac:dyDescent="0.3"/>
    <row r="4513" s="160" customFormat="1" x14ac:dyDescent="0.3"/>
    <row r="4514" s="160" customFormat="1" x14ac:dyDescent="0.3"/>
    <row r="4515" s="160" customFormat="1" x14ac:dyDescent="0.3"/>
    <row r="4516" s="160" customFormat="1" x14ac:dyDescent="0.3"/>
    <row r="4517" s="160" customFormat="1" x14ac:dyDescent="0.3"/>
    <row r="4518" s="160" customFormat="1" x14ac:dyDescent="0.3"/>
    <row r="4519" s="160" customFormat="1" x14ac:dyDescent="0.3"/>
    <row r="4520" s="160" customFormat="1" x14ac:dyDescent="0.3"/>
    <row r="4521" s="160" customFormat="1" x14ac:dyDescent="0.3"/>
    <row r="4522" s="160" customFormat="1" x14ac:dyDescent="0.3"/>
    <row r="4523" s="160" customFormat="1" x14ac:dyDescent="0.3"/>
    <row r="4524" s="160" customFormat="1" x14ac:dyDescent="0.3"/>
    <row r="4525" s="160" customFormat="1" x14ac:dyDescent="0.3"/>
    <row r="4526" s="160" customFormat="1" x14ac:dyDescent="0.3"/>
    <row r="4527" s="160" customFormat="1" x14ac:dyDescent="0.3"/>
    <row r="4528" s="160" customFormat="1" x14ac:dyDescent="0.3"/>
    <row r="4529" s="160" customFormat="1" x14ac:dyDescent="0.3"/>
    <row r="4530" s="160" customFormat="1" x14ac:dyDescent="0.3"/>
    <row r="4531" s="160" customFormat="1" x14ac:dyDescent="0.3"/>
    <row r="4532" s="160" customFormat="1" x14ac:dyDescent="0.3"/>
    <row r="4533" s="160" customFormat="1" x14ac:dyDescent="0.3"/>
    <row r="4534" s="160" customFormat="1" x14ac:dyDescent="0.3"/>
    <row r="4535" s="160" customFormat="1" x14ac:dyDescent="0.3"/>
    <row r="4536" s="160" customFormat="1" x14ac:dyDescent="0.3"/>
    <row r="4537" s="160" customFormat="1" x14ac:dyDescent="0.3"/>
    <row r="4538" s="160" customFormat="1" x14ac:dyDescent="0.3"/>
    <row r="4539" s="160" customFormat="1" x14ac:dyDescent="0.3"/>
    <row r="4540" s="160" customFormat="1" x14ac:dyDescent="0.3"/>
    <row r="4541" s="160" customFormat="1" x14ac:dyDescent="0.3"/>
    <row r="4542" s="160" customFormat="1" x14ac:dyDescent="0.3"/>
    <row r="4543" s="160" customFormat="1" x14ac:dyDescent="0.3"/>
    <row r="4544" s="160" customFormat="1" x14ac:dyDescent="0.3"/>
    <row r="4545" s="160" customFormat="1" x14ac:dyDescent="0.3"/>
    <row r="4546" s="160" customFormat="1" x14ac:dyDescent="0.3"/>
    <row r="4547" s="160" customFormat="1" x14ac:dyDescent="0.3"/>
    <row r="4548" s="160" customFormat="1" x14ac:dyDescent="0.3"/>
    <row r="4549" s="160" customFormat="1" x14ac:dyDescent="0.3"/>
    <row r="4550" s="160" customFormat="1" x14ac:dyDescent="0.3"/>
    <row r="4551" s="160" customFormat="1" x14ac:dyDescent="0.3"/>
    <row r="4552" s="160" customFormat="1" x14ac:dyDescent="0.3"/>
    <row r="4553" s="160" customFormat="1" x14ac:dyDescent="0.3"/>
    <row r="4554" s="160" customFormat="1" x14ac:dyDescent="0.3"/>
    <row r="4555" s="160" customFormat="1" x14ac:dyDescent="0.3"/>
    <row r="4556" s="160" customFormat="1" x14ac:dyDescent="0.3"/>
    <row r="4557" s="160" customFormat="1" x14ac:dyDescent="0.3"/>
    <row r="4558" s="160" customFormat="1" x14ac:dyDescent="0.3"/>
    <row r="4559" s="160" customFormat="1" x14ac:dyDescent="0.3"/>
    <row r="4560" s="160" customFormat="1" x14ac:dyDescent="0.3"/>
    <row r="4561" s="160" customFormat="1" x14ac:dyDescent="0.3"/>
    <row r="4562" s="160" customFormat="1" x14ac:dyDescent="0.3"/>
    <row r="4563" s="160" customFormat="1" x14ac:dyDescent="0.3"/>
    <row r="4564" s="160" customFormat="1" x14ac:dyDescent="0.3"/>
    <row r="4565" s="160" customFormat="1" x14ac:dyDescent="0.3"/>
    <row r="4566" s="160" customFormat="1" x14ac:dyDescent="0.3"/>
    <row r="4567" s="160" customFormat="1" x14ac:dyDescent="0.3"/>
    <row r="4568" s="160" customFormat="1" x14ac:dyDescent="0.3"/>
    <row r="4569" s="160" customFormat="1" x14ac:dyDescent="0.3"/>
    <row r="4570" s="160" customFormat="1" x14ac:dyDescent="0.3"/>
    <row r="4571" s="160" customFormat="1" x14ac:dyDescent="0.3"/>
    <row r="4572" s="160" customFormat="1" x14ac:dyDescent="0.3"/>
    <row r="4573" s="160" customFormat="1" x14ac:dyDescent="0.3"/>
    <row r="4574" s="160" customFormat="1" x14ac:dyDescent="0.3"/>
    <row r="4575" s="160" customFormat="1" x14ac:dyDescent="0.3"/>
    <row r="4576" s="160" customFormat="1" x14ac:dyDescent="0.3"/>
    <row r="4577" s="160" customFormat="1" x14ac:dyDescent="0.3"/>
    <row r="4578" s="160" customFormat="1" x14ac:dyDescent="0.3"/>
    <row r="4579" s="160" customFormat="1" x14ac:dyDescent="0.3"/>
    <row r="4580" s="160" customFormat="1" x14ac:dyDescent="0.3"/>
    <row r="4581" s="160" customFormat="1" x14ac:dyDescent="0.3"/>
    <row r="4582" s="160" customFormat="1" x14ac:dyDescent="0.3"/>
    <row r="4583" s="160" customFormat="1" x14ac:dyDescent="0.3"/>
    <row r="4584" s="160" customFormat="1" x14ac:dyDescent="0.3"/>
    <row r="4585" s="160" customFormat="1" x14ac:dyDescent="0.3"/>
    <row r="4586" s="160" customFormat="1" x14ac:dyDescent="0.3"/>
    <row r="4587" s="160" customFormat="1" x14ac:dyDescent="0.3"/>
    <row r="4588" s="160" customFormat="1" x14ac:dyDescent="0.3"/>
    <row r="4589" s="160" customFormat="1" x14ac:dyDescent="0.3"/>
    <row r="4590" s="160" customFormat="1" x14ac:dyDescent="0.3"/>
    <row r="4591" s="160" customFormat="1" x14ac:dyDescent="0.3"/>
    <row r="4592" s="160" customFormat="1" x14ac:dyDescent="0.3"/>
    <row r="4593" s="160" customFormat="1" x14ac:dyDescent="0.3"/>
    <row r="4594" s="160" customFormat="1" x14ac:dyDescent="0.3"/>
    <row r="4595" s="160" customFormat="1" x14ac:dyDescent="0.3"/>
    <row r="4596" s="160" customFormat="1" x14ac:dyDescent="0.3"/>
    <row r="4597" s="160" customFormat="1" x14ac:dyDescent="0.3"/>
    <row r="4598" s="160" customFormat="1" x14ac:dyDescent="0.3"/>
    <row r="4599" s="160" customFormat="1" x14ac:dyDescent="0.3"/>
    <row r="4600" s="160" customFormat="1" x14ac:dyDescent="0.3"/>
    <row r="4601" s="160" customFormat="1" x14ac:dyDescent="0.3"/>
    <row r="4602" s="160" customFormat="1" x14ac:dyDescent="0.3"/>
    <row r="4603" s="160" customFormat="1" x14ac:dyDescent="0.3"/>
    <row r="4604" s="160" customFormat="1" x14ac:dyDescent="0.3"/>
    <row r="4605" s="160" customFormat="1" x14ac:dyDescent="0.3"/>
    <row r="4606" s="160" customFormat="1" x14ac:dyDescent="0.3"/>
    <row r="4607" s="160" customFormat="1" x14ac:dyDescent="0.3"/>
    <row r="4608" s="160" customFormat="1" x14ac:dyDescent="0.3"/>
    <row r="4609" s="160" customFormat="1" x14ac:dyDescent="0.3"/>
    <row r="4610" s="160" customFormat="1" x14ac:dyDescent="0.3"/>
    <row r="4611" s="160" customFormat="1" x14ac:dyDescent="0.3"/>
    <row r="4612" s="160" customFormat="1" x14ac:dyDescent="0.3"/>
    <row r="4613" s="160" customFormat="1" x14ac:dyDescent="0.3"/>
    <row r="4614" s="160" customFormat="1" x14ac:dyDescent="0.3"/>
    <row r="4615" s="160" customFormat="1" x14ac:dyDescent="0.3"/>
    <row r="4616" s="160" customFormat="1" x14ac:dyDescent="0.3"/>
    <row r="4617" s="160" customFormat="1" x14ac:dyDescent="0.3"/>
    <row r="4618" s="160" customFormat="1" x14ac:dyDescent="0.3"/>
    <row r="4619" s="160" customFormat="1" x14ac:dyDescent="0.3"/>
    <row r="4620" s="160" customFormat="1" x14ac:dyDescent="0.3"/>
    <row r="4621" s="160" customFormat="1" x14ac:dyDescent="0.3"/>
    <row r="4622" s="160" customFormat="1" x14ac:dyDescent="0.3"/>
    <row r="4623" s="160" customFormat="1" x14ac:dyDescent="0.3"/>
    <row r="4624" s="160" customFormat="1" x14ac:dyDescent="0.3"/>
    <row r="4625" s="160" customFormat="1" x14ac:dyDescent="0.3"/>
    <row r="4626" s="160" customFormat="1" x14ac:dyDescent="0.3"/>
    <row r="4627" s="160" customFormat="1" x14ac:dyDescent="0.3"/>
    <row r="4628" s="160" customFormat="1" x14ac:dyDescent="0.3"/>
    <row r="4629" s="160" customFormat="1" x14ac:dyDescent="0.3"/>
    <row r="4630" s="160" customFormat="1" x14ac:dyDescent="0.3"/>
    <row r="4631" s="160" customFormat="1" x14ac:dyDescent="0.3"/>
    <row r="4632" s="160" customFormat="1" x14ac:dyDescent="0.3"/>
    <row r="4633" s="160" customFormat="1" x14ac:dyDescent="0.3"/>
    <row r="4634" s="160" customFormat="1" x14ac:dyDescent="0.3"/>
    <row r="4635" s="160" customFormat="1" x14ac:dyDescent="0.3"/>
    <row r="4636" s="160" customFormat="1" x14ac:dyDescent="0.3"/>
    <row r="4637" s="160" customFormat="1" x14ac:dyDescent="0.3"/>
    <row r="4638" s="160" customFormat="1" x14ac:dyDescent="0.3"/>
    <row r="4639" s="160" customFormat="1" x14ac:dyDescent="0.3"/>
    <row r="4640" s="160" customFormat="1" x14ac:dyDescent="0.3"/>
    <row r="4641" s="160" customFormat="1" x14ac:dyDescent="0.3"/>
    <row r="4642" s="160" customFormat="1" x14ac:dyDescent="0.3"/>
    <row r="4643" s="160" customFormat="1" x14ac:dyDescent="0.3"/>
    <row r="4644" s="160" customFormat="1" x14ac:dyDescent="0.3"/>
    <row r="4645" s="160" customFormat="1" x14ac:dyDescent="0.3"/>
    <row r="4646" s="160" customFormat="1" x14ac:dyDescent="0.3"/>
    <row r="4647" s="160" customFormat="1" x14ac:dyDescent="0.3"/>
    <row r="4648" s="160" customFormat="1" x14ac:dyDescent="0.3"/>
    <row r="4649" s="160" customFormat="1" x14ac:dyDescent="0.3"/>
    <row r="4650" s="160" customFormat="1" x14ac:dyDescent="0.3"/>
    <row r="4651" s="160" customFormat="1" x14ac:dyDescent="0.3"/>
    <row r="4652" s="160" customFormat="1" x14ac:dyDescent="0.3"/>
    <row r="4653" s="160" customFormat="1" x14ac:dyDescent="0.3"/>
    <row r="4654" s="160" customFormat="1" x14ac:dyDescent="0.3"/>
    <row r="4655" s="160" customFormat="1" x14ac:dyDescent="0.3"/>
    <row r="4656" s="160" customFormat="1" x14ac:dyDescent="0.3"/>
    <row r="4657" s="160" customFormat="1" x14ac:dyDescent="0.3"/>
    <row r="4658" s="160" customFormat="1" x14ac:dyDescent="0.3"/>
    <row r="4659" s="160" customFormat="1" x14ac:dyDescent="0.3"/>
    <row r="4660" s="160" customFormat="1" x14ac:dyDescent="0.3"/>
    <row r="4661" s="160" customFormat="1" x14ac:dyDescent="0.3"/>
    <row r="4662" s="160" customFormat="1" x14ac:dyDescent="0.3"/>
    <row r="4663" s="160" customFormat="1" x14ac:dyDescent="0.3"/>
    <row r="4664" s="160" customFormat="1" x14ac:dyDescent="0.3"/>
    <row r="4665" s="160" customFormat="1" x14ac:dyDescent="0.3"/>
    <row r="4666" s="160" customFormat="1" x14ac:dyDescent="0.3"/>
    <row r="4667" s="160" customFormat="1" x14ac:dyDescent="0.3"/>
    <row r="4668" s="160" customFormat="1" x14ac:dyDescent="0.3"/>
    <row r="4669" s="160" customFormat="1" x14ac:dyDescent="0.3"/>
    <row r="4670" s="160" customFormat="1" x14ac:dyDescent="0.3"/>
    <row r="4671" s="160" customFormat="1" x14ac:dyDescent="0.3"/>
    <row r="4672" s="160" customFormat="1" x14ac:dyDescent="0.3"/>
    <row r="4673" s="160" customFormat="1" x14ac:dyDescent="0.3"/>
    <row r="4674" s="160" customFormat="1" x14ac:dyDescent="0.3"/>
    <row r="4675" s="160" customFormat="1" x14ac:dyDescent="0.3"/>
    <row r="4676" s="160" customFormat="1" x14ac:dyDescent="0.3"/>
    <row r="4677" s="160" customFormat="1" x14ac:dyDescent="0.3"/>
    <row r="4678" s="160" customFormat="1" x14ac:dyDescent="0.3"/>
    <row r="4679" s="160" customFormat="1" x14ac:dyDescent="0.3"/>
    <row r="4680" s="160" customFormat="1" x14ac:dyDescent="0.3"/>
    <row r="4681" s="160" customFormat="1" x14ac:dyDescent="0.3"/>
    <row r="4682" s="160" customFormat="1" x14ac:dyDescent="0.3"/>
    <row r="4683" s="160" customFormat="1" x14ac:dyDescent="0.3"/>
    <row r="4684" s="160" customFormat="1" x14ac:dyDescent="0.3"/>
    <row r="4685" s="160" customFormat="1" x14ac:dyDescent="0.3"/>
    <row r="4686" s="160" customFormat="1" x14ac:dyDescent="0.3"/>
    <row r="4687" s="160" customFormat="1" x14ac:dyDescent="0.3"/>
    <row r="4688" s="160" customFormat="1" x14ac:dyDescent="0.3"/>
    <row r="4689" s="160" customFormat="1" x14ac:dyDescent="0.3"/>
    <row r="4690" s="160" customFormat="1" x14ac:dyDescent="0.3"/>
    <row r="4691" s="160" customFormat="1" x14ac:dyDescent="0.3"/>
    <row r="4692" s="160" customFormat="1" x14ac:dyDescent="0.3"/>
    <row r="4693" s="160" customFormat="1" x14ac:dyDescent="0.3"/>
    <row r="4694" s="160" customFormat="1" x14ac:dyDescent="0.3"/>
    <row r="4695" s="160" customFormat="1" x14ac:dyDescent="0.3"/>
    <row r="4696" s="160" customFormat="1" x14ac:dyDescent="0.3"/>
    <row r="4697" s="160" customFormat="1" x14ac:dyDescent="0.3"/>
    <row r="4698" s="160" customFormat="1" x14ac:dyDescent="0.3"/>
    <row r="4699" s="160" customFormat="1" x14ac:dyDescent="0.3"/>
    <row r="4700" s="160" customFormat="1" x14ac:dyDescent="0.3"/>
    <row r="4701" s="160" customFormat="1" x14ac:dyDescent="0.3"/>
    <row r="4702" s="160" customFormat="1" x14ac:dyDescent="0.3"/>
    <row r="4703" s="160" customFormat="1" x14ac:dyDescent="0.3"/>
    <row r="4704" s="160" customFormat="1" x14ac:dyDescent="0.3"/>
    <row r="4705" s="160" customFormat="1" x14ac:dyDescent="0.3"/>
    <row r="4706" s="160" customFormat="1" x14ac:dyDescent="0.3"/>
    <row r="4707" s="160" customFormat="1" x14ac:dyDescent="0.3"/>
    <row r="4708" s="160" customFormat="1" x14ac:dyDescent="0.3"/>
    <row r="4709" s="160" customFormat="1" x14ac:dyDescent="0.3"/>
    <row r="4710" s="160" customFormat="1" x14ac:dyDescent="0.3"/>
    <row r="4711" s="160" customFormat="1" x14ac:dyDescent="0.3"/>
    <row r="4712" s="160" customFormat="1" x14ac:dyDescent="0.3"/>
    <row r="4713" s="160" customFormat="1" x14ac:dyDescent="0.3"/>
    <row r="4714" s="160" customFormat="1" x14ac:dyDescent="0.3"/>
    <row r="4715" s="160" customFormat="1" x14ac:dyDescent="0.3"/>
    <row r="4716" s="160" customFormat="1" x14ac:dyDescent="0.3"/>
    <row r="4717" s="160" customFormat="1" x14ac:dyDescent="0.3"/>
    <row r="4718" s="160" customFormat="1" x14ac:dyDescent="0.3"/>
    <row r="4719" s="160" customFormat="1" x14ac:dyDescent="0.3"/>
    <row r="4720" s="160" customFormat="1" x14ac:dyDescent="0.3"/>
    <row r="4721" s="160" customFormat="1" x14ac:dyDescent="0.3"/>
    <row r="4722" s="160" customFormat="1" x14ac:dyDescent="0.3"/>
    <row r="4723" s="160" customFormat="1" x14ac:dyDescent="0.3"/>
    <row r="4724" s="160" customFormat="1" x14ac:dyDescent="0.3"/>
    <row r="4725" s="160" customFormat="1" x14ac:dyDescent="0.3"/>
    <row r="4726" s="160" customFormat="1" x14ac:dyDescent="0.3"/>
    <row r="4727" s="160" customFormat="1" x14ac:dyDescent="0.3"/>
    <row r="4728" s="160" customFormat="1" x14ac:dyDescent="0.3"/>
    <row r="4729" s="160" customFormat="1" x14ac:dyDescent="0.3"/>
    <row r="4730" s="160" customFormat="1" x14ac:dyDescent="0.3"/>
    <row r="4731" s="160" customFormat="1" x14ac:dyDescent="0.3"/>
    <row r="4732" s="160" customFormat="1" x14ac:dyDescent="0.3"/>
    <row r="4733" s="160" customFormat="1" x14ac:dyDescent="0.3"/>
    <row r="4734" s="160" customFormat="1" x14ac:dyDescent="0.3"/>
    <row r="4735" s="160" customFormat="1" x14ac:dyDescent="0.3"/>
    <row r="4736" s="160" customFormat="1" x14ac:dyDescent="0.3"/>
    <row r="4737" s="160" customFormat="1" x14ac:dyDescent="0.3"/>
    <row r="4738" s="160" customFormat="1" x14ac:dyDescent="0.3"/>
    <row r="4739" s="160" customFormat="1" x14ac:dyDescent="0.3"/>
    <row r="4740" s="160" customFormat="1" x14ac:dyDescent="0.3"/>
    <row r="4741" s="160" customFormat="1" x14ac:dyDescent="0.3"/>
    <row r="4742" s="160" customFormat="1" x14ac:dyDescent="0.3"/>
    <row r="4743" s="160" customFormat="1" x14ac:dyDescent="0.3"/>
    <row r="4744" s="160" customFormat="1" x14ac:dyDescent="0.3"/>
    <row r="4745" s="160" customFormat="1" x14ac:dyDescent="0.3"/>
    <row r="4746" s="160" customFormat="1" x14ac:dyDescent="0.3"/>
    <row r="4747" s="160" customFormat="1" x14ac:dyDescent="0.3"/>
    <row r="4748" s="160" customFormat="1" x14ac:dyDescent="0.3"/>
    <row r="4749" s="160" customFormat="1" x14ac:dyDescent="0.3"/>
    <row r="4750" s="160" customFormat="1" x14ac:dyDescent="0.3"/>
    <row r="4751" s="160" customFormat="1" x14ac:dyDescent="0.3"/>
    <row r="4752" s="160" customFormat="1" x14ac:dyDescent="0.3"/>
    <row r="4753" s="160" customFormat="1" x14ac:dyDescent="0.3"/>
    <row r="4754" s="160" customFormat="1" x14ac:dyDescent="0.3"/>
    <row r="4755" s="160" customFormat="1" x14ac:dyDescent="0.3"/>
    <row r="4756" s="160" customFormat="1" x14ac:dyDescent="0.3"/>
    <row r="4757" s="160" customFormat="1" x14ac:dyDescent="0.3"/>
    <row r="4758" s="160" customFormat="1" x14ac:dyDescent="0.3"/>
    <row r="4759" s="160" customFormat="1" x14ac:dyDescent="0.3"/>
    <row r="4760" s="160" customFormat="1" x14ac:dyDescent="0.3"/>
    <row r="4761" s="160" customFormat="1" x14ac:dyDescent="0.3"/>
    <row r="4762" s="160" customFormat="1" x14ac:dyDescent="0.3"/>
    <row r="4763" s="160" customFormat="1" x14ac:dyDescent="0.3"/>
    <row r="4764" s="160" customFormat="1" x14ac:dyDescent="0.3"/>
    <row r="4765" s="160" customFormat="1" x14ac:dyDescent="0.3"/>
    <row r="4766" s="160" customFormat="1" x14ac:dyDescent="0.3"/>
    <row r="4767" s="160" customFormat="1" x14ac:dyDescent="0.3"/>
    <row r="4768" s="160" customFormat="1" x14ac:dyDescent="0.3"/>
    <row r="4769" s="160" customFormat="1" x14ac:dyDescent="0.3"/>
    <row r="4770" s="160" customFormat="1" x14ac:dyDescent="0.3"/>
    <row r="4771" s="160" customFormat="1" x14ac:dyDescent="0.3"/>
    <row r="4772" s="160" customFormat="1" x14ac:dyDescent="0.3"/>
    <row r="4773" s="160" customFormat="1" x14ac:dyDescent="0.3"/>
    <row r="4774" s="160" customFormat="1" x14ac:dyDescent="0.3"/>
    <row r="4775" s="160" customFormat="1" x14ac:dyDescent="0.3"/>
    <row r="4776" s="160" customFormat="1" x14ac:dyDescent="0.3"/>
    <row r="4777" s="160" customFormat="1" x14ac:dyDescent="0.3"/>
    <row r="4778" s="160" customFormat="1" x14ac:dyDescent="0.3"/>
    <row r="4779" s="160" customFormat="1" x14ac:dyDescent="0.3"/>
    <row r="4780" s="160" customFormat="1" x14ac:dyDescent="0.3"/>
    <row r="4781" s="160" customFormat="1" x14ac:dyDescent="0.3"/>
    <row r="4782" s="160" customFormat="1" x14ac:dyDescent="0.3"/>
    <row r="4783" s="160" customFormat="1" x14ac:dyDescent="0.3"/>
    <row r="4784" s="160" customFormat="1" x14ac:dyDescent="0.3"/>
    <row r="4785" s="160" customFormat="1" x14ac:dyDescent="0.3"/>
    <row r="4786" s="160" customFormat="1" x14ac:dyDescent="0.3"/>
    <row r="4787" s="160" customFormat="1" x14ac:dyDescent="0.3"/>
    <row r="4788" s="160" customFormat="1" x14ac:dyDescent="0.3"/>
    <row r="4789" s="160" customFormat="1" x14ac:dyDescent="0.3"/>
    <row r="4790" s="160" customFormat="1" x14ac:dyDescent="0.3"/>
    <row r="4791" s="160" customFormat="1" x14ac:dyDescent="0.3"/>
    <row r="4792" s="160" customFormat="1" x14ac:dyDescent="0.3"/>
    <row r="4793" s="160" customFormat="1" x14ac:dyDescent="0.3"/>
    <row r="4794" s="160" customFormat="1" x14ac:dyDescent="0.3"/>
    <row r="4795" s="160" customFormat="1" x14ac:dyDescent="0.3"/>
    <row r="4796" s="160" customFormat="1" x14ac:dyDescent="0.3"/>
    <row r="4797" s="160" customFormat="1" x14ac:dyDescent="0.3"/>
    <row r="4798" s="160" customFormat="1" x14ac:dyDescent="0.3"/>
    <row r="4799" s="160" customFormat="1" x14ac:dyDescent="0.3"/>
    <row r="4800" s="160" customFormat="1" x14ac:dyDescent="0.3"/>
    <row r="4801" s="160" customFormat="1" x14ac:dyDescent="0.3"/>
    <row r="4802" s="160" customFormat="1" x14ac:dyDescent="0.3"/>
    <row r="4803" s="160" customFormat="1" x14ac:dyDescent="0.3"/>
    <row r="4804" s="160" customFormat="1" x14ac:dyDescent="0.3"/>
    <row r="4805" s="160" customFormat="1" x14ac:dyDescent="0.3"/>
    <row r="4806" s="160" customFormat="1" x14ac:dyDescent="0.3"/>
    <row r="4807" s="160" customFormat="1" x14ac:dyDescent="0.3"/>
    <row r="4808" s="160" customFormat="1" x14ac:dyDescent="0.3"/>
    <row r="4809" s="160" customFormat="1" x14ac:dyDescent="0.3"/>
    <row r="4810" s="160" customFormat="1" x14ac:dyDescent="0.3"/>
    <row r="4811" s="160" customFormat="1" x14ac:dyDescent="0.3"/>
    <row r="4812" s="160" customFormat="1" x14ac:dyDescent="0.3"/>
    <row r="4813" s="160" customFormat="1" x14ac:dyDescent="0.3"/>
    <row r="4814" s="160" customFormat="1" x14ac:dyDescent="0.3"/>
    <row r="4815" s="160" customFormat="1" x14ac:dyDescent="0.3"/>
    <row r="4816" s="160" customFormat="1" x14ac:dyDescent="0.3"/>
    <row r="4817" s="160" customFormat="1" x14ac:dyDescent="0.3"/>
    <row r="4818" s="160" customFormat="1" x14ac:dyDescent="0.3"/>
    <row r="4819" s="160" customFormat="1" x14ac:dyDescent="0.3"/>
    <row r="4820" s="160" customFormat="1" x14ac:dyDescent="0.3"/>
    <row r="4821" s="160" customFormat="1" x14ac:dyDescent="0.3"/>
    <row r="4822" s="160" customFormat="1" x14ac:dyDescent="0.3"/>
    <row r="4823" s="160" customFormat="1" x14ac:dyDescent="0.3"/>
    <row r="4824" s="160" customFormat="1" x14ac:dyDescent="0.3"/>
    <row r="4825" s="160" customFormat="1" x14ac:dyDescent="0.3"/>
    <row r="4826" s="160" customFormat="1" x14ac:dyDescent="0.3"/>
    <row r="4827" s="160" customFormat="1" x14ac:dyDescent="0.3"/>
    <row r="4828" s="160" customFormat="1" x14ac:dyDescent="0.3"/>
    <row r="4829" s="160" customFormat="1" x14ac:dyDescent="0.3"/>
    <row r="4830" s="160" customFormat="1" x14ac:dyDescent="0.3"/>
    <row r="4831" s="160" customFormat="1" x14ac:dyDescent="0.3"/>
    <row r="4832" s="160" customFormat="1" x14ac:dyDescent="0.3"/>
    <row r="4833" s="160" customFormat="1" x14ac:dyDescent="0.3"/>
    <row r="4834" s="160" customFormat="1" x14ac:dyDescent="0.3"/>
    <row r="4835" s="160" customFormat="1" x14ac:dyDescent="0.3"/>
    <row r="4836" s="160" customFormat="1" x14ac:dyDescent="0.3"/>
    <row r="4837" s="160" customFormat="1" x14ac:dyDescent="0.3"/>
    <row r="4838" s="160" customFormat="1" x14ac:dyDescent="0.3"/>
    <row r="4839" s="160" customFormat="1" x14ac:dyDescent="0.3"/>
    <row r="4840" s="160" customFormat="1" x14ac:dyDescent="0.3"/>
    <row r="4841" s="160" customFormat="1" x14ac:dyDescent="0.3"/>
    <row r="4842" s="160" customFormat="1" x14ac:dyDescent="0.3"/>
    <row r="4843" s="160" customFormat="1" x14ac:dyDescent="0.3"/>
    <row r="4844" s="160" customFormat="1" x14ac:dyDescent="0.3"/>
    <row r="4845" s="160" customFormat="1" x14ac:dyDescent="0.3"/>
    <row r="4846" s="160" customFormat="1" x14ac:dyDescent="0.3"/>
    <row r="4847" s="160" customFormat="1" x14ac:dyDescent="0.3"/>
    <row r="4848" s="160" customFormat="1" x14ac:dyDescent="0.3"/>
    <row r="4849" s="160" customFormat="1" x14ac:dyDescent="0.3"/>
    <row r="4850" s="160" customFormat="1" x14ac:dyDescent="0.3"/>
    <row r="4851" s="160" customFormat="1" x14ac:dyDescent="0.3"/>
    <row r="4852" s="160" customFormat="1" x14ac:dyDescent="0.3"/>
    <row r="4853" s="160" customFormat="1" x14ac:dyDescent="0.3"/>
    <row r="4854" s="160" customFormat="1" x14ac:dyDescent="0.3"/>
    <row r="4855" s="160" customFormat="1" x14ac:dyDescent="0.3"/>
    <row r="4856" s="160" customFormat="1" x14ac:dyDescent="0.3"/>
    <row r="4857" s="160" customFormat="1" x14ac:dyDescent="0.3"/>
    <row r="4858" s="160" customFormat="1" x14ac:dyDescent="0.3"/>
    <row r="4859" s="160" customFormat="1" x14ac:dyDescent="0.3"/>
    <row r="4860" s="160" customFormat="1" x14ac:dyDescent="0.3"/>
    <row r="4861" s="160" customFormat="1" x14ac:dyDescent="0.3"/>
    <row r="4862" s="160" customFormat="1" x14ac:dyDescent="0.3"/>
    <row r="4863" s="160" customFormat="1" x14ac:dyDescent="0.3"/>
    <row r="4864" s="160" customFormat="1" x14ac:dyDescent="0.3"/>
    <row r="4865" s="160" customFormat="1" x14ac:dyDescent="0.3"/>
    <row r="4866" s="160" customFormat="1" x14ac:dyDescent="0.3"/>
    <row r="4867" s="160" customFormat="1" x14ac:dyDescent="0.3"/>
    <row r="4868" s="160" customFormat="1" x14ac:dyDescent="0.3"/>
    <row r="4869" s="160" customFormat="1" x14ac:dyDescent="0.3"/>
    <row r="4870" s="160" customFormat="1" x14ac:dyDescent="0.3"/>
    <row r="4871" s="160" customFormat="1" x14ac:dyDescent="0.3"/>
    <row r="4872" s="160" customFormat="1" x14ac:dyDescent="0.3"/>
    <row r="4873" s="160" customFormat="1" x14ac:dyDescent="0.3"/>
    <row r="4874" s="160" customFormat="1" x14ac:dyDescent="0.3"/>
    <row r="4875" s="160" customFormat="1" x14ac:dyDescent="0.3"/>
    <row r="4876" s="160" customFormat="1" x14ac:dyDescent="0.3"/>
    <row r="4877" s="160" customFormat="1" x14ac:dyDescent="0.3"/>
    <row r="4878" s="160" customFormat="1" x14ac:dyDescent="0.3"/>
    <row r="4879" s="160" customFormat="1" x14ac:dyDescent="0.3"/>
    <row r="4880" s="160" customFormat="1" x14ac:dyDescent="0.3"/>
    <row r="4881" s="160" customFormat="1" x14ac:dyDescent="0.3"/>
    <row r="4882" s="160" customFormat="1" x14ac:dyDescent="0.3"/>
    <row r="4883" s="160" customFormat="1" x14ac:dyDescent="0.3"/>
    <row r="4884" s="160" customFormat="1" x14ac:dyDescent="0.3"/>
    <row r="4885" s="160" customFormat="1" x14ac:dyDescent="0.3"/>
    <row r="4886" s="160" customFormat="1" x14ac:dyDescent="0.3"/>
    <row r="4887" s="160" customFormat="1" x14ac:dyDescent="0.3"/>
    <row r="4888" s="160" customFormat="1" x14ac:dyDescent="0.3"/>
    <row r="4889" s="160" customFormat="1" x14ac:dyDescent="0.3"/>
    <row r="4890" s="160" customFormat="1" x14ac:dyDescent="0.3"/>
    <row r="4891" s="160" customFormat="1" x14ac:dyDescent="0.3"/>
    <row r="4892" s="160" customFormat="1" x14ac:dyDescent="0.3"/>
    <row r="4893" s="160" customFormat="1" x14ac:dyDescent="0.3"/>
    <row r="4894" s="160" customFormat="1" x14ac:dyDescent="0.3"/>
    <row r="4895" s="160" customFormat="1" x14ac:dyDescent="0.3"/>
    <row r="4896" s="160" customFormat="1" x14ac:dyDescent="0.3"/>
    <row r="4897" s="160" customFormat="1" x14ac:dyDescent="0.3"/>
    <row r="4898" s="160" customFormat="1" x14ac:dyDescent="0.3"/>
    <row r="4899" s="160" customFormat="1" x14ac:dyDescent="0.3"/>
    <row r="4900" s="160" customFormat="1" x14ac:dyDescent="0.3"/>
    <row r="4901" s="160" customFormat="1" x14ac:dyDescent="0.3"/>
    <row r="4902" s="160" customFormat="1" x14ac:dyDescent="0.3"/>
    <row r="4903" s="160" customFormat="1" x14ac:dyDescent="0.3"/>
    <row r="4904" s="160" customFormat="1" x14ac:dyDescent="0.3"/>
    <row r="4905" s="160" customFormat="1" x14ac:dyDescent="0.3"/>
    <row r="4906" s="160" customFormat="1" x14ac:dyDescent="0.3"/>
    <row r="4907" s="160" customFormat="1" x14ac:dyDescent="0.3"/>
    <row r="4908" s="160" customFormat="1" x14ac:dyDescent="0.3"/>
    <row r="4909" s="160" customFormat="1" x14ac:dyDescent="0.3"/>
    <row r="4910" s="160" customFormat="1" x14ac:dyDescent="0.3"/>
    <row r="4911" s="160" customFormat="1" x14ac:dyDescent="0.3"/>
    <row r="4912" s="160" customFormat="1" x14ac:dyDescent="0.3"/>
    <row r="4913" s="160" customFormat="1" x14ac:dyDescent="0.3"/>
    <row r="4914" s="160" customFormat="1" x14ac:dyDescent="0.3"/>
    <row r="4915" s="160" customFormat="1" x14ac:dyDescent="0.3"/>
    <row r="4916" s="160" customFormat="1" x14ac:dyDescent="0.3"/>
    <row r="4917" s="160" customFormat="1" x14ac:dyDescent="0.3"/>
    <row r="4918" s="160" customFormat="1" x14ac:dyDescent="0.3"/>
    <row r="4919" s="160" customFormat="1" x14ac:dyDescent="0.3"/>
    <row r="4920" s="160" customFormat="1" x14ac:dyDescent="0.3"/>
    <row r="4921" s="160" customFormat="1" x14ac:dyDescent="0.3"/>
    <row r="4922" s="160" customFormat="1" x14ac:dyDescent="0.3"/>
    <row r="4923" s="160" customFormat="1" x14ac:dyDescent="0.3"/>
    <row r="4924" s="160" customFormat="1" x14ac:dyDescent="0.3"/>
    <row r="4925" s="160" customFormat="1" x14ac:dyDescent="0.3"/>
    <row r="4926" s="160" customFormat="1" x14ac:dyDescent="0.3"/>
    <row r="4927" s="160" customFormat="1" x14ac:dyDescent="0.3"/>
    <row r="4928" s="160" customFormat="1" x14ac:dyDescent="0.3"/>
    <row r="4929" s="160" customFormat="1" x14ac:dyDescent="0.3"/>
    <row r="4930" s="160" customFormat="1" x14ac:dyDescent="0.3"/>
    <row r="4931" s="160" customFormat="1" x14ac:dyDescent="0.3"/>
    <row r="4932" s="160" customFormat="1" x14ac:dyDescent="0.3"/>
    <row r="4933" s="160" customFormat="1" x14ac:dyDescent="0.3"/>
    <row r="4934" s="160" customFormat="1" x14ac:dyDescent="0.3"/>
    <row r="4935" s="160" customFormat="1" x14ac:dyDescent="0.3"/>
    <row r="4936" s="160" customFormat="1" x14ac:dyDescent="0.3"/>
    <row r="4937" s="160" customFormat="1" x14ac:dyDescent="0.3"/>
    <row r="4938" s="160" customFormat="1" x14ac:dyDescent="0.3"/>
    <row r="4939" s="160" customFormat="1" x14ac:dyDescent="0.3"/>
    <row r="4940" s="160" customFormat="1" x14ac:dyDescent="0.3"/>
    <row r="4941" s="160" customFormat="1" x14ac:dyDescent="0.3"/>
    <row r="4942" s="160" customFormat="1" x14ac:dyDescent="0.3"/>
    <row r="4943" s="160" customFormat="1" x14ac:dyDescent="0.3"/>
    <row r="4944" s="160" customFormat="1" x14ac:dyDescent="0.3"/>
    <row r="4945" s="160" customFormat="1" x14ac:dyDescent="0.3"/>
    <row r="4946" s="160" customFormat="1" x14ac:dyDescent="0.3"/>
    <row r="4947" s="160" customFormat="1" x14ac:dyDescent="0.3"/>
    <row r="4948" s="160" customFormat="1" x14ac:dyDescent="0.3"/>
    <row r="4949" s="160" customFormat="1" x14ac:dyDescent="0.3"/>
    <row r="4950" s="160" customFormat="1" x14ac:dyDescent="0.3"/>
    <row r="4951" s="160" customFormat="1" x14ac:dyDescent="0.3"/>
    <row r="4952" s="160" customFormat="1" x14ac:dyDescent="0.3"/>
    <row r="4953" s="160" customFormat="1" x14ac:dyDescent="0.3"/>
    <row r="4954" s="160" customFormat="1" x14ac:dyDescent="0.3"/>
    <row r="4955" s="160" customFormat="1" x14ac:dyDescent="0.3"/>
    <row r="4956" s="160" customFormat="1" x14ac:dyDescent="0.3"/>
    <row r="4957" s="160" customFormat="1" x14ac:dyDescent="0.3"/>
    <row r="4958" s="160" customFormat="1" x14ac:dyDescent="0.3"/>
    <row r="4959" s="160" customFormat="1" x14ac:dyDescent="0.3"/>
    <row r="4960" s="160" customFormat="1" x14ac:dyDescent="0.3"/>
    <row r="4961" s="160" customFormat="1" x14ac:dyDescent="0.3"/>
    <row r="4962" s="160" customFormat="1" x14ac:dyDescent="0.3"/>
    <row r="4963" s="160" customFormat="1" x14ac:dyDescent="0.3"/>
    <row r="4964" s="160" customFormat="1" x14ac:dyDescent="0.3"/>
    <row r="4965" s="160" customFormat="1" x14ac:dyDescent="0.3"/>
    <row r="4966" s="160" customFormat="1" x14ac:dyDescent="0.3"/>
    <row r="4967" s="160" customFormat="1" x14ac:dyDescent="0.3"/>
    <row r="4968" s="160" customFormat="1" x14ac:dyDescent="0.3"/>
    <row r="4969" s="160" customFormat="1" x14ac:dyDescent="0.3"/>
    <row r="4970" s="160" customFormat="1" x14ac:dyDescent="0.3"/>
    <row r="4971" s="160" customFormat="1" x14ac:dyDescent="0.3"/>
    <row r="4972" s="160" customFormat="1" x14ac:dyDescent="0.3"/>
    <row r="4973" s="160" customFormat="1" x14ac:dyDescent="0.3"/>
    <row r="4974" s="160" customFormat="1" x14ac:dyDescent="0.3"/>
    <row r="4975" s="160" customFormat="1" x14ac:dyDescent="0.3"/>
    <row r="4976" s="160" customFormat="1" x14ac:dyDescent="0.3"/>
    <row r="4977" s="160" customFormat="1" x14ac:dyDescent="0.3"/>
    <row r="4978" s="160" customFormat="1" x14ac:dyDescent="0.3"/>
    <row r="4979" s="160" customFormat="1" x14ac:dyDescent="0.3"/>
    <row r="4980" s="160" customFormat="1" x14ac:dyDescent="0.3"/>
    <row r="4981" s="160" customFormat="1" x14ac:dyDescent="0.3"/>
    <row r="4982" s="160" customFormat="1" x14ac:dyDescent="0.3"/>
    <row r="4983" s="160" customFormat="1" x14ac:dyDescent="0.3"/>
    <row r="4984" s="160" customFormat="1" x14ac:dyDescent="0.3"/>
    <row r="4985" s="160" customFormat="1" x14ac:dyDescent="0.3"/>
    <row r="4986" s="160" customFormat="1" x14ac:dyDescent="0.3"/>
    <row r="4987" s="160" customFormat="1" x14ac:dyDescent="0.3"/>
    <row r="4988" s="160" customFormat="1" x14ac:dyDescent="0.3"/>
    <row r="4989" s="160" customFormat="1" x14ac:dyDescent="0.3"/>
    <row r="4990" s="160" customFormat="1" x14ac:dyDescent="0.3"/>
    <row r="4991" s="160" customFormat="1" x14ac:dyDescent="0.3"/>
    <row r="4992" s="160" customFormat="1" x14ac:dyDescent="0.3"/>
    <row r="4993" s="160" customFormat="1" x14ac:dyDescent="0.3"/>
    <row r="4994" s="160" customFormat="1" x14ac:dyDescent="0.3"/>
    <row r="4995" s="160" customFormat="1" x14ac:dyDescent="0.3"/>
    <row r="4996" s="160" customFormat="1" x14ac:dyDescent="0.3"/>
    <row r="4997" s="160" customFormat="1" x14ac:dyDescent="0.3"/>
    <row r="4998" s="160" customFormat="1" x14ac:dyDescent="0.3"/>
    <row r="4999" s="160" customFormat="1" x14ac:dyDescent="0.3"/>
    <row r="5000" s="160" customFormat="1" x14ac:dyDescent="0.3"/>
    <row r="5001" s="160" customFormat="1" x14ac:dyDescent="0.3"/>
    <row r="5002" s="160" customFormat="1" x14ac:dyDescent="0.3"/>
    <row r="5003" s="160" customFormat="1" x14ac:dyDescent="0.3"/>
    <row r="5004" s="160" customFormat="1" x14ac:dyDescent="0.3"/>
    <row r="5005" s="160" customFormat="1" x14ac:dyDescent="0.3"/>
    <row r="5006" s="160" customFormat="1" x14ac:dyDescent="0.3"/>
    <row r="5007" s="160" customFormat="1" x14ac:dyDescent="0.3"/>
    <row r="5008" s="160" customFormat="1" x14ac:dyDescent="0.3"/>
    <row r="5009" s="160" customFormat="1" x14ac:dyDescent="0.3"/>
    <row r="5010" s="160" customFormat="1" x14ac:dyDescent="0.3"/>
    <row r="5011" s="160" customFormat="1" x14ac:dyDescent="0.3"/>
    <row r="5012" s="160" customFormat="1" x14ac:dyDescent="0.3"/>
    <row r="5013" s="160" customFormat="1" x14ac:dyDescent="0.3"/>
    <row r="5014" s="160" customFormat="1" x14ac:dyDescent="0.3"/>
    <row r="5015" s="160" customFormat="1" x14ac:dyDescent="0.3"/>
    <row r="5016" s="160" customFormat="1" x14ac:dyDescent="0.3"/>
    <row r="5017" s="160" customFormat="1" x14ac:dyDescent="0.3"/>
    <row r="5018" s="160" customFormat="1" x14ac:dyDescent="0.3"/>
    <row r="5019" s="160" customFormat="1" x14ac:dyDescent="0.3"/>
    <row r="5020" s="160" customFormat="1" x14ac:dyDescent="0.3"/>
    <row r="5021" s="160" customFormat="1" x14ac:dyDescent="0.3"/>
    <row r="5022" s="160" customFormat="1" x14ac:dyDescent="0.3"/>
    <row r="5023" s="160" customFormat="1" x14ac:dyDescent="0.3"/>
    <row r="5024" s="160" customFormat="1" x14ac:dyDescent="0.3"/>
    <row r="5025" s="160" customFormat="1" x14ac:dyDescent="0.3"/>
    <row r="5026" s="160" customFormat="1" x14ac:dyDescent="0.3"/>
    <row r="5027" s="160" customFormat="1" x14ac:dyDescent="0.3"/>
    <row r="5028" s="160" customFormat="1" x14ac:dyDescent="0.3"/>
    <row r="5029" s="160" customFormat="1" x14ac:dyDescent="0.3"/>
    <row r="5030" s="160" customFormat="1" x14ac:dyDescent="0.3"/>
    <row r="5031" s="160" customFormat="1" x14ac:dyDescent="0.3"/>
    <row r="5032" s="160" customFormat="1" x14ac:dyDescent="0.3"/>
    <row r="5033" s="160" customFormat="1" x14ac:dyDescent="0.3"/>
    <row r="5034" s="160" customFormat="1" x14ac:dyDescent="0.3"/>
    <row r="5035" s="160" customFormat="1" x14ac:dyDescent="0.3"/>
    <row r="5036" s="160" customFormat="1" x14ac:dyDescent="0.3"/>
    <row r="5037" s="160" customFormat="1" x14ac:dyDescent="0.3"/>
    <row r="5038" s="160" customFormat="1" x14ac:dyDescent="0.3"/>
    <row r="5039" s="160" customFormat="1" x14ac:dyDescent="0.3"/>
    <row r="5040" s="160" customFormat="1" x14ac:dyDescent="0.3"/>
    <row r="5041" s="160" customFormat="1" x14ac:dyDescent="0.3"/>
    <row r="5042" s="160" customFormat="1" x14ac:dyDescent="0.3"/>
    <row r="5043" s="160" customFormat="1" x14ac:dyDescent="0.3"/>
    <row r="5044" s="160" customFormat="1" x14ac:dyDescent="0.3"/>
    <row r="5045" s="160" customFormat="1" x14ac:dyDescent="0.3"/>
    <row r="5046" s="160" customFormat="1" x14ac:dyDescent="0.3"/>
    <row r="5047" s="160" customFormat="1" x14ac:dyDescent="0.3"/>
    <row r="5048" s="160" customFormat="1" x14ac:dyDescent="0.3"/>
    <row r="5049" s="160" customFormat="1" x14ac:dyDescent="0.3"/>
    <row r="5050" s="160" customFormat="1" x14ac:dyDescent="0.3"/>
    <row r="5051" s="160" customFormat="1" x14ac:dyDescent="0.3"/>
    <row r="5052" s="160" customFormat="1" x14ac:dyDescent="0.3"/>
    <row r="5053" s="160" customFormat="1" x14ac:dyDescent="0.3"/>
    <row r="5054" s="160" customFormat="1" x14ac:dyDescent="0.3"/>
    <row r="5055" s="160" customFormat="1" x14ac:dyDescent="0.3"/>
    <row r="5056" s="160" customFormat="1" x14ac:dyDescent="0.3"/>
    <row r="5057" s="160" customFormat="1" x14ac:dyDescent="0.3"/>
    <row r="5058" s="160" customFormat="1" x14ac:dyDescent="0.3"/>
    <row r="5059" s="160" customFormat="1" x14ac:dyDescent="0.3"/>
    <row r="5060" s="160" customFormat="1" x14ac:dyDescent="0.3"/>
    <row r="5061" s="160" customFormat="1" x14ac:dyDescent="0.3"/>
    <row r="5062" s="160" customFormat="1" x14ac:dyDescent="0.3"/>
    <row r="5063" s="160" customFormat="1" x14ac:dyDescent="0.3"/>
    <row r="5064" s="160" customFormat="1" x14ac:dyDescent="0.3"/>
    <row r="5065" s="160" customFormat="1" x14ac:dyDescent="0.3"/>
    <row r="5066" s="160" customFormat="1" x14ac:dyDescent="0.3"/>
    <row r="5067" s="160" customFormat="1" x14ac:dyDescent="0.3"/>
    <row r="5068" s="160" customFormat="1" x14ac:dyDescent="0.3"/>
    <row r="5069" s="160" customFormat="1" x14ac:dyDescent="0.3"/>
    <row r="5070" s="160" customFormat="1" x14ac:dyDescent="0.3"/>
    <row r="5071" s="160" customFormat="1" x14ac:dyDescent="0.3"/>
    <row r="5072" s="160" customFormat="1" x14ac:dyDescent="0.3"/>
    <row r="5073" s="160" customFormat="1" x14ac:dyDescent="0.3"/>
    <row r="5074" s="160" customFormat="1" x14ac:dyDescent="0.3"/>
    <row r="5075" s="160" customFormat="1" x14ac:dyDescent="0.3"/>
    <row r="5076" s="160" customFormat="1" x14ac:dyDescent="0.3"/>
    <row r="5077" s="160" customFormat="1" x14ac:dyDescent="0.3"/>
    <row r="5078" s="160" customFormat="1" x14ac:dyDescent="0.3"/>
    <row r="5079" s="160" customFormat="1" x14ac:dyDescent="0.3"/>
    <row r="5080" s="160" customFormat="1" x14ac:dyDescent="0.3"/>
    <row r="5081" s="160" customFormat="1" x14ac:dyDescent="0.3"/>
    <row r="5082" s="160" customFormat="1" x14ac:dyDescent="0.3"/>
    <row r="5083" s="160" customFormat="1" x14ac:dyDescent="0.3"/>
    <row r="5084" s="160" customFormat="1" x14ac:dyDescent="0.3"/>
    <row r="5085" s="160" customFormat="1" x14ac:dyDescent="0.3"/>
    <row r="5086" s="160" customFormat="1" x14ac:dyDescent="0.3"/>
    <row r="5087" s="160" customFormat="1" x14ac:dyDescent="0.3"/>
    <row r="5088" s="160" customFormat="1" x14ac:dyDescent="0.3"/>
    <row r="5089" s="160" customFormat="1" x14ac:dyDescent="0.3"/>
    <row r="5090" s="160" customFormat="1" x14ac:dyDescent="0.3"/>
    <row r="5091" s="160" customFormat="1" x14ac:dyDescent="0.3"/>
    <row r="5092" s="160" customFormat="1" x14ac:dyDescent="0.3"/>
    <row r="5093" s="160" customFormat="1" x14ac:dyDescent="0.3"/>
    <row r="5094" s="160" customFormat="1" x14ac:dyDescent="0.3"/>
    <row r="5095" s="160" customFormat="1" x14ac:dyDescent="0.3"/>
    <row r="5096" s="160" customFormat="1" x14ac:dyDescent="0.3"/>
    <row r="5097" s="160" customFormat="1" x14ac:dyDescent="0.3"/>
    <row r="5098" s="160" customFormat="1" x14ac:dyDescent="0.3"/>
    <row r="5099" s="160" customFormat="1" x14ac:dyDescent="0.3"/>
    <row r="5100" s="160" customFormat="1" x14ac:dyDescent="0.3"/>
    <row r="5101" s="160" customFormat="1" x14ac:dyDescent="0.3"/>
    <row r="5102" s="160" customFormat="1" x14ac:dyDescent="0.3"/>
    <row r="5103" s="160" customFormat="1" x14ac:dyDescent="0.3"/>
    <row r="5104" s="160" customFormat="1" x14ac:dyDescent="0.3"/>
    <row r="5105" s="160" customFormat="1" x14ac:dyDescent="0.3"/>
    <row r="5106" s="160" customFormat="1" x14ac:dyDescent="0.3"/>
    <row r="5107" s="160" customFormat="1" x14ac:dyDescent="0.3"/>
    <row r="5108" s="160" customFormat="1" x14ac:dyDescent="0.3"/>
    <row r="5109" s="160" customFormat="1" x14ac:dyDescent="0.3"/>
    <row r="5110" s="160" customFormat="1" x14ac:dyDescent="0.3"/>
    <row r="5111" s="160" customFormat="1" x14ac:dyDescent="0.3"/>
    <row r="5112" s="160" customFormat="1" x14ac:dyDescent="0.3"/>
    <row r="5113" s="160" customFormat="1" x14ac:dyDescent="0.3"/>
    <row r="5114" s="160" customFormat="1" x14ac:dyDescent="0.3"/>
    <row r="5115" s="160" customFormat="1" x14ac:dyDescent="0.3"/>
    <row r="5116" s="160" customFormat="1" x14ac:dyDescent="0.3"/>
    <row r="5117" s="160" customFormat="1" x14ac:dyDescent="0.3"/>
    <row r="5118" s="160" customFormat="1" x14ac:dyDescent="0.3"/>
    <row r="5119" s="160" customFormat="1" x14ac:dyDescent="0.3"/>
    <row r="5120" s="160" customFormat="1" x14ac:dyDescent="0.3"/>
    <row r="5121" s="160" customFormat="1" x14ac:dyDescent="0.3"/>
    <row r="5122" s="160" customFormat="1" x14ac:dyDescent="0.3"/>
    <row r="5123" s="160" customFormat="1" x14ac:dyDescent="0.3"/>
    <row r="5124" s="160" customFormat="1" x14ac:dyDescent="0.3"/>
    <row r="5125" s="160" customFormat="1" x14ac:dyDescent="0.3"/>
    <row r="5126" s="160" customFormat="1" x14ac:dyDescent="0.3"/>
    <row r="5127" s="160" customFormat="1" x14ac:dyDescent="0.3"/>
    <row r="5128" s="160" customFormat="1" x14ac:dyDescent="0.3"/>
    <row r="5129" s="160" customFormat="1" x14ac:dyDescent="0.3"/>
    <row r="5130" s="160" customFormat="1" x14ac:dyDescent="0.3"/>
    <row r="5131" s="160" customFormat="1" x14ac:dyDescent="0.3"/>
    <row r="5132" s="160" customFormat="1" x14ac:dyDescent="0.3"/>
    <row r="5133" s="160" customFormat="1" x14ac:dyDescent="0.3"/>
    <row r="5134" s="160" customFormat="1" x14ac:dyDescent="0.3"/>
    <row r="5135" s="160" customFormat="1" x14ac:dyDescent="0.3"/>
    <row r="5136" s="160" customFormat="1" x14ac:dyDescent="0.3"/>
    <row r="5137" s="160" customFormat="1" x14ac:dyDescent="0.3"/>
    <row r="5138" s="160" customFormat="1" x14ac:dyDescent="0.3"/>
    <row r="5139" s="160" customFormat="1" x14ac:dyDescent="0.3"/>
    <row r="5140" s="160" customFormat="1" x14ac:dyDescent="0.3"/>
    <row r="5141" s="160" customFormat="1" x14ac:dyDescent="0.3"/>
    <row r="5142" s="160" customFormat="1" x14ac:dyDescent="0.3"/>
    <row r="5143" s="160" customFormat="1" x14ac:dyDescent="0.3"/>
    <row r="5144" s="160" customFormat="1" x14ac:dyDescent="0.3"/>
    <row r="5145" s="160" customFormat="1" x14ac:dyDescent="0.3"/>
    <row r="5146" s="160" customFormat="1" x14ac:dyDescent="0.3"/>
    <row r="5147" s="160" customFormat="1" x14ac:dyDescent="0.3"/>
    <row r="5148" s="160" customFormat="1" x14ac:dyDescent="0.3"/>
    <row r="5149" s="160" customFormat="1" x14ac:dyDescent="0.3"/>
    <row r="5150" s="160" customFormat="1" x14ac:dyDescent="0.3"/>
    <row r="5151" s="160" customFormat="1" x14ac:dyDescent="0.3"/>
    <row r="5152" s="160" customFormat="1" x14ac:dyDescent="0.3"/>
    <row r="5153" s="160" customFormat="1" x14ac:dyDescent="0.3"/>
    <row r="5154" s="160" customFormat="1" x14ac:dyDescent="0.3"/>
    <row r="5155" s="160" customFormat="1" x14ac:dyDescent="0.3"/>
    <row r="5156" s="160" customFormat="1" x14ac:dyDescent="0.3"/>
    <row r="5157" s="160" customFormat="1" x14ac:dyDescent="0.3"/>
    <row r="5158" s="160" customFormat="1" x14ac:dyDescent="0.3"/>
    <row r="5159" s="160" customFormat="1" x14ac:dyDescent="0.3"/>
    <row r="5160" s="160" customFormat="1" x14ac:dyDescent="0.3"/>
    <row r="5161" s="160" customFormat="1" x14ac:dyDescent="0.3"/>
    <row r="5162" s="160" customFormat="1" x14ac:dyDescent="0.3"/>
    <row r="5163" s="160" customFormat="1" x14ac:dyDescent="0.3"/>
    <row r="5164" s="160" customFormat="1" x14ac:dyDescent="0.3"/>
    <row r="5165" s="160" customFormat="1" x14ac:dyDescent="0.3"/>
    <row r="5166" s="160" customFormat="1" x14ac:dyDescent="0.3"/>
    <row r="5167" s="160" customFormat="1" x14ac:dyDescent="0.3"/>
    <row r="5168" s="160" customFormat="1" x14ac:dyDescent="0.3"/>
    <row r="5169" s="160" customFormat="1" x14ac:dyDescent="0.3"/>
    <row r="5170" s="160" customFormat="1" x14ac:dyDescent="0.3"/>
    <row r="5171" s="160" customFormat="1" x14ac:dyDescent="0.3"/>
    <row r="5172" s="160" customFormat="1" x14ac:dyDescent="0.3"/>
    <row r="5173" s="160" customFormat="1" x14ac:dyDescent="0.3"/>
    <row r="5174" s="160" customFormat="1" x14ac:dyDescent="0.3"/>
    <row r="5175" s="160" customFormat="1" x14ac:dyDescent="0.3"/>
    <row r="5176" s="160" customFormat="1" x14ac:dyDescent="0.3"/>
    <row r="5177" s="160" customFormat="1" x14ac:dyDescent="0.3"/>
    <row r="5178" s="160" customFormat="1" x14ac:dyDescent="0.3"/>
    <row r="5179" s="160" customFormat="1" x14ac:dyDescent="0.3"/>
    <row r="5180" s="160" customFormat="1" x14ac:dyDescent="0.3"/>
    <row r="5181" s="160" customFormat="1" x14ac:dyDescent="0.3"/>
    <row r="5182" s="160" customFormat="1" x14ac:dyDescent="0.3"/>
    <row r="5183" s="160" customFormat="1" x14ac:dyDescent="0.3"/>
    <row r="5184" s="160" customFormat="1" x14ac:dyDescent="0.3"/>
    <row r="5185" s="160" customFormat="1" x14ac:dyDescent="0.3"/>
    <row r="5186" s="160" customFormat="1" x14ac:dyDescent="0.3"/>
    <row r="5187" s="160" customFormat="1" x14ac:dyDescent="0.3"/>
    <row r="5188" s="160" customFormat="1" x14ac:dyDescent="0.3"/>
    <row r="5189" s="160" customFormat="1" x14ac:dyDescent="0.3"/>
    <row r="5190" s="160" customFormat="1" x14ac:dyDescent="0.3"/>
    <row r="5191" s="160" customFormat="1" x14ac:dyDescent="0.3"/>
    <row r="5192" s="160" customFormat="1" x14ac:dyDescent="0.3"/>
    <row r="5193" s="160" customFormat="1" x14ac:dyDescent="0.3"/>
    <row r="5194" s="160" customFormat="1" x14ac:dyDescent="0.3"/>
    <row r="5195" s="160" customFormat="1" x14ac:dyDescent="0.3"/>
    <row r="5196" s="160" customFormat="1" x14ac:dyDescent="0.3"/>
    <row r="5197" s="160" customFormat="1" x14ac:dyDescent="0.3"/>
    <row r="5198" s="160" customFormat="1" x14ac:dyDescent="0.3"/>
    <row r="5199" s="160" customFormat="1" x14ac:dyDescent="0.3"/>
    <row r="5200" s="160" customFormat="1" x14ac:dyDescent="0.3"/>
    <row r="5201" s="160" customFormat="1" x14ac:dyDescent="0.3"/>
    <row r="5202" s="160" customFormat="1" x14ac:dyDescent="0.3"/>
    <row r="5203" s="160" customFormat="1" x14ac:dyDescent="0.3"/>
    <row r="5204" s="160" customFormat="1" x14ac:dyDescent="0.3"/>
    <row r="5205" s="160" customFormat="1" x14ac:dyDescent="0.3"/>
    <row r="5206" s="160" customFormat="1" x14ac:dyDescent="0.3"/>
    <row r="5207" s="160" customFormat="1" x14ac:dyDescent="0.3"/>
    <row r="5208" s="160" customFormat="1" x14ac:dyDescent="0.3"/>
    <row r="5209" s="160" customFormat="1" x14ac:dyDescent="0.3"/>
    <row r="5210" s="160" customFormat="1" x14ac:dyDescent="0.3"/>
    <row r="5211" s="160" customFormat="1" x14ac:dyDescent="0.3"/>
    <row r="5212" s="160" customFormat="1" x14ac:dyDescent="0.3"/>
    <row r="5213" s="160" customFormat="1" x14ac:dyDescent="0.3"/>
    <row r="5214" s="160" customFormat="1" x14ac:dyDescent="0.3"/>
    <row r="5215" s="160" customFormat="1" x14ac:dyDescent="0.3"/>
    <row r="5216" s="160" customFormat="1" x14ac:dyDescent="0.3"/>
    <row r="5217" s="160" customFormat="1" x14ac:dyDescent="0.3"/>
    <row r="5218" s="160" customFormat="1" x14ac:dyDescent="0.3"/>
    <row r="5219" s="160" customFormat="1" x14ac:dyDescent="0.3"/>
    <row r="5220" s="160" customFormat="1" x14ac:dyDescent="0.3"/>
    <row r="5221" s="160" customFormat="1" x14ac:dyDescent="0.3"/>
    <row r="5222" s="160" customFormat="1" x14ac:dyDescent="0.3"/>
    <row r="5223" s="160" customFormat="1" x14ac:dyDescent="0.3"/>
    <row r="5224" s="160" customFormat="1" x14ac:dyDescent="0.3"/>
    <row r="5225" s="160" customFormat="1" x14ac:dyDescent="0.3"/>
    <row r="5226" s="160" customFormat="1" x14ac:dyDescent="0.3"/>
    <row r="5227" s="160" customFormat="1" x14ac:dyDescent="0.3"/>
    <row r="5228" s="160" customFormat="1" x14ac:dyDescent="0.3"/>
    <row r="5229" s="160" customFormat="1" x14ac:dyDescent="0.3"/>
    <row r="5230" s="160" customFormat="1" x14ac:dyDescent="0.3"/>
    <row r="5231" s="160" customFormat="1" x14ac:dyDescent="0.3"/>
    <row r="5232" s="160" customFormat="1" x14ac:dyDescent="0.3"/>
    <row r="5233" s="160" customFormat="1" x14ac:dyDescent="0.3"/>
    <row r="5234" s="160" customFormat="1" x14ac:dyDescent="0.3"/>
    <row r="5235" s="160" customFormat="1" x14ac:dyDescent="0.3"/>
    <row r="5236" s="160" customFormat="1" x14ac:dyDescent="0.3"/>
    <row r="5237" s="160" customFormat="1" x14ac:dyDescent="0.3"/>
    <row r="5238" s="160" customFormat="1" x14ac:dyDescent="0.3"/>
    <row r="5239" s="160" customFormat="1" x14ac:dyDescent="0.3"/>
    <row r="5240" s="160" customFormat="1" x14ac:dyDescent="0.3"/>
    <row r="5241" s="160" customFormat="1" x14ac:dyDescent="0.3"/>
    <row r="5242" s="160" customFormat="1" x14ac:dyDescent="0.3"/>
    <row r="5243" s="160" customFormat="1" x14ac:dyDescent="0.3"/>
    <row r="5244" s="160" customFormat="1" x14ac:dyDescent="0.3"/>
    <row r="5245" s="160" customFormat="1" x14ac:dyDescent="0.3"/>
    <row r="5246" s="160" customFormat="1" x14ac:dyDescent="0.3"/>
    <row r="5247" s="160" customFormat="1" x14ac:dyDescent="0.3"/>
    <row r="5248" s="160" customFormat="1" x14ac:dyDescent="0.3"/>
    <row r="5249" s="160" customFormat="1" x14ac:dyDescent="0.3"/>
    <row r="5250" s="160" customFormat="1" x14ac:dyDescent="0.3"/>
    <row r="5251" s="160" customFormat="1" x14ac:dyDescent="0.3"/>
    <row r="5252" s="160" customFormat="1" x14ac:dyDescent="0.3"/>
    <row r="5253" s="160" customFormat="1" x14ac:dyDescent="0.3"/>
    <row r="5254" s="160" customFormat="1" x14ac:dyDescent="0.3"/>
    <row r="5255" s="160" customFormat="1" x14ac:dyDescent="0.3"/>
    <row r="5256" s="160" customFormat="1" x14ac:dyDescent="0.3"/>
    <row r="5257" s="160" customFormat="1" x14ac:dyDescent="0.3"/>
    <row r="5258" s="160" customFormat="1" x14ac:dyDescent="0.3"/>
    <row r="5259" s="160" customFormat="1" x14ac:dyDescent="0.3"/>
    <row r="5260" s="160" customFormat="1" x14ac:dyDescent="0.3"/>
    <row r="5261" s="160" customFormat="1" x14ac:dyDescent="0.3"/>
    <row r="5262" s="160" customFormat="1" x14ac:dyDescent="0.3"/>
    <row r="5263" s="160" customFormat="1" x14ac:dyDescent="0.3"/>
    <row r="5264" s="160" customFormat="1" x14ac:dyDescent="0.3"/>
    <row r="5265" s="160" customFormat="1" x14ac:dyDescent="0.3"/>
    <row r="5266" s="160" customFormat="1" x14ac:dyDescent="0.3"/>
    <row r="5267" s="160" customFormat="1" x14ac:dyDescent="0.3"/>
    <row r="5268" s="160" customFormat="1" x14ac:dyDescent="0.3"/>
    <row r="5269" s="160" customFormat="1" x14ac:dyDescent="0.3"/>
    <row r="5270" s="160" customFormat="1" x14ac:dyDescent="0.3"/>
    <row r="5271" s="160" customFormat="1" x14ac:dyDescent="0.3"/>
    <row r="5272" s="160" customFormat="1" x14ac:dyDescent="0.3"/>
    <row r="5273" s="160" customFormat="1" x14ac:dyDescent="0.3"/>
    <row r="5274" s="160" customFormat="1" x14ac:dyDescent="0.3"/>
    <row r="5275" s="160" customFormat="1" x14ac:dyDescent="0.3"/>
    <row r="5276" s="160" customFormat="1" x14ac:dyDescent="0.3"/>
    <row r="5277" s="160" customFormat="1" x14ac:dyDescent="0.3"/>
    <row r="5278" s="160" customFormat="1" x14ac:dyDescent="0.3"/>
    <row r="5279" s="160" customFormat="1" x14ac:dyDescent="0.3"/>
    <row r="5280" s="160" customFormat="1" x14ac:dyDescent="0.3"/>
    <row r="5281" s="160" customFormat="1" x14ac:dyDescent="0.3"/>
    <row r="5282" s="160" customFormat="1" x14ac:dyDescent="0.3"/>
    <row r="5283" s="160" customFormat="1" x14ac:dyDescent="0.3"/>
    <row r="5284" s="160" customFormat="1" x14ac:dyDescent="0.3"/>
    <row r="5285" s="160" customFormat="1" x14ac:dyDescent="0.3"/>
    <row r="5286" s="160" customFormat="1" x14ac:dyDescent="0.3"/>
    <row r="5287" s="160" customFormat="1" x14ac:dyDescent="0.3"/>
    <row r="5288" s="160" customFormat="1" x14ac:dyDescent="0.3"/>
    <row r="5289" s="160" customFormat="1" x14ac:dyDescent="0.3"/>
    <row r="5290" s="160" customFormat="1" x14ac:dyDescent="0.3"/>
    <row r="5291" s="160" customFormat="1" x14ac:dyDescent="0.3"/>
    <row r="5292" s="160" customFormat="1" x14ac:dyDescent="0.3"/>
    <row r="5293" s="160" customFormat="1" x14ac:dyDescent="0.3"/>
    <row r="5294" s="160" customFormat="1" x14ac:dyDescent="0.3"/>
    <row r="5295" s="160" customFormat="1" x14ac:dyDescent="0.3"/>
    <row r="5296" s="160" customFormat="1" x14ac:dyDescent="0.3"/>
    <row r="5297" s="160" customFormat="1" x14ac:dyDescent="0.3"/>
    <row r="5298" s="160" customFormat="1" x14ac:dyDescent="0.3"/>
    <row r="5299" s="160" customFormat="1" x14ac:dyDescent="0.3"/>
    <row r="5300" s="160" customFormat="1" x14ac:dyDescent="0.3"/>
    <row r="5301" s="160" customFormat="1" x14ac:dyDescent="0.3"/>
    <row r="5302" s="160" customFormat="1" x14ac:dyDescent="0.3"/>
    <row r="5303" s="160" customFormat="1" x14ac:dyDescent="0.3"/>
    <row r="5304" s="160" customFormat="1" x14ac:dyDescent="0.3"/>
    <row r="5305" s="160" customFormat="1" x14ac:dyDescent="0.3"/>
    <row r="5306" s="160" customFormat="1" x14ac:dyDescent="0.3"/>
    <row r="5307" s="160" customFormat="1" x14ac:dyDescent="0.3"/>
    <row r="5308" s="160" customFormat="1" x14ac:dyDescent="0.3"/>
    <row r="5309" s="160" customFormat="1" x14ac:dyDescent="0.3"/>
    <row r="5310" s="160" customFormat="1" x14ac:dyDescent="0.3"/>
    <row r="5311" s="160" customFormat="1" x14ac:dyDescent="0.3"/>
    <row r="5312" s="160" customFormat="1" x14ac:dyDescent="0.3"/>
    <row r="5313" s="160" customFormat="1" x14ac:dyDescent="0.3"/>
    <row r="5314" s="160" customFormat="1" x14ac:dyDescent="0.3"/>
    <row r="5315" s="160" customFormat="1" x14ac:dyDescent="0.3"/>
    <row r="5316" s="160" customFormat="1" x14ac:dyDescent="0.3"/>
    <row r="5317" s="160" customFormat="1" x14ac:dyDescent="0.3"/>
    <row r="5318" s="160" customFormat="1" x14ac:dyDescent="0.3"/>
    <row r="5319" s="160" customFormat="1" x14ac:dyDescent="0.3"/>
    <row r="5320" s="160" customFormat="1" x14ac:dyDescent="0.3"/>
    <row r="5321" s="160" customFormat="1" x14ac:dyDescent="0.3"/>
    <row r="5322" s="160" customFormat="1" x14ac:dyDescent="0.3"/>
    <row r="5323" s="160" customFormat="1" x14ac:dyDescent="0.3"/>
    <row r="5324" s="160" customFormat="1" x14ac:dyDescent="0.3"/>
    <row r="5325" s="160" customFormat="1" x14ac:dyDescent="0.3"/>
    <row r="5326" s="160" customFormat="1" x14ac:dyDescent="0.3"/>
    <row r="5327" s="160" customFormat="1" x14ac:dyDescent="0.3"/>
    <row r="5328" s="160" customFormat="1" x14ac:dyDescent="0.3"/>
    <row r="5329" s="160" customFormat="1" x14ac:dyDescent="0.3"/>
    <row r="5330" s="160" customFormat="1" x14ac:dyDescent="0.3"/>
    <row r="5331" s="160" customFormat="1" x14ac:dyDescent="0.3"/>
    <row r="5332" s="160" customFormat="1" x14ac:dyDescent="0.3"/>
    <row r="5333" s="160" customFormat="1" x14ac:dyDescent="0.3"/>
    <row r="5334" s="160" customFormat="1" x14ac:dyDescent="0.3"/>
    <row r="5335" s="160" customFormat="1" x14ac:dyDescent="0.3"/>
    <row r="5336" s="160" customFormat="1" x14ac:dyDescent="0.3"/>
    <row r="5337" s="160" customFormat="1" x14ac:dyDescent="0.3"/>
    <row r="5338" s="160" customFormat="1" x14ac:dyDescent="0.3"/>
    <row r="5339" s="160" customFormat="1" x14ac:dyDescent="0.3"/>
    <row r="5340" s="160" customFormat="1" x14ac:dyDescent="0.3"/>
    <row r="5341" s="160" customFormat="1" x14ac:dyDescent="0.3"/>
    <row r="5342" s="160" customFormat="1" x14ac:dyDescent="0.3"/>
    <row r="5343" s="160" customFormat="1" x14ac:dyDescent="0.3"/>
    <row r="5344" s="160" customFormat="1" x14ac:dyDescent="0.3"/>
    <row r="5345" s="160" customFormat="1" x14ac:dyDescent="0.3"/>
    <row r="5346" s="160" customFormat="1" x14ac:dyDescent="0.3"/>
    <row r="5347" s="160" customFormat="1" x14ac:dyDescent="0.3"/>
    <row r="5348" s="160" customFormat="1" x14ac:dyDescent="0.3"/>
    <row r="5349" s="160" customFormat="1" x14ac:dyDescent="0.3"/>
    <row r="5350" s="160" customFormat="1" x14ac:dyDescent="0.3"/>
    <row r="5351" s="160" customFormat="1" x14ac:dyDescent="0.3"/>
    <row r="5352" s="160" customFormat="1" x14ac:dyDescent="0.3"/>
    <row r="5353" s="160" customFormat="1" x14ac:dyDescent="0.3"/>
    <row r="5354" s="160" customFormat="1" x14ac:dyDescent="0.3"/>
    <row r="5355" s="160" customFormat="1" x14ac:dyDescent="0.3"/>
    <row r="5356" s="160" customFormat="1" x14ac:dyDescent="0.3"/>
    <row r="5357" s="160" customFormat="1" x14ac:dyDescent="0.3"/>
    <row r="5358" s="160" customFormat="1" x14ac:dyDescent="0.3"/>
    <row r="5359" s="160" customFormat="1" x14ac:dyDescent="0.3"/>
    <row r="5360" s="160" customFormat="1" x14ac:dyDescent="0.3"/>
    <row r="5361" s="160" customFormat="1" x14ac:dyDescent="0.3"/>
    <row r="5362" s="160" customFormat="1" x14ac:dyDescent="0.3"/>
    <row r="5363" s="160" customFormat="1" x14ac:dyDescent="0.3"/>
    <row r="5364" s="160" customFormat="1" x14ac:dyDescent="0.3"/>
    <row r="5365" s="160" customFormat="1" x14ac:dyDescent="0.3"/>
    <row r="5366" s="160" customFormat="1" x14ac:dyDescent="0.3"/>
    <row r="5367" s="160" customFormat="1" x14ac:dyDescent="0.3"/>
    <row r="5368" s="160" customFormat="1" x14ac:dyDescent="0.3"/>
    <row r="5369" s="160" customFormat="1" x14ac:dyDescent="0.3"/>
    <row r="5370" s="160" customFormat="1" x14ac:dyDescent="0.3"/>
    <row r="5371" s="160" customFormat="1" x14ac:dyDescent="0.3"/>
    <row r="5372" s="160" customFormat="1" x14ac:dyDescent="0.3"/>
    <row r="5373" s="160" customFormat="1" x14ac:dyDescent="0.3"/>
    <row r="5374" s="160" customFormat="1" x14ac:dyDescent="0.3"/>
    <row r="5375" s="160" customFormat="1" x14ac:dyDescent="0.3"/>
    <row r="5376" s="160" customFormat="1" x14ac:dyDescent="0.3"/>
    <row r="5377" s="160" customFormat="1" x14ac:dyDescent="0.3"/>
    <row r="5378" s="160" customFormat="1" x14ac:dyDescent="0.3"/>
    <row r="5379" s="160" customFormat="1" x14ac:dyDescent="0.3"/>
    <row r="5380" s="160" customFormat="1" x14ac:dyDescent="0.3"/>
    <row r="5381" s="160" customFormat="1" x14ac:dyDescent="0.3"/>
    <row r="5382" s="160" customFormat="1" x14ac:dyDescent="0.3"/>
    <row r="5383" s="160" customFormat="1" x14ac:dyDescent="0.3"/>
    <row r="5384" s="160" customFormat="1" x14ac:dyDescent="0.3"/>
    <row r="5385" s="160" customFormat="1" x14ac:dyDescent="0.3"/>
    <row r="5386" s="160" customFormat="1" x14ac:dyDescent="0.3"/>
    <row r="5387" s="160" customFormat="1" x14ac:dyDescent="0.3"/>
    <row r="5388" s="160" customFormat="1" x14ac:dyDescent="0.3"/>
    <row r="5389" s="160" customFormat="1" x14ac:dyDescent="0.3"/>
    <row r="5390" s="160" customFormat="1" x14ac:dyDescent="0.3"/>
    <row r="5391" s="160" customFormat="1" x14ac:dyDescent="0.3"/>
    <row r="5392" s="160" customFormat="1" x14ac:dyDescent="0.3"/>
    <row r="5393" s="160" customFormat="1" x14ac:dyDescent="0.3"/>
    <row r="5394" s="160" customFormat="1" x14ac:dyDescent="0.3"/>
    <row r="5395" s="160" customFormat="1" x14ac:dyDescent="0.3"/>
    <row r="5396" s="160" customFormat="1" x14ac:dyDescent="0.3"/>
    <row r="5397" s="160" customFormat="1" x14ac:dyDescent="0.3"/>
    <row r="5398" s="160" customFormat="1" x14ac:dyDescent="0.3"/>
    <row r="5399" s="160" customFormat="1" x14ac:dyDescent="0.3"/>
    <row r="5400" s="160" customFormat="1" x14ac:dyDescent="0.3"/>
    <row r="5401" s="160" customFormat="1" x14ac:dyDescent="0.3"/>
    <row r="5402" s="160" customFormat="1" x14ac:dyDescent="0.3"/>
    <row r="5403" s="160" customFormat="1" x14ac:dyDescent="0.3"/>
    <row r="5404" s="160" customFormat="1" x14ac:dyDescent="0.3"/>
    <row r="5405" s="160" customFormat="1" x14ac:dyDescent="0.3"/>
    <row r="5406" s="160" customFormat="1" x14ac:dyDescent="0.3"/>
    <row r="5407" s="160" customFormat="1" x14ac:dyDescent="0.3"/>
    <row r="5408" s="160" customFormat="1" x14ac:dyDescent="0.3"/>
    <row r="5409" s="160" customFormat="1" x14ac:dyDescent="0.3"/>
    <row r="5410" s="160" customFormat="1" x14ac:dyDescent="0.3"/>
    <row r="5411" s="160" customFormat="1" x14ac:dyDescent="0.3"/>
    <row r="5412" s="160" customFormat="1" x14ac:dyDescent="0.3"/>
    <row r="5413" s="160" customFormat="1" x14ac:dyDescent="0.3"/>
    <row r="5414" s="160" customFormat="1" x14ac:dyDescent="0.3"/>
    <row r="5415" s="160" customFormat="1" x14ac:dyDescent="0.3"/>
    <row r="5416" s="160" customFormat="1" x14ac:dyDescent="0.3"/>
    <row r="5417" s="160" customFormat="1" x14ac:dyDescent="0.3"/>
    <row r="5418" s="160" customFormat="1" x14ac:dyDescent="0.3"/>
    <row r="5419" s="160" customFormat="1" x14ac:dyDescent="0.3"/>
    <row r="5420" s="160" customFormat="1" x14ac:dyDescent="0.3"/>
    <row r="5421" s="160" customFormat="1" x14ac:dyDescent="0.3"/>
    <row r="5422" s="160" customFormat="1" x14ac:dyDescent="0.3"/>
    <row r="5423" s="160" customFormat="1" x14ac:dyDescent="0.3"/>
    <row r="5424" s="160" customFormat="1" x14ac:dyDescent="0.3"/>
    <row r="5425" s="160" customFormat="1" x14ac:dyDescent="0.3"/>
    <row r="5426" s="160" customFormat="1" x14ac:dyDescent="0.3"/>
    <row r="5427" s="160" customFormat="1" x14ac:dyDescent="0.3"/>
    <row r="5428" s="160" customFormat="1" x14ac:dyDescent="0.3"/>
    <row r="5429" s="160" customFormat="1" x14ac:dyDescent="0.3"/>
    <row r="5430" s="160" customFormat="1" x14ac:dyDescent="0.3"/>
    <row r="5431" s="160" customFormat="1" x14ac:dyDescent="0.3"/>
    <row r="5432" s="160" customFormat="1" x14ac:dyDescent="0.3"/>
    <row r="5433" s="160" customFormat="1" x14ac:dyDescent="0.3"/>
    <row r="5434" s="160" customFormat="1" x14ac:dyDescent="0.3"/>
    <row r="5435" s="160" customFormat="1" x14ac:dyDescent="0.3"/>
    <row r="5436" s="160" customFormat="1" x14ac:dyDescent="0.3"/>
    <row r="5437" s="160" customFormat="1" x14ac:dyDescent="0.3"/>
    <row r="5438" s="160" customFormat="1" x14ac:dyDescent="0.3"/>
    <row r="5439" s="160" customFormat="1" x14ac:dyDescent="0.3"/>
    <row r="5440" s="160" customFormat="1" x14ac:dyDescent="0.3"/>
    <row r="5441" s="160" customFormat="1" x14ac:dyDescent="0.3"/>
    <row r="5442" s="160" customFormat="1" x14ac:dyDescent="0.3"/>
    <row r="5443" s="160" customFormat="1" x14ac:dyDescent="0.3"/>
    <row r="5444" s="160" customFormat="1" x14ac:dyDescent="0.3"/>
    <row r="5445" s="160" customFormat="1" x14ac:dyDescent="0.3"/>
    <row r="5446" s="160" customFormat="1" x14ac:dyDescent="0.3"/>
    <row r="5447" s="160" customFormat="1" x14ac:dyDescent="0.3"/>
    <row r="5448" s="160" customFormat="1" x14ac:dyDescent="0.3"/>
    <row r="5449" s="160" customFormat="1" x14ac:dyDescent="0.3"/>
    <row r="5450" s="160" customFormat="1" x14ac:dyDescent="0.3"/>
    <row r="5451" s="160" customFormat="1" x14ac:dyDescent="0.3"/>
    <row r="5452" s="160" customFormat="1" x14ac:dyDescent="0.3"/>
    <row r="5453" s="160" customFormat="1" x14ac:dyDescent="0.3"/>
    <row r="5454" s="160" customFormat="1" x14ac:dyDescent="0.3"/>
    <row r="5455" s="160" customFormat="1" x14ac:dyDescent="0.3"/>
    <row r="5456" s="160" customFormat="1" x14ac:dyDescent="0.3"/>
    <row r="5457" s="160" customFormat="1" x14ac:dyDescent="0.3"/>
    <row r="5458" s="160" customFormat="1" x14ac:dyDescent="0.3"/>
    <row r="5459" s="160" customFormat="1" x14ac:dyDescent="0.3"/>
    <row r="5460" s="160" customFormat="1" x14ac:dyDescent="0.3"/>
    <row r="5461" s="160" customFormat="1" x14ac:dyDescent="0.3"/>
    <row r="5462" s="160" customFormat="1" x14ac:dyDescent="0.3"/>
    <row r="5463" s="160" customFormat="1" x14ac:dyDescent="0.3"/>
    <row r="5464" s="160" customFormat="1" x14ac:dyDescent="0.3"/>
    <row r="5465" s="160" customFormat="1" x14ac:dyDescent="0.3"/>
    <row r="5466" s="160" customFormat="1" x14ac:dyDescent="0.3"/>
    <row r="5467" s="160" customFormat="1" x14ac:dyDescent="0.3"/>
    <row r="5468" s="160" customFormat="1" x14ac:dyDescent="0.3"/>
    <row r="5469" s="160" customFormat="1" x14ac:dyDescent="0.3"/>
    <row r="5470" s="160" customFormat="1" x14ac:dyDescent="0.3"/>
    <row r="5471" s="160" customFormat="1" x14ac:dyDescent="0.3"/>
    <row r="5472" s="160" customFormat="1" x14ac:dyDescent="0.3"/>
    <row r="5473" s="160" customFormat="1" x14ac:dyDescent="0.3"/>
    <row r="5474" s="160" customFormat="1" x14ac:dyDescent="0.3"/>
    <row r="5475" s="160" customFormat="1" x14ac:dyDescent="0.3"/>
    <row r="5476" s="160" customFormat="1" x14ac:dyDescent="0.3"/>
    <row r="5477" s="160" customFormat="1" x14ac:dyDescent="0.3"/>
    <row r="5478" s="160" customFormat="1" x14ac:dyDescent="0.3"/>
    <row r="5479" s="160" customFormat="1" x14ac:dyDescent="0.3"/>
    <row r="5480" s="160" customFormat="1" x14ac:dyDescent="0.3"/>
    <row r="5481" s="160" customFormat="1" x14ac:dyDescent="0.3"/>
    <row r="5482" s="160" customFormat="1" x14ac:dyDescent="0.3"/>
    <row r="5483" s="160" customFormat="1" x14ac:dyDescent="0.3"/>
    <row r="5484" s="160" customFormat="1" x14ac:dyDescent="0.3"/>
    <row r="5485" s="160" customFormat="1" x14ac:dyDescent="0.3"/>
    <row r="5486" s="160" customFormat="1" x14ac:dyDescent="0.3"/>
    <row r="5487" s="160" customFormat="1" x14ac:dyDescent="0.3"/>
    <row r="5488" s="160" customFormat="1" x14ac:dyDescent="0.3"/>
    <row r="5489" s="160" customFormat="1" x14ac:dyDescent="0.3"/>
    <row r="5490" s="160" customFormat="1" x14ac:dyDescent="0.3"/>
    <row r="5491" s="160" customFormat="1" x14ac:dyDescent="0.3"/>
    <row r="5492" s="160" customFormat="1" x14ac:dyDescent="0.3"/>
    <row r="5493" s="160" customFormat="1" x14ac:dyDescent="0.3"/>
    <row r="5494" s="160" customFormat="1" x14ac:dyDescent="0.3"/>
    <row r="5495" s="160" customFormat="1" x14ac:dyDescent="0.3"/>
    <row r="5496" s="160" customFormat="1" x14ac:dyDescent="0.3"/>
    <row r="5497" s="160" customFormat="1" x14ac:dyDescent="0.3"/>
    <row r="5498" s="160" customFormat="1" x14ac:dyDescent="0.3"/>
    <row r="5499" s="160" customFormat="1" x14ac:dyDescent="0.3"/>
    <row r="5500" s="160" customFormat="1" x14ac:dyDescent="0.3"/>
    <row r="5501" s="160" customFormat="1" x14ac:dyDescent="0.3"/>
    <row r="5502" s="160" customFormat="1" x14ac:dyDescent="0.3"/>
    <row r="5503" s="160" customFormat="1" x14ac:dyDescent="0.3"/>
    <row r="5504" s="160" customFormat="1" x14ac:dyDescent="0.3"/>
    <row r="5505" s="160" customFormat="1" x14ac:dyDescent="0.3"/>
    <row r="5506" s="160" customFormat="1" x14ac:dyDescent="0.3"/>
    <row r="5507" s="160" customFormat="1" x14ac:dyDescent="0.3"/>
    <row r="5508" s="160" customFormat="1" x14ac:dyDescent="0.3"/>
    <row r="5509" s="160" customFormat="1" x14ac:dyDescent="0.3"/>
    <row r="5510" s="160" customFormat="1" x14ac:dyDescent="0.3"/>
    <row r="5511" s="160" customFormat="1" x14ac:dyDescent="0.3"/>
    <row r="5512" s="160" customFormat="1" x14ac:dyDescent="0.3"/>
    <row r="5513" s="160" customFormat="1" x14ac:dyDescent="0.3"/>
    <row r="5514" s="160" customFormat="1" x14ac:dyDescent="0.3"/>
    <row r="5515" s="160" customFormat="1" x14ac:dyDescent="0.3"/>
    <row r="5516" s="160" customFormat="1" x14ac:dyDescent="0.3"/>
    <row r="5517" s="160" customFormat="1" x14ac:dyDescent="0.3"/>
    <row r="5518" s="160" customFormat="1" x14ac:dyDescent="0.3"/>
    <row r="5519" s="160" customFormat="1" x14ac:dyDescent="0.3"/>
    <row r="5520" s="160" customFormat="1" x14ac:dyDescent="0.3"/>
    <row r="5521" s="160" customFormat="1" x14ac:dyDescent="0.3"/>
    <row r="5522" s="160" customFormat="1" x14ac:dyDescent="0.3"/>
    <row r="5523" s="160" customFormat="1" x14ac:dyDescent="0.3"/>
    <row r="5524" s="160" customFormat="1" x14ac:dyDescent="0.3"/>
    <row r="5525" s="160" customFormat="1" x14ac:dyDescent="0.3"/>
    <row r="5526" s="160" customFormat="1" x14ac:dyDescent="0.3"/>
    <row r="5527" s="160" customFormat="1" x14ac:dyDescent="0.3"/>
    <row r="5528" s="160" customFormat="1" x14ac:dyDescent="0.3"/>
    <row r="5529" s="160" customFormat="1" x14ac:dyDescent="0.3"/>
    <row r="5530" s="160" customFormat="1" x14ac:dyDescent="0.3"/>
    <row r="5531" s="160" customFormat="1" x14ac:dyDescent="0.3"/>
    <row r="5532" s="160" customFormat="1" x14ac:dyDescent="0.3"/>
    <row r="5533" s="160" customFormat="1" x14ac:dyDescent="0.3"/>
    <row r="5534" s="160" customFormat="1" x14ac:dyDescent="0.3"/>
    <row r="5535" s="160" customFormat="1" x14ac:dyDescent="0.3"/>
    <row r="5536" s="160" customFormat="1" x14ac:dyDescent="0.3"/>
    <row r="5537" s="160" customFormat="1" x14ac:dyDescent="0.3"/>
    <row r="5538" s="160" customFormat="1" x14ac:dyDescent="0.3"/>
    <row r="5539" s="160" customFormat="1" x14ac:dyDescent="0.3"/>
    <row r="5540" s="160" customFormat="1" x14ac:dyDescent="0.3"/>
    <row r="5541" s="160" customFormat="1" x14ac:dyDescent="0.3"/>
    <row r="5542" s="160" customFormat="1" x14ac:dyDescent="0.3"/>
    <row r="5543" s="160" customFormat="1" x14ac:dyDescent="0.3"/>
    <row r="5544" s="160" customFormat="1" x14ac:dyDescent="0.3"/>
    <row r="5545" s="160" customFormat="1" x14ac:dyDescent="0.3"/>
    <row r="5546" s="160" customFormat="1" x14ac:dyDescent="0.3"/>
    <row r="5547" s="160" customFormat="1" x14ac:dyDescent="0.3"/>
    <row r="5548" s="160" customFormat="1" x14ac:dyDescent="0.3"/>
    <row r="5549" s="160" customFormat="1" x14ac:dyDescent="0.3"/>
    <row r="5550" s="160" customFormat="1" x14ac:dyDescent="0.3"/>
    <row r="5551" s="160" customFormat="1" x14ac:dyDescent="0.3"/>
    <row r="5552" s="160" customFormat="1" x14ac:dyDescent="0.3"/>
    <row r="5553" s="160" customFormat="1" x14ac:dyDescent="0.3"/>
    <row r="5554" s="160" customFormat="1" x14ac:dyDescent="0.3"/>
    <row r="5555" s="160" customFormat="1" x14ac:dyDescent="0.3"/>
    <row r="5556" s="160" customFormat="1" x14ac:dyDescent="0.3"/>
    <row r="5557" s="160" customFormat="1" x14ac:dyDescent="0.3"/>
    <row r="5558" s="160" customFormat="1" x14ac:dyDescent="0.3"/>
    <row r="5559" s="160" customFormat="1" x14ac:dyDescent="0.3"/>
    <row r="5560" s="160" customFormat="1" x14ac:dyDescent="0.3"/>
    <row r="5561" s="160" customFormat="1" x14ac:dyDescent="0.3"/>
    <row r="5562" s="160" customFormat="1" x14ac:dyDescent="0.3"/>
    <row r="5563" s="160" customFormat="1" x14ac:dyDescent="0.3"/>
    <row r="5564" s="160" customFormat="1" x14ac:dyDescent="0.3"/>
    <row r="5565" s="160" customFormat="1" x14ac:dyDescent="0.3"/>
    <row r="5566" s="160" customFormat="1" x14ac:dyDescent="0.3"/>
    <row r="5567" s="160" customFormat="1" x14ac:dyDescent="0.3"/>
    <row r="5568" s="160" customFormat="1" x14ac:dyDescent="0.3"/>
    <row r="5569" s="160" customFormat="1" x14ac:dyDescent="0.3"/>
    <row r="5570" s="160" customFormat="1" x14ac:dyDescent="0.3"/>
    <row r="5571" s="160" customFormat="1" x14ac:dyDescent="0.3"/>
    <row r="5572" s="160" customFormat="1" x14ac:dyDescent="0.3"/>
    <row r="5573" s="160" customFormat="1" x14ac:dyDescent="0.3"/>
    <row r="5574" s="160" customFormat="1" x14ac:dyDescent="0.3"/>
    <row r="5575" s="160" customFormat="1" x14ac:dyDescent="0.3"/>
    <row r="5576" s="160" customFormat="1" x14ac:dyDescent="0.3"/>
    <row r="5577" s="160" customFormat="1" x14ac:dyDescent="0.3"/>
    <row r="5578" s="160" customFormat="1" x14ac:dyDescent="0.3"/>
    <row r="5579" s="160" customFormat="1" x14ac:dyDescent="0.3"/>
    <row r="5580" s="160" customFormat="1" x14ac:dyDescent="0.3"/>
    <row r="5581" s="160" customFormat="1" x14ac:dyDescent="0.3"/>
    <row r="5582" s="160" customFormat="1" x14ac:dyDescent="0.3"/>
    <row r="5583" s="160" customFormat="1" x14ac:dyDescent="0.3"/>
    <row r="5584" s="160" customFormat="1" x14ac:dyDescent="0.3"/>
    <row r="5585" s="160" customFormat="1" x14ac:dyDescent="0.3"/>
    <row r="5586" s="160" customFormat="1" x14ac:dyDescent="0.3"/>
    <row r="5587" s="160" customFormat="1" x14ac:dyDescent="0.3"/>
    <row r="5588" s="160" customFormat="1" x14ac:dyDescent="0.3"/>
    <row r="5589" s="160" customFormat="1" x14ac:dyDescent="0.3"/>
    <row r="5590" s="160" customFormat="1" x14ac:dyDescent="0.3"/>
    <row r="5591" s="160" customFormat="1" x14ac:dyDescent="0.3"/>
    <row r="5592" s="160" customFormat="1" x14ac:dyDescent="0.3"/>
    <row r="5593" s="160" customFormat="1" x14ac:dyDescent="0.3"/>
    <row r="5594" s="160" customFormat="1" x14ac:dyDescent="0.3"/>
    <row r="5595" s="160" customFormat="1" x14ac:dyDescent="0.3"/>
    <row r="5596" s="160" customFormat="1" x14ac:dyDescent="0.3"/>
    <row r="5597" s="160" customFormat="1" x14ac:dyDescent="0.3"/>
    <row r="5598" s="160" customFormat="1" x14ac:dyDescent="0.3"/>
    <row r="5599" s="160" customFormat="1" x14ac:dyDescent="0.3"/>
    <row r="5600" s="160" customFormat="1" x14ac:dyDescent="0.3"/>
    <row r="5601" s="160" customFormat="1" x14ac:dyDescent="0.3"/>
    <row r="5602" s="160" customFormat="1" x14ac:dyDescent="0.3"/>
    <row r="5603" s="160" customFormat="1" x14ac:dyDescent="0.3"/>
    <row r="5604" s="160" customFormat="1" x14ac:dyDescent="0.3"/>
    <row r="5605" s="160" customFormat="1" x14ac:dyDescent="0.3"/>
    <row r="5606" s="160" customFormat="1" x14ac:dyDescent="0.3"/>
    <row r="5607" s="160" customFormat="1" x14ac:dyDescent="0.3"/>
    <row r="5608" s="160" customFormat="1" x14ac:dyDescent="0.3"/>
    <row r="5609" s="160" customFormat="1" x14ac:dyDescent="0.3"/>
    <row r="5610" s="160" customFormat="1" x14ac:dyDescent="0.3"/>
    <row r="5611" s="160" customFormat="1" x14ac:dyDescent="0.3"/>
    <row r="5612" s="160" customFormat="1" x14ac:dyDescent="0.3"/>
    <row r="5613" s="160" customFormat="1" x14ac:dyDescent="0.3"/>
    <row r="5614" s="160" customFormat="1" x14ac:dyDescent="0.3"/>
    <row r="5615" s="160" customFormat="1" x14ac:dyDescent="0.3"/>
    <row r="5616" s="160" customFormat="1" x14ac:dyDescent="0.3"/>
    <row r="5617" s="160" customFormat="1" x14ac:dyDescent="0.3"/>
    <row r="5618" s="160" customFormat="1" x14ac:dyDescent="0.3"/>
    <row r="5619" s="160" customFormat="1" x14ac:dyDescent="0.3"/>
    <row r="5620" s="160" customFormat="1" x14ac:dyDescent="0.3"/>
    <row r="5621" s="160" customFormat="1" x14ac:dyDescent="0.3"/>
    <row r="5622" s="160" customFormat="1" x14ac:dyDescent="0.3"/>
    <row r="5623" s="160" customFormat="1" x14ac:dyDescent="0.3"/>
    <row r="5624" s="160" customFormat="1" x14ac:dyDescent="0.3"/>
    <row r="5625" s="160" customFormat="1" x14ac:dyDescent="0.3"/>
    <row r="5626" s="160" customFormat="1" x14ac:dyDescent="0.3"/>
    <row r="5627" s="160" customFormat="1" x14ac:dyDescent="0.3"/>
    <row r="5628" s="160" customFormat="1" x14ac:dyDescent="0.3"/>
    <row r="5629" s="160" customFormat="1" x14ac:dyDescent="0.3"/>
    <row r="5630" s="160" customFormat="1" x14ac:dyDescent="0.3"/>
    <row r="5631" s="160" customFormat="1" x14ac:dyDescent="0.3"/>
    <row r="5632" s="160" customFormat="1" x14ac:dyDescent="0.3"/>
    <row r="5633" s="160" customFormat="1" x14ac:dyDescent="0.3"/>
    <row r="5634" s="160" customFormat="1" x14ac:dyDescent="0.3"/>
    <row r="5635" s="160" customFormat="1" x14ac:dyDescent="0.3"/>
    <row r="5636" s="160" customFormat="1" x14ac:dyDescent="0.3"/>
    <row r="5637" s="160" customFormat="1" x14ac:dyDescent="0.3"/>
    <row r="5638" s="160" customFormat="1" x14ac:dyDescent="0.3"/>
    <row r="5639" s="160" customFormat="1" x14ac:dyDescent="0.3"/>
    <row r="5640" s="160" customFormat="1" x14ac:dyDescent="0.3"/>
    <row r="5641" s="160" customFormat="1" x14ac:dyDescent="0.3"/>
    <row r="5642" s="160" customFormat="1" x14ac:dyDescent="0.3"/>
    <row r="5643" s="160" customFormat="1" x14ac:dyDescent="0.3"/>
    <row r="5644" s="160" customFormat="1" x14ac:dyDescent="0.3"/>
    <row r="5645" s="160" customFormat="1" x14ac:dyDescent="0.3"/>
    <row r="5646" s="160" customFormat="1" x14ac:dyDescent="0.3"/>
    <row r="5647" s="160" customFormat="1" x14ac:dyDescent="0.3"/>
    <row r="5648" s="160" customFormat="1" x14ac:dyDescent="0.3"/>
    <row r="5649" s="160" customFormat="1" x14ac:dyDescent="0.3"/>
    <row r="5650" s="160" customFormat="1" x14ac:dyDescent="0.3"/>
    <row r="5651" s="160" customFormat="1" x14ac:dyDescent="0.3"/>
    <row r="5652" s="160" customFormat="1" x14ac:dyDescent="0.3"/>
    <row r="5653" s="160" customFormat="1" x14ac:dyDescent="0.3"/>
    <row r="5654" s="160" customFormat="1" x14ac:dyDescent="0.3"/>
    <row r="5655" s="160" customFormat="1" x14ac:dyDescent="0.3"/>
    <row r="5656" s="160" customFormat="1" x14ac:dyDescent="0.3"/>
    <row r="5657" s="160" customFormat="1" x14ac:dyDescent="0.3"/>
    <row r="5658" s="160" customFormat="1" x14ac:dyDescent="0.3"/>
    <row r="5659" s="160" customFormat="1" x14ac:dyDescent="0.3"/>
    <row r="5660" s="160" customFormat="1" x14ac:dyDescent="0.3"/>
    <row r="5661" s="160" customFormat="1" x14ac:dyDescent="0.3"/>
    <row r="5662" s="160" customFormat="1" x14ac:dyDescent="0.3"/>
    <row r="5663" s="160" customFormat="1" x14ac:dyDescent="0.3"/>
    <row r="5664" s="160" customFormat="1" x14ac:dyDescent="0.3"/>
    <row r="5665" s="160" customFormat="1" x14ac:dyDescent="0.3"/>
    <row r="5666" s="160" customFormat="1" x14ac:dyDescent="0.3"/>
    <row r="5667" s="160" customFormat="1" x14ac:dyDescent="0.3"/>
    <row r="5668" s="160" customFormat="1" x14ac:dyDescent="0.3"/>
    <row r="5669" s="160" customFormat="1" x14ac:dyDescent="0.3"/>
    <row r="5670" s="160" customFormat="1" x14ac:dyDescent="0.3"/>
    <row r="5671" s="160" customFormat="1" x14ac:dyDescent="0.3"/>
    <row r="5672" s="160" customFormat="1" x14ac:dyDescent="0.3"/>
    <row r="5673" s="160" customFormat="1" x14ac:dyDescent="0.3"/>
    <row r="5674" s="160" customFormat="1" x14ac:dyDescent="0.3"/>
    <row r="5675" s="160" customFormat="1" x14ac:dyDescent="0.3"/>
    <row r="5676" s="160" customFormat="1" x14ac:dyDescent="0.3"/>
    <row r="5677" s="160" customFormat="1" x14ac:dyDescent="0.3"/>
    <row r="5678" s="160" customFormat="1" x14ac:dyDescent="0.3"/>
    <row r="5679" s="160" customFormat="1" x14ac:dyDescent="0.3"/>
    <row r="5680" s="160" customFormat="1" x14ac:dyDescent="0.3"/>
    <row r="5681" s="160" customFormat="1" x14ac:dyDescent="0.3"/>
    <row r="5682" s="160" customFormat="1" x14ac:dyDescent="0.3"/>
    <row r="5683" s="160" customFormat="1" x14ac:dyDescent="0.3"/>
    <row r="5684" s="160" customFormat="1" x14ac:dyDescent="0.3"/>
    <row r="5685" s="160" customFormat="1" x14ac:dyDescent="0.3"/>
    <row r="5686" s="160" customFormat="1" x14ac:dyDescent="0.3"/>
    <row r="5687" s="160" customFormat="1" x14ac:dyDescent="0.3"/>
    <row r="5688" s="160" customFormat="1" x14ac:dyDescent="0.3"/>
    <row r="5689" s="160" customFormat="1" x14ac:dyDescent="0.3"/>
    <row r="5690" s="160" customFormat="1" x14ac:dyDescent="0.3"/>
    <row r="5691" s="160" customFormat="1" x14ac:dyDescent="0.3"/>
    <row r="5692" s="160" customFormat="1" x14ac:dyDescent="0.3"/>
    <row r="5693" s="160" customFormat="1" x14ac:dyDescent="0.3"/>
    <row r="5694" s="160" customFormat="1" x14ac:dyDescent="0.3"/>
    <row r="5695" s="160" customFormat="1" x14ac:dyDescent="0.3"/>
    <row r="5696" s="160" customFormat="1" x14ac:dyDescent="0.3"/>
    <row r="5697" s="160" customFormat="1" x14ac:dyDescent="0.3"/>
    <row r="5698" s="160" customFormat="1" x14ac:dyDescent="0.3"/>
    <row r="5699" s="160" customFormat="1" x14ac:dyDescent="0.3"/>
    <row r="5700" s="160" customFormat="1" x14ac:dyDescent="0.3"/>
    <row r="5701" s="160" customFormat="1" x14ac:dyDescent="0.3"/>
    <row r="5702" s="160" customFormat="1" x14ac:dyDescent="0.3"/>
    <row r="5703" s="160" customFormat="1" x14ac:dyDescent="0.3"/>
    <row r="5704" s="160" customFormat="1" x14ac:dyDescent="0.3"/>
    <row r="5705" s="160" customFormat="1" x14ac:dyDescent="0.3"/>
    <row r="5706" s="160" customFormat="1" x14ac:dyDescent="0.3"/>
    <row r="5707" s="160" customFormat="1" x14ac:dyDescent="0.3"/>
    <row r="5708" s="160" customFormat="1" x14ac:dyDescent="0.3"/>
    <row r="5709" s="160" customFormat="1" x14ac:dyDescent="0.3"/>
    <row r="5710" s="160" customFormat="1" x14ac:dyDescent="0.3"/>
    <row r="5711" s="160" customFormat="1" x14ac:dyDescent="0.3"/>
    <row r="5712" s="160" customFormat="1" x14ac:dyDescent="0.3"/>
    <row r="5713" s="160" customFormat="1" x14ac:dyDescent="0.3"/>
    <row r="5714" s="160" customFormat="1" x14ac:dyDescent="0.3"/>
    <row r="5715" s="160" customFormat="1" x14ac:dyDescent="0.3"/>
    <row r="5716" s="160" customFormat="1" x14ac:dyDescent="0.3"/>
    <row r="5717" s="160" customFormat="1" x14ac:dyDescent="0.3"/>
    <row r="5718" s="160" customFormat="1" x14ac:dyDescent="0.3"/>
    <row r="5719" s="160" customFormat="1" x14ac:dyDescent="0.3"/>
    <row r="5720" s="160" customFormat="1" x14ac:dyDescent="0.3"/>
    <row r="5721" s="160" customFormat="1" x14ac:dyDescent="0.3"/>
    <row r="5722" s="160" customFormat="1" x14ac:dyDescent="0.3"/>
    <row r="5723" s="160" customFormat="1" x14ac:dyDescent="0.3"/>
    <row r="5724" s="160" customFormat="1" x14ac:dyDescent="0.3"/>
    <row r="5725" s="160" customFormat="1" x14ac:dyDescent="0.3"/>
    <row r="5726" s="160" customFormat="1" x14ac:dyDescent="0.3"/>
    <row r="5727" s="160" customFormat="1" x14ac:dyDescent="0.3"/>
    <row r="5728" s="160" customFormat="1" x14ac:dyDescent="0.3"/>
    <row r="5729" s="160" customFormat="1" x14ac:dyDescent="0.3"/>
    <row r="5730" s="160" customFormat="1" x14ac:dyDescent="0.3"/>
    <row r="5731" s="160" customFormat="1" x14ac:dyDescent="0.3"/>
    <row r="5732" s="160" customFormat="1" x14ac:dyDescent="0.3"/>
    <row r="5733" s="160" customFormat="1" x14ac:dyDescent="0.3"/>
    <row r="5734" s="160" customFormat="1" x14ac:dyDescent="0.3"/>
    <row r="5735" s="160" customFormat="1" x14ac:dyDescent="0.3"/>
    <row r="5736" s="160" customFormat="1" x14ac:dyDescent="0.3"/>
    <row r="5737" s="160" customFormat="1" x14ac:dyDescent="0.3"/>
    <row r="5738" s="160" customFormat="1" x14ac:dyDescent="0.3"/>
    <row r="5739" s="160" customFormat="1" x14ac:dyDescent="0.3"/>
    <row r="5740" s="160" customFormat="1" x14ac:dyDescent="0.3"/>
    <row r="5741" s="160" customFormat="1" x14ac:dyDescent="0.3"/>
    <row r="5742" s="160" customFormat="1" x14ac:dyDescent="0.3"/>
    <row r="5743" s="160" customFormat="1" x14ac:dyDescent="0.3"/>
    <row r="5744" s="160" customFormat="1" x14ac:dyDescent="0.3"/>
    <row r="5745" s="160" customFormat="1" x14ac:dyDescent="0.3"/>
    <row r="5746" s="160" customFormat="1" x14ac:dyDescent="0.3"/>
    <row r="5747" s="160" customFormat="1" x14ac:dyDescent="0.3"/>
    <row r="5748" s="160" customFormat="1" x14ac:dyDescent="0.3"/>
    <row r="5749" s="160" customFormat="1" x14ac:dyDescent="0.3"/>
    <row r="5750" s="160" customFormat="1" x14ac:dyDescent="0.3"/>
    <row r="5751" s="160" customFormat="1" x14ac:dyDescent="0.3"/>
    <row r="5752" s="160" customFormat="1" x14ac:dyDescent="0.3"/>
    <row r="5753" s="160" customFormat="1" x14ac:dyDescent="0.3"/>
    <row r="5754" s="160" customFormat="1" x14ac:dyDescent="0.3"/>
    <row r="5755" s="160" customFormat="1" x14ac:dyDescent="0.3"/>
    <row r="5756" s="160" customFormat="1" x14ac:dyDescent="0.3"/>
    <row r="5757" s="160" customFormat="1" x14ac:dyDescent="0.3"/>
    <row r="5758" s="160" customFormat="1" x14ac:dyDescent="0.3"/>
    <row r="5759" s="160" customFormat="1" x14ac:dyDescent="0.3"/>
    <row r="5760" s="160" customFormat="1" x14ac:dyDescent="0.3"/>
    <row r="5761" s="160" customFormat="1" x14ac:dyDescent="0.3"/>
    <row r="5762" s="160" customFormat="1" x14ac:dyDescent="0.3"/>
    <row r="5763" s="160" customFormat="1" x14ac:dyDescent="0.3"/>
    <row r="5764" s="160" customFormat="1" x14ac:dyDescent="0.3"/>
    <row r="5765" s="160" customFormat="1" x14ac:dyDescent="0.3"/>
    <row r="5766" s="160" customFormat="1" x14ac:dyDescent="0.3"/>
    <row r="5767" s="160" customFormat="1" x14ac:dyDescent="0.3"/>
    <row r="5768" s="160" customFormat="1" x14ac:dyDescent="0.3"/>
    <row r="5769" s="160" customFormat="1" x14ac:dyDescent="0.3"/>
    <row r="5770" s="160" customFormat="1" x14ac:dyDescent="0.3"/>
    <row r="5771" s="160" customFormat="1" x14ac:dyDescent="0.3"/>
    <row r="5772" s="160" customFormat="1" x14ac:dyDescent="0.3"/>
    <row r="5773" s="160" customFormat="1" x14ac:dyDescent="0.3"/>
    <row r="5774" s="160" customFormat="1" x14ac:dyDescent="0.3"/>
    <row r="5775" s="160" customFormat="1" x14ac:dyDescent="0.3"/>
    <row r="5776" s="160" customFormat="1" x14ac:dyDescent="0.3"/>
    <row r="5777" s="160" customFormat="1" x14ac:dyDescent="0.3"/>
    <row r="5778" s="160" customFormat="1" x14ac:dyDescent="0.3"/>
    <row r="5779" s="160" customFormat="1" x14ac:dyDescent="0.3"/>
    <row r="5780" s="160" customFormat="1" x14ac:dyDescent="0.3"/>
    <row r="5781" s="160" customFormat="1" x14ac:dyDescent="0.3"/>
    <row r="5782" s="160" customFormat="1" x14ac:dyDescent="0.3"/>
    <row r="5783" s="160" customFormat="1" x14ac:dyDescent="0.3"/>
    <row r="5784" s="160" customFormat="1" x14ac:dyDescent="0.3"/>
    <row r="5785" s="160" customFormat="1" x14ac:dyDescent="0.3"/>
    <row r="5786" s="160" customFormat="1" x14ac:dyDescent="0.3"/>
    <row r="5787" s="160" customFormat="1" x14ac:dyDescent="0.3"/>
    <row r="5788" s="160" customFormat="1" x14ac:dyDescent="0.3"/>
    <row r="5789" s="160" customFormat="1" x14ac:dyDescent="0.3"/>
    <row r="5790" s="160" customFormat="1" x14ac:dyDescent="0.3"/>
    <row r="5791" s="160" customFormat="1" x14ac:dyDescent="0.3"/>
    <row r="5792" s="160" customFormat="1" x14ac:dyDescent="0.3"/>
    <row r="5793" s="160" customFormat="1" x14ac:dyDescent="0.3"/>
    <row r="5794" s="160" customFormat="1" x14ac:dyDescent="0.3"/>
    <row r="5795" s="160" customFormat="1" x14ac:dyDescent="0.3"/>
    <row r="5796" s="160" customFormat="1" x14ac:dyDescent="0.3"/>
    <row r="5797" s="160" customFormat="1" x14ac:dyDescent="0.3"/>
    <row r="5798" s="160" customFormat="1" x14ac:dyDescent="0.3"/>
    <row r="5799" s="160" customFormat="1" x14ac:dyDescent="0.3"/>
    <row r="5800" s="160" customFormat="1" x14ac:dyDescent="0.3"/>
    <row r="5801" s="160" customFormat="1" x14ac:dyDescent="0.3"/>
    <row r="5802" s="160" customFormat="1" x14ac:dyDescent="0.3"/>
    <row r="5803" s="160" customFormat="1" x14ac:dyDescent="0.3"/>
    <row r="5804" s="160" customFormat="1" x14ac:dyDescent="0.3"/>
    <row r="5805" s="160" customFormat="1" x14ac:dyDescent="0.3"/>
    <row r="5806" s="160" customFormat="1" x14ac:dyDescent="0.3"/>
    <row r="5807" s="160" customFormat="1" x14ac:dyDescent="0.3"/>
    <row r="5808" s="160" customFormat="1" x14ac:dyDescent="0.3"/>
    <row r="5809" s="160" customFormat="1" x14ac:dyDescent="0.3"/>
    <row r="5810" s="160" customFormat="1" x14ac:dyDescent="0.3"/>
    <row r="5811" s="160" customFormat="1" x14ac:dyDescent="0.3"/>
    <row r="5812" s="160" customFormat="1" x14ac:dyDescent="0.3"/>
    <row r="5813" s="160" customFormat="1" x14ac:dyDescent="0.3"/>
    <row r="5814" s="160" customFormat="1" x14ac:dyDescent="0.3"/>
    <row r="5815" s="160" customFormat="1" x14ac:dyDescent="0.3"/>
    <row r="5816" s="160" customFormat="1" x14ac:dyDescent="0.3"/>
    <row r="5817" s="160" customFormat="1" x14ac:dyDescent="0.3"/>
    <row r="5818" s="160" customFormat="1" x14ac:dyDescent="0.3"/>
    <row r="5819" s="160" customFormat="1" x14ac:dyDescent="0.3"/>
    <row r="5820" s="160" customFormat="1" x14ac:dyDescent="0.3"/>
    <row r="5821" s="160" customFormat="1" x14ac:dyDescent="0.3"/>
    <row r="5822" s="160" customFormat="1" x14ac:dyDescent="0.3"/>
    <row r="5823" s="160" customFormat="1" x14ac:dyDescent="0.3"/>
    <row r="5824" s="160" customFormat="1" x14ac:dyDescent="0.3"/>
    <row r="5825" s="160" customFormat="1" x14ac:dyDescent="0.3"/>
    <row r="5826" s="160" customFormat="1" x14ac:dyDescent="0.3"/>
    <row r="5827" s="160" customFormat="1" x14ac:dyDescent="0.3"/>
    <row r="5828" s="160" customFormat="1" x14ac:dyDescent="0.3"/>
    <row r="5829" s="160" customFormat="1" x14ac:dyDescent="0.3"/>
    <row r="5830" s="160" customFormat="1" x14ac:dyDescent="0.3"/>
    <row r="5831" s="160" customFormat="1" x14ac:dyDescent="0.3"/>
    <row r="5832" s="160" customFormat="1" x14ac:dyDescent="0.3"/>
    <row r="5833" s="160" customFormat="1" x14ac:dyDescent="0.3"/>
    <row r="5834" s="160" customFormat="1" x14ac:dyDescent="0.3"/>
    <row r="5835" s="160" customFormat="1" x14ac:dyDescent="0.3"/>
    <row r="5836" s="160" customFormat="1" x14ac:dyDescent="0.3"/>
    <row r="5837" s="160" customFormat="1" x14ac:dyDescent="0.3"/>
    <row r="5838" s="160" customFormat="1" x14ac:dyDescent="0.3"/>
    <row r="5839" s="160" customFormat="1" x14ac:dyDescent="0.3"/>
    <row r="5840" s="160" customFormat="1" x14ac:dyDescent="0.3"/>
    <row r="5841" s="160" customFormat="1" x14ac:dyDescent="0.3"/>
    <row r="5842" s="160" customFormat="1" x14ac:dyDescent="0.3"/>
    <row r="5843" s="160" customFormat="1" x14ac:dyDescent="0.3"/>
    <row r="5844" s="160" customFormat="1" x14ac:dyDescent="0.3"/>
    <row r="5845" s="160" customFormat="1" x14ac:dyDescent="0.3"/>
    <row r="5846" s="160" customFormat="1" x14ac:dyDescent="0.3"/>
    <row r="5847" s="160" customFormat="1" x14ac:dyDescent="0.3"/>
    <row r="5848" s="160" customFormat="1" x14ac:dyDescent="0.3"/>
    <row r="5849" s="160" customFormat="1" x14ac:dyDescent="0.3"/>
    <row r="5850" s="160" customFormat="1" x14ac:dyDescent="0.3"/>
    <row r="5851" s="160" customFormat="1" x14ac:dyDescent="0.3"/>
    <row r="5852" s="160" customFormat="1" x14ac:dyDescent="0.3"/>
    <row r="5853" s="160" customFormat="1" x14ac:dyDescent="0.3"/>
    <row r="5854" s="160" customFormat="1" x14ac:dyDescent="0.3"/>
    <row r="5855" s="160" customFormat="1" x14ac:dyDescent="0.3"/>
    <row r="5856" s="160" customFormat="1" x14ac:dyDescent="0.3"/>
    <row r="5857" s="160" customFormat="1" x14ac:dyDescent="0.3"/>
    <row r="5858" s="160" customFormat="1" x14ac:dyDescent="0.3"/>
    <row r="5859" s="160" customFormat="1" x14ac:dyDescent="0.3"/>
    <row r="5860" s="160" customFormat="1" x14ac:dyDescent="0.3"/>
    <row r="5861" s="160" customFormat="1" x14ac:dyDescent="0.3"/>
    <row r="5862" s="160" customFormat="1" x14ac:dyDescent="0.3"/>
    <row r="5863" s="160" customFormat="1" x14ac:dyDescent="0.3"/>
    <row r="5864" s="160" customFormat="1" x14ac:dyDescent="0.3"/>
    <row r="5865" s="160" customFormat="1" x14ac:dyDescent="0.3"/>
    <row r="5866" s="160" customFormat="1" x14ac:dyDescent="0.3"/>
    <row r="5867" s="160" customFormat="1" x14ac:dyDescent="0.3"/>
    <row r="5868" s="160" customFormat="1" x14ac:dyDescent="0.3"/>
    <row r="5869" s="160" customFormat="1" x14ac:dyDescent="0.3"/>
    <row r="5870" s="160" customFormat="1" x14ac:dyDescent="0.3"/>
    <row r="5871" s="160" customFormat="1" x14ac:dyDescent="0.3"/>
    <row r="5872" s="160" customFormat="1" x14ac:dyDescent="0.3"/>
    <row r="5873" s="160" customFormat="1" x14ac:dyDescent="0.3"/>
    <row r="5874" s="160" customFormat="1" x14ac:dyDescent="0.3"/>
    <row r="5875" s="160" customFormat="1" x14ac:dyDescent="0.3"/>
    <row r="5876" s="160" customFormat="1" x14ac:dyDescent="0.3"/>
    <row r="5877" s="160" customFormat="1" x14ac:dyDescent="0.3"/>
    <row r="5878" s="160" customFormat="1" x14ac:dyDescent="0.3"/>
    <row r="5879" s="160" customFormat="1" x14ac:dyDescent="0.3"/>
    <row r="5880" s="160" customFormat="1" x14ac:dyDescent="0.3"/>
    <row r="5881" s="160" customFormat="1" x14ac:dyDescent="0.3"/>
    <row r="5882" s="160" customFormat="1" x14ac:dyDescent="0.3"/>
    <row r="5883" s="160" customFormat="1" x14ac:dyDescent="0.3"/>
    <row r="5884" s="160" customFormat="1" x14ac:dyDescent="0.3"/>
    <row r="5885" s="160" customFormat="1" x14ac:dyDescent="0.3"/>
    <row r="5886" s="160" customFormat="1" x14ac:dyDescent="0.3"/>
    <row r="5887" s="160" customFormat="1" x14ac:dyDescent="0.3"/>
    <row r="5888" s="160" customFormat="1" x14ac:dyDescent="0.3"/>
    <row r="5889" s="160" customFormat="1" x14ac:dyDescent="0.3"/>
    <row r="5890" s="160" customFormat="1" x14ac:dyDescent="0.3"/>
    <row r="5891" s="160" customFormat="1" x14ac:dyDescent="0.3"/>
    <row r="5892" s="160" customFormat="1" x14ac:dyDescent="0.3"/>
    <row r="5893" s="160" customFormat="1" x14ac:dyDescent="0.3"/>
    <row r="5894" s="160" customFormat="1" x14ac:dyDescent="0.3"/>
    <row r="5895" s="160" customFormat="1" x14ac:dyDescent="0.3"/>
    <row r="5896" s="160" customFormat="1" x14ac:dyDescent="0.3"/>
    <row r="5897" s="160" customFormat="1" x14ac:dyDescent="0.3"/>
    <row r="5898" s="160" customFormat="1" x14ac:dyDescent="0.3"/>
    <row r="5899" s="160" customFormat="1" x14ac:dyDescent="0.3"/>
    <row r="5900" s="160" customFormat="1" x14ac:dyDescent="0.3"/>
    <row r="5901" s="160" customFormat="1" x14ac:dyDescent="0.3"/>
    <row r="5902" s="160" customFormat="1" x14ac:dyDescent="0.3"/>
    <row r="5903" s="160" customFormat="1" x14ac:dyDescent="0.3"/>
    <row r="5904" s="160" customFormat="1" x14ac:dyDescent="0.3"/>
    <row r="5905" s="160" customFormat="1" x14ac:dyDescent="0.3"/>
    <row r="5906" s="160" customFormat="1" x14ac:dyDescent="0.3"/>
    <row r="5907" s="160" customFormat="1" x14ac:dyDescent="0.3"/>
    <row r="5908" s="160" customFormat="1" x14ac:dyDescent="0.3"/>
    <row r="5909" s="160" customFormat="1" x14ac:dyDescent="0.3"/>
    <row r="5910" s="160" customFormat="1" x14ac:dyDescent="0.3"/>
    <row r="5911" s="160" customFormat="1" x14ac:dyDescent="0.3"/>
    <row r="5912" s="160" customFormat="1" x14ac:dyDescent="0.3"/>
    <row r="5913" s="160" customFormat="1" x14ac:dyDescent="0.3"/>
    <row r="5914" s="160" customFormat="1" x14ac:dyDescent="0.3"/>
    <row r="5915" s="160" customFormat="1" x14ac:dyDescent="0.3"/>
    <row r="5916" s="160" customFormat="1" x14ac:dyDescent="0.3"/>
    <row r="5917" s="160" customFormat="1" x14ac:dyDescent="0.3"/>
    <row r="5918" s="160" customFormat="1" x14ac:dyDescent="0.3"/>
    <row r="5919" s="160" customFormat="1" x14ac:dyDescent="0.3"/>
    <row r="5920" s="160" customFormat="1" x14ac:dyDescent="0.3"/>
    <row r="5921" s="160" customFormat="1" x14ac:dyDescent="0.3"/>
    <row r="5922" s="160" customFormat="1" x14ac:dyDescent="0.3"/>
    <row r="5923" s="160" customFormat="1" x14ac:dyDescent="0.3"/>
    <row r="5924" s="160" customFormat="1" x14ac:dyDescent="0.3"/>
    <row r="5925" s="160" customFormat="1" x14ac:dyDescent="0.3"/>
    <row r="5926" s="160" customFormat="1" x14ac:dyDescent="0.3"/>
    <row r="5927" s="160" customFormat="1" x14ac:dyDescent="0.3"/>
    <row r="5928" s="160" customFormat="1" x14ac:dyDescent="0.3"/>
    <row r="5929" s="160" customFormat="1" x14ac:dyDescent="0.3"/>
    <row r="5930" s="160" customFormat="1" x14ac:dyDescent="0.3"/>
    <row r="5931" s="160" customFormat="1" x14ac:dyDescent="0.3"/>
    <row r="5932" s="160" customFormat="1" x14ac:dyDescent="0.3"/>
    <row r="5933" s="160" customFormat="1" x14ac:dyDescent="0.3"/>
    <row r="5934" s="160" customFormat="1" x14ac:dyDescent="0.3"/>
    <row r="5935" s="160" customFormat="1" x14ac:dyDescent="0.3"/>
    <row r="5936" s="160" customFormat="1" x14ac:dyDescent="0.3"/>
    <row r="5937" s="160" customFormat="1" x14ac:dyDescent="0.3"/>
    <row r="5938" s="160" customFormat="1" x14ac:dyDescent="0.3"/>
    <row r="5939" s="160" customFormat="1" x14ac:dyDescent="0.3"/>
    <row r="5940" s="160" customFormat="1" x14ac:dyDescent="0.3"/>
    <row r="5941" s="160" customFormat="1" x14ac:dyDescent="0.3"/>
    <row r="5942" s="160" customFormat="1" x14ac:dyDescent="0.3"/>
    <row r="5943" s="160" customFormat="1" x14ac:dyDescent="0.3"/>
    <row r="5944" s="160" customFormat="1" x14ac:dyDescent="0.3"/>
    <row r="5945" s="160" customFormat="1" x14ac:dyDescent="0.3"/>
    <row r="5946" s="160" customFormat="1" x14ac:dyDescent="0.3"/>
    <row r="5947" s="160" customFormat="1" x14ac:dyDescent="0.3"/>
    <row r="5948" s="160" customFormat="1" x14ac:dyDescent="0.3"/>
    <row r="5949" s="160" customFormat="1" x14ac:dyDescent="0.3"/>
    <row r="5950" s="160" customFormat="1" x14ac:dyDescent="0.3"/>
    <row r="5951" s="160" customFormat="1" x14ac:dyDescent="0.3"/>
    <row r="5952" s="160" customFormat="1" x14ac:dyDescent="0.3"/>
    <row r="5953" s="160" customFormat="1" x14ac:dyDescent="0.3"/>
    <row r="5954" s="160" customFormat="1" x14ac:dyDescent="0.3"/>
    <row r="5955" s="160" customFormat="1" x14ac:dyDescent="0.3"/>
    <row r="5956" s="160" customFormat="1" x14ac:dyDescent="0.3"/>
    <row r="5957" s="160" customFormat="1" x14ac:dyDescent="0.3"/>
    <row r="5958" s="160" customFormat="1" x14ac:dyDescent="0.3"/>
    <row r="5959" s="160" customFormat="1" x14ac:dyDescent="0.3"/>
    <row r="5960" s="160" customFormat="1" x14ac:dyDescent="0.3"/>
    <row r="5961" s="160" customFormat="1" x14ac:dyDescent="0.3"/>
    <row r="5962" s="160" customFormat="1" x14ac:dyDescent="0.3"/>
    <row r="5963" s="160" customFormat="1" x14ac:dyDescent="0.3"/>
    <row r="5964" s="160" customFormat="1" x14ac:dyDescent="0.3"/>
    <row r="5965" s="160" customFormat="1" x14ac:dyDescent="0.3"/>
    <row r="5966" s="160" customFormat="1" x14ac:dyDescent="0.3"/>
    <row r="5967" s="160" customFormat="1" x14ac:dyDescent="0.3"/>
    <row r="5968" s="160" customFormat="1" x14ac:dyDescent="0.3"/>
    <row r="5969" s="160" customFormat="1" x14ac:dyDescent="0.3"/>
    <row r="5970" s="160" customFormat="1" x14ac:dyDescent="0.3"/>
    <row r="5971" s="160" customFormat="1" x14ac:dyDescent="0.3"/>
    <row r="5972" s="160" customFormat="1" x14ac:dyDescent="0.3"/>
    <row r="5973" s="160" customFormat="1" x14ac:dyDescent="0.3"/>
    <row r="5974" s="160" customFormat="1" x14ac:dyDescent="0.3"/>
    <row r="5975" s="160" customFormat="1" x14ac:dyDescent="0.3"/>
    <row r="5976" s="160" customFormat="1" x14ac:dyDescent="0.3"/>
    <row r="5977" s="160" customFormat="1" x14ac:dyDescent="0.3"/>
    <row r="5978" s="160" customFormat="1" x14ac:dyDescent="0.3"/>
    <row r="5979" s="160" customFormat="1" x14ac:dyDescent="0.3"/>
    <row r="5980" s="160" customFormat="1" x14ac:dyDescent="0.3"/>
    <row r="5981" s="160" customFormat="1" x14ac:dyDescent="0.3"/>
    <row r="5982" s="160" customFormat="1" x14ac:dyDescent="0.3"/>
    <row r="5983" s="160" customFormat="1" x14ac:dyDescent="0.3"/>
    <row r="5984" s="160" customFormat="1" x14ac:dyDescent="0.3"/>
    <row r="5985" s="160" customFormat="1" x14ac:dyDescent="0.3"/>
    <row r="5986" s="160" customFormat="1" x14ac:dyDescent="0.3"/>
    <row r="5987" s="160" customFormat="1" x14ac:dyDescent="0.3"/>
    <row r="5988" s="160" customFormat="1" x14ac:dyDescent="0.3"/>
    <row r="5989" s="160" customFormat="1" x14ac:dyDescent="0.3"/>
    <row r="5990" s="160" customFormat="1" x14ac:dyDescent="0.3"/>
    <row r="5991" s="160" customFormat="1" x14ac:dyDescent="0.3"/>
    <row r="5992" s="160" customFormat="1" x14ac:dyDescent="0.3"/>
    <row r="5993" s="160" customFormat="1" x14ac:dyDescent="0.3"/>
    <row r="5994" s="160" customFormat="1" x14ac:dyDescent="0.3"/>
    <row r="5995" s="160" customFormat="1" x14ac:dyDescent="0.3"/>
    <row r="5996" s="160" customFormat="1" x14ac:dyDescent="0.3"/>
    <row r="5997" s="160" customFormat="1" x14ac:dyDescent="0.3"/>
    <row r="5998" s="160" customFormat="1" x14ac:dyDescent="0.3"/>
    <row r="5999" s="160" customFormat="1" x14ac:dyDescent="0.3"/>
    <row r="6000" s="160" customFormat="1" x14ac:dyDescent="0.3"/>
    <row r="6001" s="160" customFormat="1" x14ac:dyDescent="0.3"/>
    <row r="6002" s="160" customFormat="1" x14ac:dyDescent="0.3"/>
    <row r="6003" s="160" customFormat="1" x14ac:dyDescent="0.3"/>
    <row r="6004" s="160" customFormat="1" x14ac:dyDescent="0.3"/>
    <row r="6005" s="160" customFormat="1" x14ac:dyDescent="0.3"/>
    <row r="6006" s="160" customFormat="1" x14ac:dyDescent="0.3"/>
    <row r="6007" s="160" customFormat="1" x14ac:dyDescent="0.3"/>
    <row r="6008" s="160" customFormat="1" x14ac:dyDescent="0.3"/>
    <row r="6009" s="160" customFormat="1" x14ac:dyDescent="0.3"/>
    <row r="6010" s="160" customFormat="1" x14ac:dyDescent="0.3"/>
    <row r="6011" s="160" customFormat="1" x14ac:dyDescent="0.3"/>
    <row r="6012" s="160" customFormat="1" x14ac:dyDescent="0.3"/>
    <row r="6013" s="160" customFormat="1" x14ac:dyDescent="0.3"/>
    <row r="6014" s="160" customFormat="1" x14ac:dyDescent="0.3"/>
    <row r="6015" s="160" customFormat="1" x14ac:dyDescent="0.3"/>
    <row r="6016" s="160" customFormat="1" x14ac:dyDescent="0.3"/>
    <row r="6017" s="160" customFormat="1" x14ac:dyDescent="0.3"/>
    <row r="6018" s="160" customFormat="1" x14ac:dyDescent="0.3"/>
    <row r="6019" s="160" customFormat="1" x14ac:dyDescent="0.3"/>
    <row r="6020" s="160" customFormat="1" x14ac:dyDescent="0.3"/>
    <row r="6021" s="160" customFormat="1" x14ac:dyDescent="0.3"/>
    <row r="6022" s="160" customFormat="1" x14ac:dyDescent="0.3"/>
    <row r="6023" s="160" customFormat="1" x14ac:dyDescent="0.3"/>
    <row r="6024" s="160" customFormat="1" x14ac:dyDescent="0.3"/>
    <row r="6025" s="160" customFormat="1" x14ac:dyDescent="0.3"/>
    <row r="6026" s="160" customFormat="1" x14ac:dyDescent="0.3"/>
    <row r="6027" s="160" customFormat="1" x14ac:dyDescent="0.3"/>
    <row r="6028" s="160" customFormat="1" x14ac:dyDescent="0.3"/>
    <row r="6029" s="160" customFormat="1" x14ac:dyDescent="0.3"/>
    <row r="6030" s="160" customFormat="1" x14ac:dyDescent="0.3"/>
    <row r="6031" s="160" customFormat="1" x14ac:dyDescent="0.3"/>
    <row r="6032" s="160" customFormat="1" x14ac:dyDescent="0.3"/>
    <row r="6033" s="160" customFormat="1" x14ac:dyDescent="0.3"/>
    <row r="6034" s="160" customFormat="1" x14ac:dyDescent="0.3"/>
    <row r="6035" s="160" customFormat="1" x14ac:dyDescent="0.3"/>
    <row r="6036" s="160" customFormat="1" x14ac:dyDescent="0.3"/>
    <row r="6037" s="160" customFormat="1" x14ac:dyDescent="0.3"/>
    <row r="6038" s="160" customFormat="1" x14ac:dyDescent="0.3"/>
    <row r="6039" s="160" customFormat="1" x14ac:dyDescent="0.3"/>
    <row r="6040" s="160" customFormat="1" x14ac:dyDescent="0.3"/>
    <row r="6041" s="160" customFormat="1" x14ac:dyDescent="0.3"/>
    <row r="6042" s="160" customFormat="1" x14ac:dyDescent="0.3"/>
    <row r="6043" s="160" customFormat="1" x14ac:dyDescent="0.3"/>
    <row r="6044" s="160" customFormat="1" x14ac:dyDescent="0.3"/>
    <row r="6045" s="160" customFormat="1" x14ac:dyDescent="0.3"/>
    <row r="6046" s="160" customFormat="1" x14ac:dyDescent="0.3"/>
    <row r="6047" s="160" customFormat="1" x14ac:dyDescent="0.3"/>
    <row r="6048" s="160" customFormat="1" x14ac:dyDescent="0.3"/>
    <row r="6049" s="160" customFormat="1" x14ac:dyDescent="0.3"/>
    <row r="6050" s="160" customFormat="1" x14ac:dyDescent="0.3"/>
    <row r="6051" s="160" customFormat="1" x14ac:dyDescent="0.3"/>
    <row r="6052" s="160" customFormat="1" x14ac:dyDescent="0.3"/>
    <row r="6053" s="160" customFormat="1" x14ac:dyDescent="0.3"/>
    <row r="6054" s="160" customFormat="1" x14ac:dyDescent="0.3"/>
    <row r="6055" s="160" customFormat="1" x14ac:dyDescent="0.3"/>
    <row r="6056" s="160" customFormat="1" x14ac:dyDescent="0.3"/>
    <row r="6057" s="160" customFormat="1" x14ac:dyDescent="0.3"/>
    <row r="6058" s="160" customFormat="1" x14ac:dyDescent="0.3"/>
    <row r="6059" s="160" customFormat="1" x14ac:dyDescent="0.3"/>
    <row r="6060" s="160" customFormat="1" x14ac:dyDescent="0.3"/>
    <row r="6061" s="160" customFormat="1" x14ac:dyDescent="0.3"/>
    <row r="6062" s="160" customFormat="1" x14ac:dyDescent="0.3"/>
    <row r="6063" s="160" customFormat="1" x14ac:dyDescent="0.3"/>
    <row r="6064" s="160" customFormat="1" x14ac:dyDescent="0.3"/>
    <row r="6065" s="160" customFormat="1" x14ac:dyDescent="0.3"/>
    <row r="6066" s="160" customFormat="1" x14ac:dyDescent="0.3"/>
    <row r="6067" s="160" customFormat="1" x14ac:dyDescent="0.3"/>
    <row r="6068" s="160" customFormat="1" x14ac:dyDescent="0.3"/>
    <row r="6069" s="160" customFormat="1" x14ac:dyDescent="0.3"/>
    <row r="6070" s="160" customFormat="1" x14ac:dyDescent="0.3"/>
    <row r="6071" s="160" customFormat="1" x14ac:dyDescent="0.3"/>
    <row r="6072" s="160" customFormat="1" x14ac:dyDescent="0.3"/>
    <row r="6073" s="160" customFormat="1" x14ac:dyDescent="0.3"/>
    <row r="6074" s="160" customFormat="1" x14ac:dyDescent="0.3"/>
    <row r="6075" s="160" customFormat="1" x14ac:dyDescent="0.3"/>
    <row r="6076" s="160" customFormat="1" x14ac:dyDescent="0.3"/>
    <row r="6077" s="160" customFormat="1" x14ac:dyDescent="0.3"/>
    <row r="6078" s="160" customFormat="1" x14ac:dyDescent="0.3"/>
    <row r="6079" s="160" customFormat="1" x14ac:dyDescent="0.3"/>
    <row r="6080" s="160" customFormat="1" x14ac:dyDescent="0.3"/>
    <row r="6081" s="160" customFormat="1" x14ac:dyDescent="0.3"/>
    <row r="6082" s="160" customFormat="1" x14ac:dyDescent="0.3"/>
    <row r="6083" s="160" customFormat="1" x14ac:dyDescent="0.3"/>
    <row r="6084" s="160" customFormat="1" x14ac:dyDescent="0.3"/>
    <row r="6085" s="160" customFormat="1" x14ac:dyDescent="0.3"/>
    <row r="6086" s="160" customFormat="1" x14ac:dyDescent="0.3"/>
    <row r="6087" s="160" customFormat="1" x14ac:dyDescent="0.3"/>
    <row r="6088" s="160" customFormat="1" x14ac:dyDescent="0.3"/>
    <row r="6089" s="160" customFormat="1" x14ac:dyDescent="0.3"/>
    <row r="6090" s="160" customFormat="1" x14ac:dyDescent="0.3"/>
    <row r="6091" s="160" customFormat="1" x14ac:dyDescent="0.3"/>
    <row r="6092" s="160" customFormat="1" x14ac:dyDescent="0.3"/>
    <row r="6093" s="160" customFormat="1" x14ac:dyDescent="0.3"/>
    <row r="6094" s="160" customFormat="1" x14ac:dyDescent="0.3"/>
    <row r="6095" s="160" customFormat="1" x14ac:dyDescent="0.3"/>
    <row r="6096" s="160" customFormat="1" x14ac:dyDescent="0.3"/>
    <row r="6097" s="160" customFormat="1" x14ac:dyDescent="0.3"/>
    <row r="6098" s="160" customFormat="1" x14ac:dyDescent="0.3"/>
    <row r="6099" s="160" customFormat="1" x14ac:dyDescent="0.3"/>
    <row r="6100" s="160" customFormat="1" x14ac:dyDescent="0.3"/>
    <row r="6101" s="160" customFormat="1" x14ac:dyDescent="0.3"/>
    <row r="6102" s="160" customFormat="1" x14ac:dyDescent="0.3"/>
    <row r="6103" s="160" customFormat="1" x14ac:dyDescent="0.3"/>
    <row r="6104" s="160" customFormat="1" x14ac:dyDescent="0.3"/>
    <row r="6105" s="160" customFormat="1" x14ac:dyDescent="0.3"/>
    <row r="6106" s="160" customFormat="1" x14ac:dyDescent="0.3"/>
    <row r="6107" s="160" customFormat="1" x14ac:dyDescent="0.3"/>
    <row r="6108" s="160" customFormat="1" x14ac:dyDescent="0.3"/>
    <row r="6109" s="160" customFormat="1" x14ac:dyDescent="0.3"/>
    <row r="6110" s="160" customFormat="1" x14ac:dyDescent="0.3"/>
    <row r="6111" s="160" customFormat="1" x14ac:dyDescent="0.3"/>
    <row r="6112" s="160" customFormat="1" x14ac:dyDescent="0.3"/>
    <row r="6113" s="160" customFormat="1" x14ac:dyDescent="0.3"/>
    <row r="6114" s="160" customFormat="1" x14ac:dyDescent="0.3"/>
    <row r="6115" s="160" customFormat="1" x14ac:dyDescent="0.3"/>
    <row r="6116" s="160" customFormat="1" x14ac:dyDescent="0.3"/>
    <row r="6117" s="160" customFormat="1" x14ac:dyDescent="0.3"/>
    <row r="6118" s="160" customFormat="1" x14ac:dyDescent="0.3"/>
    <row r="6119" s="160" customFormat="1" x14ac:dyDescent="0.3"/>
    <row r="6120" s="160" customFormat="1" x14ac:dyDescent="0.3"/>
    <row r="6121" s="160" customFormat="1" x14ac:dyDescent="0.3"/>
    <row r="6122" s="160" customFormat="1" x14ac:dyDescent="0.3"/>
    <row r="6123" s="160" customFormat="1" x14ac:dyDescent="0.3"/>
    <row r="6124" s="160" customFormat="1" x14ac:dyDescent="0.3"/>
    <row r="6125" s="160" customFormat="1" x14ac:dyDescent="0.3"/>
    <row r="6126" s="160" customFormat="1" x14ac:dyDescent="0.3"/>
    <row r="6127" s="160" customFormat="1" x14ac:dyDescent="0.3"/>
    <row r="6128" s="160" customFormat="1" x14ac:dyDescent="0.3"/>
    <row r="6129" s="160" customFormat="1" x14ac:dyDescent="0.3"/>
    <row r="6130" s="160" customFormat="1" x14ac:dyDescent="0.3"/>
    <row r="6131" s="160" customFormat="1" x14ac:dyDescent="0.3"/>
    <row r="6132" s="160" customFormat="1" x14ac:dyDescent="0.3"/>
    <row r="6133" s="160" customFormat="1" x14ac:dyDescent="0.3"/>
    <row r="6134" s="160" customFormat="1" x14ac:dyDescent="0.3"/>
    <row r="6135" s="160" customFormat="1" x14ac:dyDescent="0.3"/>
    <row r="6136" s="160" customFormat="1" x14ac:dyDescent="0.3"/>
    <row r="6137" s="160" customFormat="1" x14ac:dyDescent="0.3"/>
    <row r="6138" s="160" customFormat="1" x14ac:dyDescent="0.3"/>
    <row r="6139" s="160" customFormat="1" x14ac:dyDescent="0.3"/>
    <row r="6140" s="160" customFormat="1" x14ac:dyDescent="0.3"/>
    <row r="6141" s="160" customFormat="1" x14ac:dyDescent="0.3"/>
    <row r="6142" s="160" customFormat="1" x14ac:dyDescent="0.3"/>
    <row r="6143" s="160" customFormat="1" x14ac:dyDescent="0.3"/>
    <row r="6144" s="160" customFormat="1" x14ac:dyDescent="0.3"/>
    <row r="6145" s="160" customFormat="1" x14ac:dyDescent="0.3"/>
    <row r="6146" s="160" customFormat="1" x14ac:dyDescent="0.3"/>
    <row r="6147" s="160" customFormat="1" x14ac:dyDescent="0.3"/>
    <row r="6148" s="160" customFormat="1" x14ac:dyDescent="0.3"/>
    <row r="6149" s="160" customFormat="1" x14ac:dyDescent="0.3"/>
    <row r="6150" s="160" customFormat="1" x14ac:dyDescent="0.3"/>
    <row r="6151" s="160" customFormat="1" x14ac:dyDescent="0.3"/>
    <row r="6152" s="160" customFormat="1" x14ac:dyDescent="0.3"/>
    <row r="6153" s="160" customFormat="1" x14ac:dyDescent="0.3"/>
    <row r="6154" s="160" customFormat="1" x14ac:dyDescent="0.3"/>
    <row r="6155" s="160" customFormat="1" x14ac:dyDescent="0.3"/>
    <row r="6156" s="160" customFormat="1" x14ac:dyDescent="0.3"/>
    <row r="6157" s="160" customFormat="1" x14ac:dyDescent="0.3"/>
    <row r="6158" s="160" customFormat="1" x14ac:dyDescent="0.3"/>
    <row r="6159" s="160" customFormat="1" x14ac:dyDescent="0.3"/>
    <row r="6160" s="160" customFormat="1" x14ac:dyDescent="0.3"/>
    <row r="6161" s="160" customFormat="1" x14ac:dyDescent="0.3"/>
    <row r="6162" s="160" customFormat="1" x14ac:dyDescent="0.3"/>
    <row r="6163" s="160" customFormat="1" x14ac:dyDescent="0.3"/>
    <row r="6164" s="160" customFormat="1" x14ac:dyDescent="0.3"/>
    <row r="6165" s="160" customFormat="1" x14ac:dyDescent="0.3"/>
    <row r="6166" s="160" customFormat="1" x14ac:dyDescent="0.3"/>
    <row r="6167" s="160" customFormat="1" x14ac:dyDescent="0.3"/>
    <row r="6168" s="160" customFormat="1" x14ac:dyDescent="0.3"/>
    <row r="6169" s="160" customFormat="1" x14ac:dyDescent="0.3"/>
    <row r="6170" s="160" customFormat="1" x14ac:dyDescent="0.3"/>
    <row r="6171" s="160" customFormat="1" x14ac:dyDescent="0.3"/>
    <row r="6172" s="160" customFormat="1" x14ac:dyDescent="0.3"/>
    <row r="6173" s="160" customFormat="1" x14ac:dyDescent="0.3"/>
    <row r="6174" s="160" customFormat="1" x14ac:dyDescent="0.3"/>
    <row r="6175" s="160" customFormat="1" x14ac:dyDescent="0.3"/>
    <row r="6176" s="160" customFormat="1" x14ac:dyDescent="0.3"/>
    <row r="6177" s="160" customFormat="1" x14ac:dyDescent="0.3"/>
    <row r="6178" s="160" customFormat="1" x14ac:dyDescent="0.3"/>
    <row r="6179" s="160" customFormat="1" x14ac:dyDescent="0.3"/>
    <row r="6180" s="160" customFormat="1" x14ac:dyDescent="0.3"/>
    <row r="6181" s="160" customFormat="1" x14ac:dyDescent="0.3"/>
    <row r="6182" s="160" customFormat="1" x14ac:dyDescent="0.3"/>
    <row r="6183" s="160" customFormat="1" x14ac:dyDescent="0.3"/>
    <row r="6184" s="160" customFormat="1" x14ac:dyDescent="0.3"/>
    <row r="6185" s="160" customFormat="1" x14ac:dyDescent="0.3"/>
    <row r="6186" s="160" customFormat="1" x14ac:dyDescent="0.3"/>
    <row r="6187" s="160" customFormat="1" x14ac:dyDescent="0.3"/>
    <row r="6188" s="160" customFormat="1" x14ac:dyDescent="0.3"/>
    <row r="6189" s="160" customFormat="1" x14ac:dyDescent="0.3"/>
    <row r="6190" s="160" customFormat="1" x14ac:dyDescent="0.3"/>
    <row r="6191" s="160" customFormat="1" x14ac:dyDescent="0.3"/>
    <row r="6192" s="160" customFormat="1" x14ac:dyDescent="0.3"/>
    <row r="6193" s="160" customFormat="1" x14ac:dyDescent="0.3"/>
    <row r="6194" s="160" customFormat="1" x14ac:dyDescent="0.3"/>
    <row r="6195" s="160" customFormat="1" x14ac:dyDescent="0.3"/>
    <row r="6196" s="160" customFormat="1" x14ac:dyDescent="0.3"/>
    <row r="6197" s="160" customFormat="1" x14ac:dyDescent="0.3"/>
    <row r="6198" s="160" customFormat="1" x14ac:dyDescent="0.3"/>
    <row r="6199" s="160" customFormat="1" x14ac:dyDescent="0.3"/>
    <row r="6200" s="160" customFormat="1" x14ac:dyDescent="0.3"/>
    <row r="6201" s="160" customFormat="1" x14ac:dyDescent="0.3"/>
    <row r="6202" s="160" customFormat="1" x14ac:dyDescent="0.3"/>
    <row r="6203" s="160" customFormat="1" x14ac:dyDescent="0.3"/>
    <row r="6204" s="160" customFormat="1" x14ac:dyDescent="0.3"/>
    <row r="6205" s="160" customFormat="1" x14ac:dyDescent="0.3"/>
    <row r="6206" s="160" customFormat="1" x14ac:dyDescent="0.3"/>
    <row r="6207" s="160" customFormat="1" x14ac:dyDescent="0.3"/>
    <row r="6208" s="160" customFormat="1" x14ac:dyDescent="0.3"/>
    <row r="6209" s="160" customFormat="1" x14ac:dyDescent="0.3"/>
    <row r="6210" s="160" customFormat="1" x14ac:dyDescent="0.3"/>
    <row r="6211" s="160" customFormat="1" x14ac:dyDescent="0.3"/>
    <row r="6212" s="160" customFormat="1" x14ac:dyDescent="0.3"/>
    <row r="6213" s="160" customFormat="1" x14ac:dyDescent="0.3"/>
    <row r="6214" s="160" customFormat="1" x14ac:dyDescent="0.3"/>
    <row r="6215" s="160" customFormat="1" x14ac:dyDescent="0.3"/>
    <row r="6216" s="160" customFormat="1" x14ac:dyDescent="0.3"/>
    <row r="6217" s="160" customFormat="1" x14ac:dyDescent="0.3"/>
    <row r="6218" s="160" customFormat="1" x14ac:dyDescent="0.3"/>
    <row r="6219" s="160" customFormat="1" x14ac:dyDescent="0.3"/>
    <row r="6220" s="160" customFormat="1" x14ac:dyDescent="0.3"/>
    <row r="6221" s="160" customFormat="1" x14ac:dyDescent="0.3"/>
    <row r="6222" s="160" customFormat="1" x14ac:dyDescent="0.3"/>
    <row r="6223" s="160" customFormat="1" x14ac:dyDescent="0.3"/>
    <row r="6224" s="160" customFormat="1" x14ac:dyDescent="0.3"/>
    <row r="6225" s="160" customFormat="1" x14ac:dyDescent="0.3"/>
    <row r="6226" s="160" customFormat="1" x14ac:dyDescent="0.3"/>
    <row r="6227" s="160" customFormat="1" x14ac:dyDescent="0.3"/>
    <row r="6228" s="160" customFormat="1" x14ac:dyDescent="0.3"/>
    <row r="6229" s="160" customFormat="1" x14ac:dyDescent="0.3"/>
    <row r="6230" s="160" customFormat="1" x14ac:dyDescent="0.3"/>
    <row r="6231" s="160" customFormat="1" x14ac:dyDescent="0.3"/>
    <row r="6232" s="160" customFormat="1" x14ac:dyDescent="0.3"/>
    <row r="6233" s="160" customFormat="1" x14ac:dyDescent="0.3"/>
    <row r="6234" s="160" customFormat="1" x14ac:dyDescent="0.3"/>
    <row r="6235" s="160" customFormat="1" x14ac:dyDescent="0.3"/>
    <row r="6236" s="160" customFormat="1" x14ac:dyDescent="0.3"/>
    <row r="6237" s="160" customFormat="1" x14ac:dyDescent="0.3"/>
    <row r="6238" s="160" customFormat="1" x14ac:dyDescent="0.3"/>
    <row r="6239" s="160" customFormat="1" x14ac:dyDescent="0.3"/>
    <row r="6240" s="160" customFormat="1" x14ac:dyDescent="0.3"/>
    <row r="6241" s="160" customFormat="1" x14ac:dyDescent="0.3"/>
    <row r="6242" s="160" customFormat="1" x14ac:dyDescent="0.3"/>
    <row r="6243" s="160" customFormat="1" x14ac:dyDescent="0.3"/>
    <row r="6244" s="160" customFormat="1" x14ac:dyDescent="0.3"/>
    <row r="6245" s="160" customFormat="1" x14ac:dyDescent="0.3"/>
    <row r="6246" s="160" customFormat="1" x14ac:dyDescent="0.3"/>
    <row r="6247" s="160" customFormat="1" x14ac:dyDescent="0.3"/>
    <row r="6248" s="160" customFormat="1" x14ac:dyDescent="0.3"/>
    <row r="6249" s="160" customFormat="1" x14ac:dyDescent="0.3"/>
    <row r="6250" s="160" customFormat="1" x14ac:dyDescent="0.3"/>
    <row r="6251" s="160" customFormat="1" x14ac:dyDescent="0.3"/>
    <row r="6252" s="160" customFormat="1" x14ac:dyDescent="0.3"/>
    <row r="6253" s="160" customFormat="1" x14ac:dyDescent="0.3"/>
    <row r="6254" s="160" customFormat="1" x14ac:dyDescent="0.3"/>
    <row r="6255" s="160" customFormat="1" x14ac:dyDescent="0.3"/>
    <row r="6256" s="160" customFormat="1" x14ac:dyDescent="0.3"/>
    <row r="6257" s="160" customFormat="1" x14ac:dyDescent="0.3"/>
    <row r="6258" s="160" customFormat="1" x14ac:dyDescent="0.3"/>
    <row r="6259" s="160" customFormat="1" x14ac:dyDescent="0.3"/>
    <row r="6260" s="160" customFormat="1" x14ac:dyDescent="0.3"/>
    <row r="6261" s="160" customFormat="1" x14ac:dyDescent="0.3"/>
    <row r="6262" s="160" customFormat="1" x14ac:dyDescent="0.3"/>
    <row r="6263" s="160" customFormat="1" x14ac:dyDescent="0.3"/>
    <row r="6264" s="160" customFormat="1" x14ac:dyDescent="0.3"/>
    <row r="6265" s="160" customFormat="1" x14ac:dyDescent="0.3"/>
    <row r="6266" s="160" customFormat="1" x14ac:dyDescent="0.3"/>
    <row r="6267" s="160" customFormat="1" x14ac:dyDescent="0.3"/>
    <row r="6268" s="160" customFormat="1" x14ac:dyDescent="0.3"/>
    <row r="6269" s="160" customFormat="1" x14ac:dyDescent="0.3"/>
    <row r="6270" s="160" customFormat="1" x14ac:dyDescent="0.3"/>
    <row r="6271" s="160" customFormat="1" x14ac:dyDescent="0.3"/>
    <row r="6272" s="160" customFormat="1" x14ac:dyDescent="0.3"/>
    <row r="6273" s="160" customFormat="1" x14ac:dyDescent="0.3"/>
    <row r="6274" s="160" customFormat="1" x14ac:dyDescent="0.3"/>
    <row r="6275" s="160" customFormat="1" x14ac:dyDescent="0.3"/>
    <row r="6276" s="160" customFormat="1" x14ac:dyDescent="0.3"/>
    <row r="6277" s="160" customFormat="1" x14ac:dyDescent="0.3"/>
    <row r="6278" s="160" customFormat="1" x14ac:dyDescent="0.3"/>
    <row r="6279" s="160" customFormat="1" x14ac:dyDescent="0.3"/>
    <row r="6280" s="160" customFormat="1" x14ac:dyDescent="0.3"/>
    <row r="6281" s="160" customFormat="1" x14ac:dyDescent="0.3"/>
    <row r="6282" s="160" customFormat="1" x14ac:dyDescent="0.3"/>
    <row r="6283" s="160" customFormat="1" x14ac:dyDescent="0.3"/>
    <row r="6284" s="160" customFormat="1" x14ac:dyDescent="0.3"/>
    <row r="6285" s="160" customFormat="1" x14ac:dyDescent="0.3"/>
    <row r="6286" s="160" customFormat="1" x14ac:dyDescent="0.3"/>
    <row r="6287" s="160" customFormat="1" x14ac:dyDescent="0.3"/>
    <row r="6288" s="160" customFormat="1" x14ac:dyDescent="0.3"/>
    <row r="6289" s="160" customFormat="1" x14ac:dyDescent="0.3"/>
    <row r="6290" s="160" customFormat="1" x14ac:dyDescent="0.3"/>
    <row r="6291" s="160" customFormat="1" x14ac:dyDescent="0.3"/>
    <row r="6292" s="160" customFormat="1" x14ac:dyDescent="0.3"/>
    <row r="6293" s="160" customFormat="1" x14ac:dyDescent="0.3"/>
    <row r="6294" s="160" customFormat="1" x14ac:dyDescent="0.3"/>
    <row r="6295" s="160" customFormat="1" x14ac:dyDescent="0.3"/>
    <row r="6296" s="160" customFormat="1" x14ac:dyDescent="0.3"/>
    <row r="6297" s="160" customFormat="1" x14ac:dyDescent="0.3"/>
    <row r="6298" s="160" customFormat="1" x14ac:dyDescent="0.3"/>
    <row r="6299" s="160" customFormat="1" x14ac:dyDescent="0.3"/>
    <row r="6300" s="160" customFormat="1" x14ac:dyDescent="0.3"/>
    <row r="6301" s="160" customFormat="1" x14ac:dyDescent="0.3"/>
    <row r="6302" s="160" customFormat="1" x14ac:dyDescent="0.3"/>
    <row r="6303" s="160" customFormat="1" x14ac:dyDescent="0.3"/>
    <row r="6304" s="160" customFormat="1" x14ac:dyDescent="0.3"/>
    <row r="6305" s="160" customFormat="1" x14ac:dyDescent="0.3"/>
    <row r="6306" s="160" customFormat="1" x14ac:dyDescent="0.3"/>
    <row r="6307" s="160" customFormat="1" x14ac:dyDescent="0.3"/>
    <row r="6308" s="160" customFormat="1" x14ac:dyDescent="0.3"/>
    <row r="6309" s="160" customFormat="1" x14ac:dyDescent="0.3"/>
    <row r="6310" s="160" customFormat="1" x14ac:dyDescent="0.3"/>
    <row r="6311" s="160" customFormat="1" x14ac:dyDescent="0.3"/>
    <row r="6312" s="160" customFormat="1" x14ac:dyDescent="0.3"/>
    <row r="6313" s="160" customFormat="1" x14ac:dyDescent="0.3"/>
    <row r="6314" s="160" customFormat="1" x14ac:dyDescent="0.3"/>
    <row r="6315" s="160" customFormat="1" x14ac:dyDescent="0.3"/>
    <row r="6316" s="160" customFormat="1" x14ac:dyDescent="0.3"/>
    <row r="6317" s="160" customFormat="1" x14ac:dyDescent="0.3"/>
    <row r="6318" s="160" customFormat="1" x14ac:dyDescent="0.3"/>
    <row r="6319" s="160" customFormat="1" x14ac:dyDescent="0.3"/>
    <row r="6320" s="160" customFormat="1" x14ac:dyDescent="0.3"/>
    <row r="6321" s="160" customFormat="1" x14ac:dyDescent="0.3"/>
    <row r="6322" s="160" customFormat="1" x14ac:dyDescent="0.3"/>
    <row r="6323" s="160" customFormat="1" x14ac:dyDescent="0.3"/>
    <row r="6324" s="160" customFormat="1" x14ac:dyDescent="0.3"/>
    <row r="6325" s="160" customFormat="1" x14ac:dyDescent="0.3"/>
    <row r="6326" s="160" customFormat="1" x14ac:dyDescent="0.3"/>
    <row r="6327" s="160" customFormat="1" x14ac:dyDescent="0.3"/>
    <row r="6328" s="160" customFormat="1" x14ac:dyDescent="0.3"/>
    <row r="6329" s="160" customFormat="1" x14ac:dyDescent="0.3"/>
    <row r="6330" s="160" customFormat="1" x14ac:dyDescent="0.3"/>
    <row r="6331" s="160" customFormat="1" x14ac:dyDescent="0.3"/>
    <row r="6332" s="160" customFormat="1" x14ac:dyDescent="0.3"/>
    <row r="6333" s="160" customFormat="1" x14ac:dyDescent="0.3"/>
    <row r="6334" s="160" customFormat="1" x14ac:dyDescent="0.3"/>
    <row r="6335" s="160" customFormat="1" x14ac:dyDescent="0.3"/>
    <row r="6336" s="160" customFormat="1" x14ac:dyDescent="0.3"/>
    <row r="6337" s="160" customFormat="1" x14ac:dyDescent="0.3"/>
    <row r="6338" s="160" customFormat="1" x14ac:dyDescent="0.3"/>
    <row r="6339" s="160" customFormat="1" x14ac:dyDescent="0.3"/>
    <row r="6340" s="160" customFormat="1" x14ac:dyDescent="0.3"/>
    <row r="6341" s="160" customFormat="1" x14ac:dyDescent="0.3"/>
    <row r="6342" s="160" customFormat="1" x14ac:dyDescent="0.3"/>
    <row r="6343" s="160" customFormat="1" x14ac:dyDescent="0.3"/>
    <row r="6344" s="160" customFormat="1" x14ac:dyDescent="0.3"/>
    <row r="6345" s="160" customFormat="1" x14ac:dyDescent="0.3"/>
    <row r="6346" s="160" customFormat="1" x14ac:dyDescent="0.3"/>
    <row r="6347" s="160" customFormat="1" x14ac:dyDescent="0.3"/>
    <row r="6348" s="160" customFormat="1" x14ac:dyDescent="0.3"/>
    <row r="6349" s="160" customFormat="1" x14ac:dyDescent="0.3"/>
    <row r="6350" s="160" customFormat="1" x14ac:dyDescent="0.3"/>
    <row r="6351" s="160" customFormat="1" x14ac:dyDescent="0.3"/>
    <row r="6352" s="160" customFormat="1" x14ac:dyDescent="0.3"/>
    <row r="6353" s="160" customFormat="1" x14ac:dyDescent="0.3"/>
    <row r="6354" s="160" customFormat="1" x14ac:dyDescent="0.3"/>
    <row r="6355" s="160" customFormat="1" x14ac:dyDescent="0.3"/>
    <row r="6356" s="160" customFormat="1" x14ac:dyDescent="0.3"/>
    <row r="6357" s="160" customFormat="1" x14ac:dyDescent="0.3"/>
    <row r="6358" s="160" customFormat="1" x14ac:dyDescent="0.3"/>
    <row r="6359" s="160" customFormat="1" x14ac:dyDescent="0.3"/>
    <row r="6360" s="160" customFormat="1" x14ac:dyDescent="0.3"/>
    <row r="6361" s="160" customFormat="1" x14ac:dyDescent="0.3"/>
    <row r="6362" s="160" customFormat="1" x14ac:dyDescent="0.3"/>
    <row r="6363" s="160" customFormat="1" x14ac:dyDescent="0.3"/>
    <row r="6364" s="160" customFormat="1" x14ac:dyDescent="0.3"/>
    <row r="6365" s="160" customFormat="1" x14ac:dyDescent="0.3"/>
    <row r="6366" s="160" customFormat="1" x14ac:dyDescent="0.3"/>
    <row r="6367" s="160" customFormat="1" x14ac:dyDescent="0.3"/>
    <row r="6368" s="160" customFormat="1" x14ac:dyDescent="0.3"/>
    <row r="6369" s="160" customFormat="1" x14ac:dyDescent="0.3"/>
    <row r="6370" s="160" customFormat="1" x14ac:dyDescent="0.3"/>
    <row r="6371" s="160" customFormat="1" x14ac:dyDescent="0.3"/>
    <row r="6372" s="160" customFormat="1" x14ac:dyDescent="0.3"/>
    <row r="6373" s="160" customFormat="1" x14ac:dyDescent="0.3"/>
    <row r="6374" s="160" customFormat="1" x14ac:dyDescent="0.3"/>
    <row r="6375" s="160" customFormat="1" x14ac:dyDescent="0.3"/>
    <row r="6376" s="160" customFormat="1" x14ac:dyDescent="0.3"/>
    <row r="6377" s="160" customFormat="1" x14ac:dyDescent="0.3"/>
    <row r="6378" s="160" customFormat="1" x14ac:dyDescent="0.3"/>
    <row r="6379" s="160" customFormat="1" x14ac:dyDescent="0.3"/>
    <row r="6380" s="160" customFormat="1" x14ac:dyDescent="0.3"/>
    <row r="6381" s="160" customFormat="1" x14ac:dyDescent="0.3"/>
    <row r="6382" s="160" customFormat="1" x14ac:dyDescent="0.3"/>
    <row r="6383" s="160" customFormat="1" x14ac:dyDescent="0.3"/>
    <row r="6384" s="160" customFormat="1" x14ac:dyDescent="0.3"/>
    <row r="6385" s="160" customFormat="1" x14ac:dyDescent="0.3"/>
    <row r="6386" s="160" customFormat="1" x14ac:dyDescent="0.3"/>
    <row r="6387" s="160" customFormat="1" x14ac:dyDescent="0.3"/>
    <row r="6388" s="160" customFormat="1" x14ac:dyDescent="0.3"/>
    <row r="6389" s="160" customFormat="1" x14ac:dyDescent="0.3"/>
    <row r="6390" s="160" customFormat="1" x14ac:dyDescent="0.3"/>
    <row r="6391" s="160" customFormat="1" x14ac:dyDescent="0.3"/>
    <row r="6392" s="160" customFormat="1" x14ac:dyDescent="0.3"/>
    <row r="6393" s="160" customFormat="1" x14ac:dyDescent="0.3"/>
    <row r="6394" s="160" customFormat="1" x14ac:dyDescent="0.3"/>
    <row r="6395" s="160" customFormat="1" x14ac:dyDescent="0.3"/>
    <row r="6396" s="160" customFormat="1" x14ac:dyDescent="0.3"/>
    <row r="6397" s="160" customFormat="1" x14ac:dyDescent="0.3"/>
    <row r="6398" s="160" customFormat="1" x14ac:dyDescent="0.3"/>
    <row r="6399" s="160" customFormat="1" x14ac:dyDescent="0.3"/>
    <row r="6400" s="160" customFormat="1" x14ac:dyDescent="0.3"/>
    <row r="6401" s="160" customFormat="1" x14ac:dyDescent="0.3"/>
    <row r="6402" s="160" customFormat="1" x14ac:dyDescent="0.3"/>
    <row r="6403" s="160" customFormat="1" x14ac:dyDescent="0.3"/>
    <row r="6404" s="160" customFormat="1" x14ac:dyDescent="0.3"/>
    <row r="6405" s="160" customFormat="1" x14ac:dyDescent="0.3"/>
    <row r="6406" s="160" customFormat="1" x14ac:dyDescent="0.3"/>
    <row r="6407" s="160" customFormat="1" x14ac:dyDescent="0.3"/>
    <row r="6408" s="160" customFormat="1" x14ac:dyDescent="0.3"/>
    <row r="6409" s="160" customFormat="1" x14ac:dyDescent="0.3"/>
    <row r="6410" s="160" customFormat="1" x14ac:dyDescent="0.3"/>
    <row r="6411" s="160" customFormat="1" x14ac:dyDescent="0.3"/>
    <row r="6412" s="160" customFormat="1" x14ac:dyDescent="0.3"/>
    <row r="6413" s="160" customFormat="1" x14ac:dyDescent="0.3"/>
    <row r="6414" s="160" customFormat="1" x14ac:dyDescent="0.3"/>
    <row r="6415" s="160" customFormat="1" x14ac:dyDescent="0.3"/>
    <row r="6416" s="160" customFormat="1" x14ac:dyDescent="0.3"/>
    <row r="6417" s="160" customFormat="1" x14ac:dyDescent="0.3"/>
    <row r="6418" s="160" customFormat="1" x14ac:dyDescent="0.3"/>
    <row r="6419" s="160" customFormat="1" x14ac:dyDescent="0.3"/>
    <row r="6420" s="160" customFormat="1" x14ac:dyDescent="0.3"/>
    <row r="6421" s="160" customFormat="1" x14ac:dyDescent="0.3"/>
    <row r="6422" s="160" customFormat="1" x14ac:dyDescent="0.3"/>
    <row r="6423" s="160" customFormat="1" x14ac:dyDescent="0.3"/>
    <row r="6424" s="160" customFormat="1" x14ac:dyDescent="0.3"/>
    <row r="6425" s="160" customFormat="1" x14ac:dyDescent="0.3"/>
    <row r="6426" s="160" customFormat="1" x14ac:dyDescent="0.3"/>
    <row r="6427" s="160" customFormat="1" x14ac:dyDescent="0.3"/>
    <row r="6428" s="160" customFormat="1" x14ac:dyDescent="0.3"/>
    <row r="6429" s="160" customFormat="1" x14ac:dyDescent="0.3"/>
    <row r="6430" s="160" customFormat="1" x14ac:dyDescent="0.3"/>
    <row r="6431" s="160" customFormat="1" x14ac:dyDescent="0.3"/>
    <row r="6432" s="160" customFormat="1" x14ac:dyDescent="0.3"/>
    <row r="6433" s="160" customFormat="1" x14ac:dyDescent="0.3"/>
    <row r="6434" s="160" customFormat="1" x14ac:dyDescent="0.3"/>
    <row r="6435" s="160" customFormat="1" x14ac:dyDescent="0.3"/>
    <row r="6436" s="160" customFormat="1" x14ac:dyDescent="0.3"/>
    <row r="6437" s="160" customFormat="1" x14ac:dyDescent="0.3"/>
    <row r="6438" s="160" customFormat="1" x14ac:dyDescent="0.3"/>
    <row r="6439" s="160" customFormat="1" x14ac:dyDescent="0.3"/>
    <row r="6440" s="160" customFormat="1" x14ac:dyDescent="0.3"/>
    <row r="6441" s="160" customFormat="1" x14ac:dyDescent="0.3"/>
    <row r="6442" s="160" customFormat="1" x14ac:dyDescent="0.3"/>
    <row r="6443" s="160" customFormat="1" x14ac:dyDescent="0.3"/>
    <row r="6444" s="160" customFormat="1" x14ac:dyDescent="0.3"/>
    <row r="6445" s="160" customFormat="1" x14ac:dyDescent="0.3"/>
    <row r="6446" s="160" customFormat="1" x14ac:dyDescent="0.3"/>
    <row r="6447" s="160" customFormat="1" x14ac:dyDescent="0.3"/>
    <row r="6448" s="160" customFormat="1" x14ac:dyDescent="0.3"/>
    <row r="6449" s="160" customFormat="1" x14ac:dyDescent="0.3"/>
    <row r="6450" s="160" customFormat="1" x14ac:dyDescent="0.3"/>
    <row r="6451" s="160" customFormat="1" x14ac:dyDescent="0.3"/>
    <row r="6452" s="160" customFormat="1" x14ac:dyDescent="0.3"/>
    <row r="6453" s="160" customFormat="1" x14ac:dyDescent="0.3"/>
    <row r="6454" s="160" customFormat="1" x14ac:dyDescent="0.3"/>
    <row r="6455" s="160" customFormat="1" x14ac:dyDescent="0.3"/>
    <row r="6456" s="160" customFormat="1" x14ac:dyDescent="0.3"/>
    <row r="6457" s="160" customFormat="1" x14ac:dyDescent="0.3"/>
    <row r="6458" s="160" customFormat="1" x14ac:dyDescent="0.3"/>
    <row r="6459" s="160" customFormat="1" x14ac:dyDescent="0.3"/>
    <row r="6460" s="160" customFormat="1" x14ac:dyDescent="0.3"/>
    <row r="6461" s="160" customFormat="1" x14ac:dyDescent="0.3"/>
    <row r="6462" s="160" customFormat="1" x14ac:dyDescent="0.3"/>
    <row r="6463" s="160" customFormat="1" x14ac:dyDescent="0.3"/>
    <row r="6464" s="160" customFormat="1" x14ac:dyDescent="0.3"/>
    <row r="6465" s="160" customFormat="1" x14ac:dyDescent="0.3"/>
    <row r="6466" s="160" customFormat="1" x14ac:dyDescent="0.3"/>
    <row r="6467" s="160" customFormat="1" x14ac:dyDescent="0.3"/>
    <row r="6468" s="160" customFormat="1" x14ac:dyDescent="0.3"/>
    <row r="6469" s="160" customFormat="1" x14ac:dyDescent="0.3"/>
    <row r="6470" s="160" customFormat="1" x14ac:dyDescent="0.3"/>
    <row r="6471" s="160" customFormat="1" x14ac:dyDescent="0.3"/>
    <row r="6472" s="160" customFormat="1" x14ac:dyDescent="0.3"/>
    <row r="6473" s="160" customFormat="1" x14ac:dyDescent="0.3"/>
    <row r="6474" s="160" customFormat="1" x14ac:dyDescent="0.3"/>
    <row r="6475" s="160" customFormat="1" x14ac:dyDescent="0.3"/>
    <row r="6476" s="160" customFormat="1" x14ac:dyDescent="0.3"/>
    <row r="6477" s="160" customFormat="1" x14ac:dyDescent="0.3"/>
    <row r="6478" s="160" customFormat="1" x14ac:dyDescent="0.3"/>
    <row r="6479" s="160" customFormat="1" x14ac:dyDescent="0.3"/>
    <row r="6480" s="160" customFormat="1" x14ac:dyDescent="0.3"/>
    <row r="6481" s="160" customFormat="1" x14ac:dyDescent="0.3"/>
    <row r="6482" s="160" customFormat="1" x14ac:dyDescent="0.3"/>
    <row r="6483" s="160" customFormat="1" x14ac:dyDescent="0.3"/>
    <row r="6484" s="160" customFormat="1" x14ac:dyDescent="0.3"/>
    <row r="6485" s="160" customFormat="1" x14ac:dyDescent="0.3"/>
    <row r="6486" s="160" customFormat="1" x14ac:dyDescent="0.3"/>
    <row r="6487" s="160" customFormat="1" x14ac:dyDescent="0.3"/>
    <row r="6488" s="160" customFormat="1" x14ac:dyDescent="0.3"/>
    <row r="6489" s="160" customFormat="1" x14ac:dyDescent="0.3"/>
    <row r="6490" s="160" customFormat="1" x14ac:dyDescent="0.3"/>
    <row r="6491" s="160" customFormat="1" x14ac:dyDescent="0.3"/>
    <row r="6492" s="160" customFormat="1" x14ac:dyDescent="0.3"/>
    <row r="6493" s="160" customFormat="1" x14ac:dyDescent="0.3"/>
    <row r="6494" s="160" customFormat="1" x14ac:dyDescent="0.3"/>
    <row r="6495" s="160" customFormat="1" x14ac:dyDescent="0.3"/>
    <row r="6496" s="160" customFormat="1" x14ac:dyDescent="0.3"/>
    <row r="6497" s="160" customFormat="1" x14ac:dyDescent="0.3"/>
    <row r="6498" s="160" customFormat="1" x14ac:dyDescent="0.3"/>
    <row r="6499" s="160" customFormat="1" x14ac:dyDescent="0.3"/>
    <row r="6500" s="160" customFormat="1" x14ac:dyDescent="0.3"/>
    <row r="6501" s="160" customFormat="1" x14ac:dyDescent="0.3"/>
    <row r="6502" s="160" customFormat="1" x14ac:dyDescent="0.3"/>
    <row r="6503" s="160" customFormat="1" x14ac:dyDescent="0.3"/>
    <row r="6504" s="160" customFormat="1" x14ac:dyDescent="0.3"/>
    <row r="6505" s="160" customFormat="1" x14ac:dyDescent="0.3"/>
    <row r="6506" s="160" customFormat="1" x14ac:dyDescent="0.3"/>
    <row r="6507" s="160" customFormat="1" x14ac:dyDescent="0.3"/>
    <row r="6508" s="160" customFormat="1" x14ac:dyDescent="0.3"/>
    <row r="6509" s="160" customFormat="1" x14ac:dyDescent="0.3"/>
    <row r="6510" s="160" customFormat="1" x14ac:dyDescent="0.3"/>
    <row r="6511" s="160" customFormat="1" x14ac:dyDescent="0.3"/>
    <row r="6512" s="160" customFormat="1" x14ac:dyDescent="0.3"/>
    <row r="6513" s="160" customFormat="1" x14ac:dyDescent="0.3"/>
    <row r="6514" s="160" customFormat="1" x14ac:dyDescent="0.3"/>
    <row r="6515" s="160" customFormat="1" x14ac:dyDescent="0.3"/>
    <row r="6516" s="160" customFormat="1" x14ac:dyDescent="0.3"/>
    <row r="6517" s="160" customFormat="1" x14ac:dyDescent="0.3"/>
    <row r="6518" s="160" customFormat="1" x14ac:dyDescent="0.3"/>
    <row r="6519" s="160" customFormat="1" x14ac:dyDescent="0.3"/>
    <row r="6520" s="160" customFormat="1" x14ac:dyDescent="0.3"/>
    <row r="6521" s="160" customFormat="1" x14ac:dyDescent="0.3"/>
    <row r="6522" s="160" customFormat="1" x14ac:dyDescent="0.3"/>
    <row r="6523" s="160" customFormat="1" x14ac:dyDescent="0.3"/>
    <row r="6524" s="160" customFormat="1" x14ac:dyDescent="0.3"/>
    <row r="6525" s="160" customFormat="1" x14ac:dyDescent="0.3"/>
    <row r="6526" s="160" customFormat="1" x14ac:dyDescent="0.3"/>
    <row r="6527" s="160" customFormat="1" x14ac:dyDescent="0.3"/>
    <row r="6528" s="160" customFormat="1" x14ac:dyDescent="0.3"/>
    <row r="6529" s="160" customFormat="1" x14ac:dyDescent="0.3"/>
    <row r="6530" s="160" customFormat="1" x14ac:dyDescent="0.3"/>
    <row r="6531" s="160" customFormat="1" x14ac:dyDescent="0.3"/>
    <row r="6532" s="160" customFormat="1" x14ac:dyDescent="0.3"/>
    <row r="6533" s="160" customFormat="1" x14ac:dyDescent="0.3"/>
    <row r="6534" s="160" customFormat="1" x14ac:dyDescent="0.3"/>
    <row r="6535" s="160" customFormat="1" x14ac:dyDescent="0.3"/>
    <row r="6536" s="160" customFormat="1" x14ac:dyDescent="0.3"/>
    <row r="6537" s="160" customFormat="1" x14ac:dyDescent="0.3"/>
    <row r="6538" s="160" customFormat="1" x14ac:dyDescent="0.3"/>
    <row r="6539" s="160" customFormat="1" x14ac:dyDescent="0.3"/>
    <row r="6540" s="160" customFormat="1" x14ac:dyDescent="0.3"/>
    <row r="6541" s="160" customFormat="1" x14ac:dyDescent="0.3"/>
    <row r="6542" s="160" customFormat="1" x14ac:dyDescent="0.3"/>
    <row r="6543" s="160" customFormat="1" x14ac:dyDescent="0.3"/>
    <row r="6544" s="160" customFormat="1" x14ac:dyDescent="0.3"/>
    <row r="6545" s="160" customFormat="1" x14ac:dyDescent="0.3"/>
    <row r="6546" s="160" customFormat="1" x14ac:dyDescent="0.3"/>
    <row r="6547" s="160" customFormat="1" x14ac:dyDescent="0.3"/>
    <row r="6548" s="160" customFormat="1" x14ac:dyDescent="0.3"/>
    <row r="6549" s="160" customFormat="1" x14ac:dyDescent="0.3"/>
    <row r="6550" s="160" customFormat="1" x14ac:dyDescent="0.3"/>
    <row r="6551" s="160" customFormat="1" x14ac:dyDescent="0.3"/>
    <row r="6552" s="160" customFormat="1" x14ac:dyDescent="0.3"/>
    <row r="6553" s="160" customFormat="1" x14ac:dyDescent="0.3"/>
    <row r="6554" s="160" customFormat="1" x14ac:dyDescent="0.3"/>
    <row r="6555" s="160" customFormat="1" x14ac:dyDescent="0.3"/>
    <row r="6556" s="160" customFormat="1" x14ac:dyDescent="0.3"/>
    <row r="6557" s="160" customFormat="1" x14ac:dyDescent="0.3"/>
    <row r="6558" s="160" customFormat="1" x14ac:dyDescent="0.3"/>
    <row r="6559" s="160" customFormat="1" x14ac:dyDescent="0.3"/>
    <row r="6560" s="160" customFormat="1" x14ac:dyDescent="0.3"/>
    <row r="6561" s="160" customFormat="1" x14ac:dyDescent="0.3"/>
    <row r="6562" s="160" customFormat="1" x14ac:dyDescent="0.3"/>
    <row r="6563" s="160" customFormat="1" x14ac:dyDescent="0.3"/>
    <row r="6564" s="160" customFormat="1" x14ac:dyDescent="0.3"/>
    <row r="6565" s="160" customFormat="1" x14ac:dyDescent="0.3"/>
    <row r="6566" s="160" customFormat="1" x14ac:dyDescent="0.3"/>
    <row r="6567" s="160" customFormat="1" x14ac:dyDescent="0.3"/>
    <row r="6568" s="160" customFormat="1" x14ac:dyDescent="0.3"/>
    <row r="6569" s="160" customFormat="1" x14ac:dyDescent="0.3"/>
    <row r="6570" s="160" customFormat="1" x14ac:dyDescent="0.3"/>
    <row r="6571" s="160" customFormat="1" x14ac:dyDescent="0.3"/>
    <row r="6572" s="160" customFormat="1" x14ac:dyDescent="0.3"/>
    <row r="6573" s="160" customFormat="1" x14ac:dyDescent="0.3"/>
    <row r="6574" s="160" customFormat="1" x14ac:dyDescent="0.3"/>
    <row r="6575" s="160" customFormat="1" x14ac:dyDescent="0.3"/>
    <row r="6576" s="160" customFormat="1" x14ac:dyDescent="0.3"/>
    <row r="6577" s="160" customFormat="1" x14ac:dyDescent="0.3"/>
    <row r="6578" s="160" customFormat="1" x14ac:dyDescent="0.3"/>
    <row r="6579" s="160" customFormat="1" x14ac:dyDescent="0.3"/>
    <row r="6580" s="160" customFormat="1" x14ac:dyDescent="0.3"/>
    <row r="6581" s="160" customFormat="1" x14ac:dyDescent="0.3"/>
    <row r="6582" s="160" customFormat="1" x14ac:dyDescent="0.3"/>
    <row r="6583" s="160" customFormat="1" x14ac:dyDescent="0.3"/>
    <row r="6584" s="160" customFormat="1" x14ac:dyDescent="0.3"/>
    <row r="6585" s="160" customFormat="1" x14ac:dyDescent="0.3"/>
    <row r="6586" s="160" customFormat="1" x14ac:dyDescent="0.3"/>
    <row r="6587" s="160" customFormat="1" x14ac:dyDescent="0.3"/>
    <row r="6588" s="160" customFormat="1" x14ac:dyDescent="0.3"/>
    <row r="6589" s="160" customFormat="1" x14ac:dyDescent="0.3"/>
    <row r="6590" s="160" customFormat="1" x14ac:dyDescent="0.3"/>
    <row r="6591" s="160" customFormat="1" x14ac:dyDescent="0.3"/>
    <row r="6592" s="160" customFormat="1" x14ac:dyDescent="0.3"/>
    <row r="6593" s="160" customFormat="1" x14ac:dyDescent="0.3"/>
    <row r="6594" s="160" customFormat="1" x14ac:dyDescent="0.3"/>
    <row r="6595" s="160" customFormat="1" x14ac:dyDescent="0.3"/>
    <row r="6596" s="160" customFormat="1" x14ac:dyDescent="0.3"/>
    <row r="6597" s="160" customFormat="1" x14ac:dyDescent="0.3"/>
    <row r="6598" s="160" customFormat="1" x14ac:dyDescent="0.3"/>
    <row r="6599" s="160" customFormat="1" x14ac:dyDescent="0.3"/>
    <row r="6600" s="160" customFormat="1" x14ac:dyDescent="0.3"/>
    <row r="6601" s="160" customFormat="1" x14ac:dyDescent="0.3"/>
    <row r="6602" s="160" customFormat="1" x14ac:dyDescent="0.3"/>
    <row r="6603" s="160" customFormat="1" x14ac:dyDescent="0.3"/>
    <row r="6604" s="160" customFormat="1" x14ac:dyDescent="0.3"/>
    <row r="6605" s="160" customFormat="1" x14ac:dyDescent="0.3"/>
    <row r="6606" s="160" customFormat="1" x14ac:dyDescent="0.3"/>
    <row r="6607" s="160" customFormat="1" x14ac:dyDescent="0.3"/>
    <row r="6608" s="160" customFormat="1" x14ac:dyDescent="0.3"/>
    <row r="6609" s="160" customFormat="1" x14ac:dyDescent="0.3"/>
    <row r="6610" s="160" customFormat="1" x14ac:dyDescent="0.3"/>
    <row r="6611" s="160" customFormat="1" x14ac:dyDescent="0.3"/>
    <row r="6612" s="160" customFormat="1" x14ac:dyDescent="0.3"/>
    <row r="6613" s="160" customFormat="1" x14ac:dyDescent="0.3"/>
    <row r="6614" s="160" customFormat="1" x14ac:dyDescent="0.3"/>
    <row r="6615" s="160" customFormat="1" x14ac:dyDescent="0.3"/>
    <row r="6616" s="160" customFormat="1" x14ac:dyDescent="0.3"/>
    <row r="6617" s="160" customFormat="1" x14ac:dyDescent="0.3"/>
    <row r="6618" s="160" customFormat="1" x14ac:dyDescent="0.3"/>
    <row r="6619" s="160" customFormat="1" x14ac:dyDescent="0.3"/>
    <row r="6620" s="160" customFormat="1" x14ac:dyDescent="0.3"/>
    <row r="6621" s="160" customFormat="1" x14ac:dyDescent="0.3"/>
    <row r="6622" s="160" customFormat="1" x14ac:dyDescent="0.3"/>
    <row r="6623" s="160" customFormat="1" x14ac:dyDescent="0.3"/>
    <row r="6624" s="160" customFormat="1" x14ac:dyDescent="0.3"/>
    <row r="6625" s="160" customFormat="1" x14ac:dyDescent="0.3"/>
    <row r="6626" s="160" customFormat="1" x14ac:dyDescent="0.3"/>
    <row r="6627" s="160" customFormat="1" x14ac:dyDescent="0.3"/>
    <row r="6628" s="160" customFormat="1" x14ac:dyDescent="0.3"/>
    <row r="6629" s="160" customFormat="1" x14ac:dyDescent="0.3"/>
    <row r="6630" s="160" customFormat="1" x14ac:dyDescent="0.3"/>
    <row r="6631" s="160" customFormat="1" x14ac:dyDescent="0.3"/>
    <row r="6632" s="160" customFormat="1" x14ac:dyDescent="0.3"/>
    <row r="6633" s="160" customFormat="1" x14ac:dyDescent="0.3"/>
    <row r="6634" s="160" customFormat="1" x14ac:dyDescent="0.3"/>
    <row r="6635" s="160" customFormat="1" x14ac:dyDescent="0.3"/>
    <row r="6636" s="160" customFormat="1" x14ac:dyDescent="0.3"/>
    <row r="6637" s="160" customFormat="1" x14ac:dyDescent="0.3"/>
    <row r="6638" s="160" customFormat="1" x14ac:dyDescent="0.3"/>
    <row r="6639" s="160" customFormat="1" x14ac:dyDescent="0.3"/>
    <row r="6640" s="160" customFormat="1" x14ac:dyDescent="0.3"/>
    <row r="6641" s="160" customFormat="1" x14ac:dyDescent="0.3"/>
    <row r="6642" s="160" customFormat="1" x14ac:dyDescent="0.3"/>
    <row r="6643" s="160" customFormat="1" x14ac:dyDescent="0.3"/>
    <row r="6644" s="160" customFormat="1" x14ac:dyDescent="0.3"/>
    <row r="6645" s="160" customFormat="1" x14ac:dyDescent="0.3"/>
    <row r="6646" s="160" customFormat="1" x14ac:dyDescent="0.3"/>
    <row r="6647" s="160" customFormat="1" x14ac:dyDescent="0.3"/>
    <row r="6648" s="160" customFormat="1" x14ac:dyDescent="0.3"/>
    <row r="6649" s="160" customFormat="1" x14ac:dyDescent="0.3"/>
    <row r="6650" s="160" customFormat="1" x14ac:dyDescent="0.3"/>
    <row r="6651" s="160" customFormat="1" x14ac:dyDescent="0.3"/>
    <row r="6652" s="160" customFormat="1" x14ac:dyDescent="0.3"/>
    <row r="6653" s="160" customFormat="1" x14ac:dyDescent="0.3"/>
    <row r="6654" s="160" customFormat="1" x14ac:dyDescent="0.3"/>
    <row r="6655" s="160" customFormat="1" x14ac:dyDescent="0.3"/>
    <row r="6656" s="160" customFormat="1" x14ac:dyDescent="0.3"/>
    <row r="6657" s="160" customFormat="1" x14ac:dyDescent="0.3"/>
    <row r="6658" s="160" customFormat="1" x14ac:dyDescent="0.3"/>
    <row r="6659" s="160" customFormat="1" x14ac:dyDescent="0.3"/>
    <row r="6660" s="160" customFormat="1" x14ac:dyDescent="0.3"/>
    <row r="6661" s="160" customFormat="1" x14ac:dyDescent="0.3"/>
    <row r="6662" s="160" customFormat="1" x14ac:dyDescent="0.3"/>
    <row r="6663" s="160" customFormat="1" x14ac:dyDescent="0.3"/>
    <row r="6664" s="160" customFormat="1" x14ac:dyDescent="0.3"/>
    <row r="6665" s="160" customFormat="1" x14ac:dyDescent="0.3"/>
    <row r="6666" s="160" customFormat="1" x14ac:dyDescent="0.3"/>
    <row r="6667" s="160" customFormat="1" x14ac:dyDescent="0.3"/>
    <row r="6668" s="160" customFormat="1" x14ac:dyDescent="0.3"/>
    <row r="6669" s="160" customFormat="1" x14ac:dyDescent="0.3"/>
    <row r="6670" s="160" customFormat="1" x14ac:dyDescent="0.3"/>
    <row r="6671" s="160" customFormat="1" x14ac:dyDescent="0.3"/>
    <row r="6672" s="160" customFormat="1" x14ac:dyDescent="0.3"/>
    <row r="6673" s="160" customFormat="1" x14ac:dyDescent="0.3"/>
    <row r="6674" s="160" customFormat="1" x14ac:dyDescent="0.3"/>
    <row r="6675" s="160" customFormat="1" x14ac:dyDescent="0.3"/>
    <row r="6676" s="160" customFormat="1" x14ac:dyDescent="0.3"/>
    <row r="6677" s="160" customFormat="1" x14ac:dyDescent="0.3"/>
    <row r="6678" s="160" customFormat="1" x14ac:dyDescent="0.3"/>
    <row r="6679" s="160" customFormat="1" x14ac:dyDescent="0.3"/>
    <row r="6680" s="160" customFormat="1" x14ac:dyDescent="0.3"/>
    <row r="6681" s="160" customFormat="1" x14ac:dyDescent="0.3"/>
    <row r="6682" s="160" customFormat="1" x14ac:dyDescent="0.3"/>
    <row r="6683" s="160" customFormat="1" x14ac:dyDescent="0.3"/>
    <row r="6684" s="160" customFormat="1" x14ac:dyDescent="0.3"/>
    <row r="6685" s="160" customFormat="1" x14ac:dyDescent="0.3"/>
    <row r="6686" s="160" customFormat="1" x14ac:dyDescent="0.3"/>
    <row r="6687" s="160" customFormat="1" x14ac:dyDescent="0.3"/>
    <row r="6688" s="160" customFormat="1" x14ac:dyDescent="0.3"/>
    <row r="6689" s="160" customFormat="1" x14ac:dyDescent="0.3"/>
    <row r="6690" s="160" customFormat="1" x14ac:dyDescent="0.3"/>
    <row r="6691" s="160" customFormat="1" x14ac:dyDescent="0.3"/>
    <row r="6692" s="160" customFormat="1" x14ac:dyDescent="0.3"/>
    <row r="6693" s="160" customFormat="1" x14ac:dyDescent="0.3"/>
    <row r="6694" s="160" customFormat="1" x14ac:dyDescent="0.3"/>
    <row r="6695" s="160" customFormat="1" x14ac:dyDescent="0.3"/>
    <row r="6696" s="160" customFormat="1" x14ac:dyDescent="0.3"/>
    <row r="6697" s="160" customFormat="1" x14ac:dyDescent="0.3"/>
    <row r="6698" s="160" customFormat="1" x14ac:dyDescent="0.3"/>
    <row r="6699" s="160" customFormat="1" x14ac:dyDescent="0.3"/>
    <row r="6700" s="160" customFormat="1" x14ac:dyDescent="0.3"/>
    <row r="6701" s="160" customFormat="1" x14ac:dyDescent="0.3"/>
    <row r="6702" s="160" customFormat="1" x14ac:dyDescent="0.3"/>
    <row r="6703" s="160" customFormat="1" x14ac:dyDescent="0.3"/>
    <row r="6704" s="160" customFormat="1" x14ac:dyDescent="0.3"/>
    <row r="6705" s="160" customFormat="1" x14ac:dyDescent="0.3"/>
    <row r="6706" s="160" customFormat="1" x14ac:dyDescent="0.3"/>
    <row r="6707" s="160" customFormat="1" x14ac:dyDescent="0.3"/>
    <row r="6708" s="160" customFormat="1" x14ac:dyDescent="0.3"/>
    <row r="6709" s="160" customFormat="1" x14ac:dyDescent="0.3"/>
    <row r="6710" s="160" customFormat="1" x14ac:dyDescent="0.3"/>
    <row r="6711" s="160" customFormat="1" x14ac:dyDescent="0.3"/>
    <row r="6712" s="160" customFormat="1" x14ac:dyDescent="0.3"/>
    <row r="6713" s="160" customFormat="1" x14ac:dyDescent="0.3"/>
    <row r="6714" s="160" customFormat="1" x14ac:dyDescent="0.3"/>
    <row r="6715" s="160" customFormat="1" x14ac:dyDescent="0.3"/>
    <row r="6716" s="160" customFormat="1" x14ac:dyDescent="0.3"/>
    <row r="6717" s="160" customFormat="1" x14ac:dyDescent="0.3"/>
    <row r="6718" s="160" customFormat="1" x14ac:dyDescent="0.3"/>
    <row r="6719" s="160" customFormat="1" x14ac:dyDescent="0.3"/>
    <row r="6720" s="160" customFormat="1" x14ac:dyDescent="0.3"/>
    <row r="6721" s="160" customFormat="1" x14ac:dyDescent="0.3"/>
    <row r="6722" s="160" customFormat="1" x14ac:dyDescent="0.3"/>
    <row r="6723" s="160" customFormat="1" x14ac:dyDescent="0.3"/>
    <row r="6724" s="160" customFormat="1" x14ac:dyDescent="0.3"/>
    <row r="6725" s="160" customFormat="1" x14ac:dyDescent="0.3"/>
    <row r="6726" s="160" customFormat="1" x14ac:dyDescent="0.3"/>
    <row r="6727" s="160" customFormat="1" x14ac:dyDescent="0.3"/>
    <row r="6728" s="160" customFormat="1" x14ac:dyDescent="0.3"/>
    <row r="6729" s="160" customFormat="1" x14ac:dyDescent="0.3"/>
    <row r="6730" s="160" customFormat="1" x14ac:dyDescent="0.3"/>
    <row r="6731" s="160" customFormat="1" x14ac:dyDescent="0.3"/>
    <row r="6732" s="160" customFormat="1" x14ac:dyDescent="0.3"/>
    <row r="6733" s="160" customFormat="1" x14ac:dyDescent="0.3"/>
    <row r="6734" s="160" customFormat="1" x14ac:dyDescent="0.3"/>
    <row r="6735" s="160" customFormat="1" x14ac:dyDescent="0.3"/>
    <row r="6736" s="160" customFormat="1" x14ac:dyDescent="0.3"/>
    <row r="6737" s="160" customFormat="1" x14ac:dyDescent="0.3"/>
    <row r="6738" s="160" customFormat="1" x14ac:dyDescent="0.3"/>
    <row r="6739" s="160" customFormat="1" x14ac:dyDescent="0.3"/>
    <row r="6740" s="160" customFormat="1" x14ac:dyDescent="0.3"/>
    <row r="6741" s="160" customFormat="1" x14ac:dyDescent="0.3"/>
    <row r="6742" s="160" customFormat="1" x14ac:dyDescent="0.3"/>
    <row r="6743" s="160" customFormat="1" x14ac:dyDescent="0.3"/>
    <row r="6744" s="160" customFormat="1" x14ac:dyDescent="0.3"/>
    <row r="6745" s="160" customFormat="1" x14ac:dyDescent="0.3"/>
    <row r="6746" s="160" customFormat="1" x14ac:dyDescent="0.3"/>
    <row r="6747" s="160" customFormat="1" x14ac:dyDescent="0.3"/>
    <row r="6748" s="160" customFormat="1" x14ac:dyDescent="0.3"/>
    <row r="6749" s="160" customFormat="1" x14ac:dyDescent="0.3"/>
    <row r="6750" s="160" customFormat="1" x14ac:dyDescent="0.3"/>
    <row r="6751" s="160" customFormat="1" x14ac:dyDescent="0.3"/>
    <row r="6752" s="160" customFormat="1" x14ac:dyDescent="0.3"/>
    <row r="6753" s="160" customFormat="1" x14ac:dyDescent="0.3"/>
    <row r="6754" s="160" customFormat="1" x14ac:dyDescent="0.3"/>
    <row r="6755" s="160" customFormat="1" x14ac:dyDescent="0.3"/>
    <row r="6756" s="160" customFormat="1" x14ac:dyDescent="0.3"/>
    <row r="6757" s="160" customFormat="1" x14ac:dyDescent="0.3"/>
    <row r="6758" s="160" customFormat="1" x14ac:dyDescent="0.3"/>
    <row r="6759" s="160" customFormat="1" x14ac:dyDescent="0.3"/>
    <row r="6760" s="160" customFormat="1" x14ac:dyDescent="0.3"/>
    <row r="6761" s="160" customFormat="1" x14ac:dyDescent="0.3"/>
    <row r="6762" s="160" customFormat="1" x14ac:dyDescent="0.3"/>
    <row r="6763" s="160" customFormat="1" x14ac:dyDescent="0.3"/>
    <row r="6764" s="160" customFormat="1" x14ac:dyDescent="0.3"/>
    <row r="6765" s="160" customFormat="1" x14ac:dyDescent="0.3"/>
    <row r="6766" s="160" customFormat="1" x14ac:dyDescent="0.3"/>
    <row r="6767" s="160" customFormat="1" x14ac:dyDescent="0.3"/>
    <row r="6768" s="160" customFormat="1" x14ac:dyDescent="0.3"/>
    <row r="6769" s="160" customFormat="1" x14ac:dyDescent="0.3"/>
    <row r="6770" s="160" customFormat="1" x14ac:dyDescent="0.3"/>
    <row r="6771" s="160" customFormat="1" x14ac:dyDescent="0.3"/>
    <row r="6772" s="160" customFormat="1" x14ac:dyDescent="0.3"/>
    <row r="6773" s="160" customFormat="1" x14ac:dyDescent="0.3"/>
    <row r="6774" s="160" customFormat="1" x14ac:dyDescent="0.3"/>
    <row r="6775" s="160" customFormat="1" x14ac:dyDescent="0.3"/>
    <row r="6776" s="160" customFormat="1" x14ac:dyDescent="0.3"/>
    <row r="6777" s="160" customFormat="1" x14ac:dyDescent="0.3"/>
    <row r="6778" s="160" customFormat="1" x14ac:dyDescent="0.3"/>
    <row r="6779" s="160" customFormat="1" x14ac:dyDescent="0.3"/>
    <row r="6780" s="160" customFormat="1" x14ac:dyDescent="0.3"/>
    <row r="6781" s="160" customFormat="1" x14ac:dyDescent="0.3"/>
    <row r="6782" s="160" customFormat="1" x14ac:dyDescent="0.3"/>
    <row r="6783" s="160" customFormat="1" x14ac:dyDescent="0.3"/>
    <row r="6784" s="160" customFormat="1" x14ac:dyDescent="0.3"/>
    <row r="6785" s="160" customFormat="1" x14ac:dyDescent="0.3"/>
    <row r="6786" s="160" customFormat="1" x14ac:dyDescent="0.3"/>
    <row r="6787" s="160" customFormat="1" x14ac:dyDescent="0.3"/>
    <row r="6788" s="160" customFormat="1" x14ac:dyDescent="0.3"/>
    <row r="6789" s="160" customFormat="1" x14ac:dyDescent="0.3"/>
    <row r="6790" s="160" customFormat="1" x14ac:dyDescent="0.3"/>
    <row r="6791" s="160" customFormat="1" x14ac:dyDescent="0.3"/>
    <row r="6792" s="160" customFormat="1" x14ac:dyDescent="0.3"/>
    <row r="6793" s="160" customFormat="1" x14ac:dyDescent="0.3"/>
    <row r="6794" s="160" customFormat="1" x14ac:dyDescent="0.3"/>
    <row r="6795" s="160" customFormat="1" x14ac:dyDescent="0.3"/>
    <row r="6796" s="160" customFormat="1" x14ac:dyDescent="0.3"/>
    <row r="6797" s="160" customFormat="1" x14ac:dyDescent="0.3"/>
    <row r="6798" s="160" customFormat="1" x14ac:dyDescent="0.3"/>
    <row r="6799" s="160" customFormat="1" x14ac:dyDescent="0.3"/>
    <row r="6800" s="160" customFormat="1" x14ac:dyDescent="0.3"/>
    <row r="6801" s="160" customFormat="1" x14ac:dyDescent="0.3"/>
    <row r="6802" s="160" customFormat="1" x14ac:dyDescent="0.3"/>
    <row r="6803" s="160" customFormat="1" x14ac:dyDescent="0.3"/>
    <row r="6804" s="160" customFormat="1" x14ac:dyDescent="0.3"/>
    <row r="6805" s="160" customFormat="1" x14ac:dyDescent="0.3"/>
    <row r="6806" s="160" customFormat="1" x14ac:dyDescent="0.3"/>
    <row r="6807" s="160" customFormat="1" x14ac:dyDescent="0.3"/>
    <row r="6808" s="160" customFormat="1" x14ac:dyDescent="0.3"/>
    <row r="6809" s="160" customFormat="1" x14ac:dyDescent="0.3"/>
    <row r="6810" s="160" customFormat="1" x14ac:dyDescent="0.3"/>
    <row r="6811" s="160" customFormat="1" x14ac:dyDescent="0.3"/>
    <row r="6812" s="160" customFormat="1" x14ac:dyDescent="0.3"/>
    <row r="6813" s="160" customFormat="1" x14ac:dyDescent="0.3"/>
    <row r="6814" s="160" customFormat="1" x14ac:dyDescent="0.3"/>
    <row r="6815" s="160" customFormat="1" x14ac:dyDescent="0.3"/>
    <row r="6816" s="160" customFormat="1" x14ac:dyDescent="0.3"/>
    <row r="6817" s="160" customFormat="1" x14ac:dyDescent="0.3"/>
    <row r="6818" s="160" customFormat="1" x14ac:dyDescent="0.3"/>
    <row r="6819" s="160" customFormat="1" x14ac:dyDescent="0.3"/>
    <row r="6820" s="160" customFormat="1" x14ac:dyDescent="0.3"/>
    <row r="6821" s="160" customFormat="1" x14ac:dyDescent="0.3"/>
    <row r="6822" s="160" customFormat="1" x14ac:dyDescent="0.3"/>
    <row r="6823" s="160" customFormat="1" x14ac:dyDescent="0.3"/>
    <row r="6824" s="160" customFormat="1" x14ac:dyDescent="0.3"/>
    <row r="6825" s="160" customFormat="1" x14ac:dyDescent="0.3"/>
    <row r="6826" s="160" customFormat="1" x14ac:dyDescent="0.3"/>
    <row r="6827" s="160" customFormat="1" x14ac:dyDescent="0.3"/>
    <row r="6828" s="160" customFormat="1" x14ac:dyDescent="0.3"/>
    <row r="6829" s="160" customFormat="1" x14ac:dyDescent="0.3"/>
    <row r="6830" s="160" customFormat="1" x14ac:dyDescent="0.3"/>
    <row r="6831" s="160" customFormat="1" x14ac:dyDescent="0.3"/>
    <row r="6832" s="160" customFormat="1" x14ac:dyDescent="0.3"/>
    <row r="6833" s="160" customFormat="1" x14ac:dyDescent="0.3"/>
    <row r="6834" s="160" customFormat="1" x14ac:dyDescent="0.3"/>
    <row r="6835" s="160" customFormat="1" x14ac:dyDescent="0.3"/>
    <row r="6836" s="160" customFormat="1" x14ac:dyDescent="0.3"/>
    <row r="6837" s="160" customFormat="1" x14ac:dyDescent="0.3"/>
    <row r="6838" s="160" customFormat="1" x14ac:dyDescent="0.3"/>
    <row r="6839" s="160" customFormat="1" x14ac:dyDescent="0.3"/>
    <row r="6840" s="160" customFormat="1" x14ac:dyDescent="0.3"/>
    <row r="6841" s="160" customFormat="1" x14ac:dyDescent="0.3"/>
    <row r="6842" s="160" customFormat="1" x14ac:dyDescent="0.3"/>
    <row r="6843" s="160" customFormat="1" x14ac:dyDescent="0.3"/>
    <row r="6844" s="160" customFormat="1" x14ac:dyDescent="0.3"/>
    <row r="6845" s="160" customFormat="1" x14ac:dyDescent="0.3"/>
    <row r="6846" s="160" customFormat="1" x14ac:dyDescent="0.3"/>
    <row r="6847" s="160" customFormat="1" x14ac:dyDescent="0.3"/>
    <row r="6848" s="160" customFormat="1" x14ac:dyDescent="0.3"/>
    <row r="6849" s="160" customFormat="1" x14ac:dyDescent="0.3"/>
    <row r="6850" s="160" customFormat="1" x14ac:dyDescent="0.3"/>
    <row r="6851" s="160" customFormat="1" x14ac:dyDescent="0.3"/>
    <row r="6852" s="160" customFormat="1" x14ac:dyDescent="0.3"/>
    <row r="6853" s="160" customFormat="1" x14ac:dyDescent="0.3"/>
    <row r="6854" s="160" customFormat="1" x14ac:dyDescent="0.3"/>
    <row r="6855" s="160" customFormat="1" x14ac:dyDescent="0.3"/>
    <row r="6856" s="160" customFormat="1" x14ac:dyDescent="0.3"/>
    <row r="6857" s="160" customFormat="1" x14ac:dyDescent="0.3"/>
    <row r="6858" s="160" customFormat="1" x14ac:dyDescent="0.3"/>
    <row r="6859" s="160" customFormat="1" x14ac:dyDescent="0.3"/>
    <row r="6860" s="160" customFormat="1" x14ac:dyDescent="0.3"/>
    <row r="6861" s="160" customFormat="1" x14ac:dyDescent="0.3"/>
    <row r="6862" s="160" customFormat="1" x14ac:dyDescent="0.3"/>
    <row r="6863" s="160" customFormat="1" x14ac:dyDescent="0.3"/>
    <row r="6864" s="160" customFormat="1" x14ac:dyDescent="0.3"/>
    <row r="6865" s="160" customFormat="1" x14ac:dyDescent="0.3"/>
    <row r="6866" s="160" customFormat="1" x14ac:dyDescent="0.3"/>
    <row r="6867" s="160" customFormat="1" x14ac:dyDescent="0.3"/>
    <row r="6868" s="160" customFormat="1" x14ac:dyDescent="0.3"/>
    <row r="6869" s="160" customFormat="1" x14ac:dyDescent="0.3"/>
    <row r="6870" s="160" customFormat="1" x14ac:dyDescent="0.3"/>
    <row r="6871" s="160" customFormat="1" x14ac:dyDescent="0.3"/>
    <row r="6872" s="160" customFormat="1" x14ac:dyDescent="0.3"/>
    <row r="6873" s="160" customFormat="1" x14ac:dyDescent="0.3"/>
    <row r="6874" s="160" customFormat="1" x14ac:dyDescent="0.3"/>
    <row r="6875" s="160" customFormat="1" x14ac:dyDescent="0.3"/>
    <row r="6876" s="160" customFormat="1" x14ac:dyDescent="0.3"/>
    <row r="6877" s="160" customFormat="1" x14ac:dyDescent="0.3"/>
    <row r="6878" s="160" customFormat="1" x14ac:dyDescent="0.3"/>
    <row r="6879" s="160" customFormat="1" x14ac:dyDescent="0.3"/>
    <row r="6880" s="160" customFormat="1" x14ac:dyDescent="0.3"/>
    <row r="6881" s="160" customFormat="1" x14ac:dyDescent="0.3"/>
    <row r="6882" s="160" customFormat="1" x14ac:dyDescent="0.3"/>
    <row r="6883" s="160" customFormat="1" x14ac:dyDescent="0.3"/>
    <row r="6884" s="160" customFormat="1" x14ac:dyDescent="0.3"/>
    <row r="6885" s="160" customFormat="1" x14ac:dyDescent="0.3"/>
    <row r="6886" s="160" customFormat="1" x14ac:dyDescent="0.3"/>
    <row r="6887" s="160" customFormat="1" x14ac:dyDescent="0.3"/>
    <row r="6888" s="160" customFormat="1" x14ac:dyDescent="0.3"/>
    <row r="6889" s="160" customFormat="1" x14ac:dyDescent="0.3"/>
    <row r="6890" s="160" customFormat="1" x14ac:dyDescent="0.3"/>
    <row r="6891" s="160" customFormat="1" x14ac:dyDescent="0.3"/>
    <row r="6892" s="160" customFormat="1" x14ac:dyDescent="0.3"/>
    <row r="6893" s="160" customFormat="1" x14ac:dyDescent="0.3"/>
    <row r="6894" s="160" customFormat="1" x14ac:dyDescent="0.3"/>
    <row r="6895" s="160" customFormat="1" x14ac:dyDescent="0.3"/>
    <row r="6896" s="160" customFormat="1" x14ac:dyDescent="0.3"/>
    <row r="6897" s="160" customFormat="1" x14ac:dyDescent="0.3"/>
    <row r="6898" s="160" customFormat="1" x14ac:dyDescent="0.3"/>
    <row r="6899" s="160" customFormat="1" x14ac:dyDescent="0.3"/>
    <row r="6900" s="160" customFormat="1" x14ac:dyDescent="0.3"/>
    <row r="6901" s="160" customFormat="1" x14ac:dyDescent="0.3"/>
    <row r="6902" s="160" customFormat="1" x14ac:dyDescent="0.3"/>
    <row r="6903" s="160" customFormat="1" x14ac:dyDescent="0.3"/>
    <row r="6904" s="160" customFormat="1" x14ac:dyDescent="0.3"/>
    <row r="6905" s="160" customFormat="1" x14ac:dyDescent="0.3"/>
    <row r="6906" s="160" customFormat="1" x14ac:dyDescent="0.3"/>
    <row r="6907" s="160" customFormat="1" x14ac:dyDescent="0.3"/>
    <row r="6908" s="160" customFormat="1" x14ac:dyDescent="0.3"/>
    <row r="6909" s="160" customFormat="1" x14ac:dyDescent="0.3"/>
    <row r="6910" s="160" customFormat="1" x14ac:dyDescent="0.3"/>
    <row r="6911" s="160" customFormat="1" x14ac:dyDescent="0.3"/>
    <row r="6912" s="160" customFormat="1" x14ac:dyDescent="0.3"/>
    <row r="6913" s="160" customFormat="1" x14ac:dyDescent="0.3"/>
    <row r="6914" s="160" customFormat="1" x14ac:dyDescent="0.3"/>
    <row r="6915" s="160" customFormat="1" x14ac:dyDescent="0.3"/>
    <row r="6916" s="160" customFormat="1" x14ac:dyDescent="0.3"/>
    <row r="6917" s="160" customFormat="1" x14ac:dyDescent="0.3"/>
    <row r="6918" s="160" customFormat="1" x14ac:dyDescent="0.3"/>
    <row r="6919" s="160" customFormat="1" x14ac:dyDescent="0.3"/>
    <row r="6920" s="160" customFormat="1" x14ac:dyDescent="0.3"/>
    <row r="6921" s="160" customFormat="1" x14ac:dyDescent="0.3"/>
    <row r="6922" s="160" customFormat="1" x14ac:dyDescent="0.3"/>
    <row r="6923" s="160" customFormat="1" x14ac:dyDescent="0.3"/>
    <row r="6924" s="160" customFormat="1" x14ac:dyDescent="0.3"/>
    <row r="6925" s="160" customFormat="1" x14ac:dyDescent="0.3"/>
    <row r="6926" s="160" customFormat="1" x14ac:dyDescent="0.3"/>
    <row r="6927" s="160" customFormat="1" x14ac:dyDescent="0.3"/>
    <row r="6928" s="160" customFormat="1" x14ac:dyDescent="0.3"/>
    <row r="6929" s="160" customFormat="1" x14ac:dyDescent="0.3"/>
    <row r="6930" s="160" customFormat="1" x14ac:dyDescent="0.3"/>
    <row r="6931" s="160" customFormat="1" x14ac:dyDescent="0.3"/>
    <row r="6932" s="160" customFormat="1" x14ac:dyDescent="0.3"/>
    <row r="6933" s="160" customFormat="1" x14ac:dyDescent="0.3"/>
    <row r="6934" s="160" customFormat="1" x14ac:dyDescent="0.3"/>
    <row r="6935" s="160" customFormat="1" x14ac:dyDescent="0.3"/>
    <row r="6936" s="160" customFormat="1" x14ac:dyDescent="0.3"/>
    <row r="6937" s="160" customFormat="1" x14ac:dyDescent="0.3"/>
    <row r="6938" s="160" customFormat="1" x14ac:dyDescent="0.3"/>
    <row r="6939" s="160" customFormat="1" x14ac:dyDescent="0.3"/>
    <row r="6940" s="160" customFormat="1" x14ac:dyDescent="0.3"/>
    <row r="6941" s="160" customFormat="1" x14ac:dyDescent="0.3"/>
    <row r="6942" s="160" customFormat="1" x14ac:dyDescent="0.3"/>
    <row r="6943" s="160" customFormat="1" x14ac:dyDescent="0.3"/>
    <row r="6944" s="160" customFormat="1" x14ac:dyDescent="0.3"/>
    <row r="6945" s="160" customFormat="1" x14ac:dyDescent="0.3"/>
    <row r="6946" s="160" customFormat="1" x14ac:dyDescent="0.3"/>
    <row r="6947" s="160" customFormat="1" x14ac:dyDescent="0.3"/>
    <row r="6948" s="160" customFormat="1" x14ac:dyDescent="0.3"/>
    <row r="6949" s="160" customFormat="1" x14ac:dyDescent="0.3"/>
    <row r="6950" s="160" customFormat="1" x14ac:dyDescent="0.3"/>
    <row r="6951" s="160" customFormat="1" x14ac:dyDescent="0.3"/>
    <row r="6952" s="160" customFormat="1" x14ac:dyDescent="0.3"/>
    <row r="6953" s="160" customFormat="1" x14ac:dyDescent="0.3"/>
    <row r="6954" s="160" customFormat="1" x14ac:dyDescent="0.3"/>
    <row r="6955" s="160" customFormat="1" x14ac:dyDescent="0.3"/>
    <row r="6956" s="160" customFormat="1" x14ac:dyDescent="0.3"/>
    <row r="6957" s="160" customFormat="1" x14ac:dyDescent="0.3"/>
    <row r="6958" s="160" customFormat="1" x14ac:dyDescent="0.3"/>
    <row r="6959" s="160" customFormat="1" x14ac:dyDescent="0.3"/>
    <row r="6960" s="160" customFormat="1" x14ac:dyDescent="0.3"/>
    <row r="6961" s="160" customFormat="1" x14ac:dyDescent="0.3"/>
    <row r="6962" s="160" customFormat="1" x14ac:dyDescent="0.3"/>
    <row r="6963" s="160" customFormat="1" x14ac:dyDescent="0.3"/>
    <row r="6964" s="160" customFormat="1" x14ac:dyDescent="0.3"/>
    <row r="6965" s="160" customFormat="1" x14ac:dyDescent="0.3"/>
    <row r="6966" s="160" customFormat="1" x14ac:dyDescent="0.3"/>
    <row r="6967" s="160" customFormat="1" x14ac:dyDescent="0.3"/>
    <row r="6968" s="160" customFormat="1" x14ac:dyDescent="0.3"/>
    <row r="6969" s="160" customFormat="1" x14ac:dyDescent="0.3"/>
    <row r="6970" s="160" customFormat="1" x14ac:dyDescent="0.3"/>
    <row r="6971" s="160" customFormat="1" x14ac:dyDescent="0.3"/>
    <row r="6972" s="160" customFormat="1" x14ac:dyDescent="0.3"/>
    <row r="6973" s="160" customFormat="1" x14ac:dyDescent="0.3"/>
    <row r="6974" s="160" customFormat="1" x14ac:dyDescent="0.3"/>
    <row r="6975" s="160" customFormat="1" x14ac:dyDescent="0.3"/>
    <row r="6976" s="160" customFormat="1" x14ac:dyDescent="0.3"/>
    <row r="6977" s="160" customFormat="1" x14ac:dyDescent="0.3"/>
    <row r="6978" s="160" customFormat="1" x14ac:dyDescent="0.3"/>
    <row r="6979" s="160" customFormat="1" x14ac:dyDescent="0.3"/>
    <row r="6980" s="160" customFormat="1" x14ac:dyDescent="0.3"/>
    <row r="6981" s="160" customFormat="1" x14ac:dyDescent="0.3"/>
    <row r="6982" s="160" customFormat="1" x14ac:dyDescent="0.3"/>
    <row r="6983" s="160" customFormat="1" x14ac:dyDescent="0.3"/>
    <row r="6984" s="160" customFormat="1" x14ac:dyDescent="0.3"/>
    <row r="6985" s="160" customFormat="1" x14ac:dyDescent="0.3"/>
    <row r="6986" s="160" customFormat="1" x14ac:dyDescent="0.3"/>
    <row r="6987" s="160" customFormat="1" x14ac:dyDescent="0.3"/>
    <row r="6988" s="160" customFormat="1" x14ac:dyDescent="0.3"/>
    <row r="6989" s="160" customFormat="1" x14ac:dyDescent="0.3"/>
    <row r="6990" s="160" customFormat="1" x14ac:dyDescent="0.3"/>
    <row r="6991" s="160" customFormat="1" x14ac:dyDescent="0.3"/>
    <row r="6992" s="160" customFormat="1" x14ac:dyDescent="0.3"/>
    <row r="6993" s="160" customFormat="1" x14ac:dyDescent="0.3"/>
    <row r="6994" s="160" customFormat="1" x14ac:dyDescent="0.3"/>
    <row r="6995" s="160" customFormat="1" x14ac:dyDescent="0.3"/>
    <row r="6996" s="160" customFormat="1" x14ac:dyDescent="0.3"/>
    <row r="6997" s="160" customFormat="1" x14ac:dyDescent="0.3"/>
    <row r="6998" s="160" customFormat="1" x14ac:dyDescent="0.3"/>
    <row r="6999" s="160" customFormat="1" x14ac:dyDescent="0.3"/>
    <row r="7000" s="160" customFormat="1" x14ac:dyDescent="0.3"/>
    <row r="7001" s="160" customFormat="1" x14ac:dyDescent="0.3"/>
    <row r="7002" s="160" customFormat="1" x14ac:dyDescent="0.3"/>
    <row r="7003" s="160" customFormat="1" x14ac:dyDescent="0.3"/>
    <row r="7004" s="160" customFormat="1" x14ac:dyDescent="0.3"/>
    <row r="7005" s="160" customFormat="1" x14ac:dyDescent="0.3"/>
    <row r="7006" s="160" customFormat="1" x14ac:dyDescent="0.3"/>
    <row r="7007" s="160" customFormat="1" x14ac:dyDescent="0.3"/>
    <row r="7008" s="160" customFormat="1" x14ac:dyDescent="0.3"/>
    <row r="7009" s="160" customFormat="1" x14ac:dyDescent="0.3"/>
    <row r="7010" s="160" customFormat="1" x14ac:dyDescent="0.3"/>
    <row r="7011" s="160" customFormat="1" x14ac:dyDescent="0.3"/>
    <row r="7012" s="160" customFormat="1" x14ac:dyDescent="0.3"/>
    <row r="7013" s="160" customFormat="1" x14ac:dyDescent="0.3"/>
    <row r="7014" s="160" customFormat="1" x14ac:dyDescent="0.3"/>
    <row r="7015" s="160" customFormat="1" x14ac:dyDescent="0.3"/>
    <row r="7016" s="160" customFormat="1" x14ac:dyDescent="0.3"/>
    <row r="7017" s="160" customFormat="1" x14ac:dyDescent="0.3"/>
    <row r="7018" s="160" customFormat="1" x14ac:dyDescent="0.3"/>
    <row r="7019" s="160" customFormat="1" x14ac:dyDescent="0.3"/>
    <row r="7020" s="160" customFormat="1" x14ac:dyDescent="0.3"/>
    <row r="7021" s="160" customFormat="1" x14ac:dyDescent="0.3"/>
    <row r="7022" s="160" customFormat="1" x14ac:dyDescent="0.3"/>
    <row r="7023" s="160" customFormat="1" x14ac:dyDescent="0.3"/>
    <row r="7024" s="160" customFormat="1" x14ac:dyDescent="0.3"/>
    <row r="7025" s="160" customFormat="1" x14ac:dyDescent="0.3"/>
    <row r="7026" s="160" customFormat="1" x14ac:dyDescent="0.3"/>
    <row r="7027" s="160" customFormat="1" x14ac:dyDescent="0.3"/>
    <row r="7028" s="160" customFormat="1" x14ac:dyDescent="0.3"/>
    <row r="7029" s="160" customFormat="1" x14ac:dyDescent="0.3"/>
    <row r="7030" s="160" customFormat="1" x14ac:dyDescent="0.3"/>
    <row r="7031" s="160" customFormat="1" x14ac:dyDescent="0.3"/>
    <row r="7032" s="160" customFormat="1" x14ac:dyDescent="0.3"/>
    <row r="7033" s="160" customFormat="1" x14ac:dyDescent="0.3"/>
    <row r="7034" s="160" customFormat="1" x14ac:dyDescent="0.3"/>
    <row r="7035" s="160" customFormat="1" x14ac:dyDescent="0.3"/>
    <row r="7036" s="160" customFormat="1" x14ac:dyDescent="0.3"/>
    <row r="7037" s="160" customFormat="1" x14ac:dyDescent="0.3"/>
    <row r="7038" s="160" customFormat="1" x14ac:dyDescent="0.3"/>
    <row r="7039" s="160" customFormat="1" x14ac:dyDescent="0.3"/>
    <row r="7040" s="160" customFormat="1" x14ac:dyDescent="0.3"/>
    <row r="7041" s="160" customFormat="1" x14ac:dyDescent="0.3"/>
    <row r="7042" s="160" customFormat="1" x14ac:dyDescent="0.3"/>
    <row r="7043" s="160" customFormat="1" x14ac:dyDescent="0.3"/>
    <row r="7044" s="160" customFormat="1" x14ac:dyDescent="0.3"/>
    <row r="7045" s="160" customFormat="1" x14ac:dyDescent="0.3"/>
    <row r="7046" s="160" customFormat="1" x14ac:dyDescent="0.3"/>
    <row r="7047" s="160" customFormat="1" x14ac:dyDescent="0.3"/>
    <row r="7048" s="160" customFormat="1" x14ac:dyDescent="0.3"/>
    <row r="7049" s="160" customFormat="1" x14ac:dyDescent="0.3"/>
    <row r="7050" s="160" customFormat="1" x14ac:dyDescent="0.3"/>
    <row r="7051" s="160" customFormat="1" x14ac:dyDescent="0.3"/>
    <row r="7052" s="160" customFormat="1" x14ac:dyDescent="0.3"/>
    <row r="7053" s="160" customFormat="1" x14ac:dyDescent="0.3"/>
    <row r="7054" s="160" customFormat="1" x14ac:dyDescent="0.3"/>
    <row r="7055" s="160" customFormat="1" x14ac:dyDescent="0.3"/>
    <row r="7056" s="160" customFormat="1" x14ac:dyDescent="0.3"/>
    <row r="7057" s="160" customFormat="1" x14ac:dyDescent="0.3"/>
    <row r="7058" s="160" customFormat="1" x14ac:dyDescent="0.3"/>
    <row r="7059" s="160" customFormat="1" x14ac:dyDescent="0.3"/>
    <row r="7060" s="160" customFormat="1" x14ac:dyDescent="0.3"/>
    <row r="7061" s="160" customFormat="1" x14ac:dyDescent="0.3"/>
    <row r="7062" s="160" customFormat="1" x14ac:dyDescent="0.3"/>
    <row r="7063" s="160" customFormat="1" x14ac:dyDescent="0.3"/>
    <row r="7064" s="160" customFormat="1" x14ac:dyDescent="0.3"/>
    <row r="7065" s="160" customFormat="1" x14ac:dyDescent="0.3"/>
    <row r="7066" s="160" customFormat="1" x14ac:dyDescent="0.3"/>
    <row r="7067" s="160" customFormat="1" x14ac:dyDescent="0.3"/>
    <row r="7068" s="160" customFormat="1" x14ac:dyDescent="0.3"/>
    <row r="7069" s="160" customFormat="1" x14ac:dyDescent="0.3"/>
    <row r="7070" s="160" customFormat="1" x14ac:dyDescent="0.3"/>
    <row r="7071" s="160" customFormat="1" x14ac:dyDescent="0.3"/>
    <row r="7072" s="160" customFormat="1" x14ac:dyDescent="0.3"/>
    <row r="7073" s="160" customFormat="1" x14ac:dyDescent="0.3"/>
    <row r="7074" s="160" customFormat="1" x14ac:dyDescent="0.3"/>
    <row r="7075" s="160" customFormat="1" x14ac:dyDescent="0.3"/>
    <row r="7076" s="160" customFormat="1" x14ac:dyDescent="0.3"/>
    <row r="7077" s="160" customFormat="1" x14ac:dyDescent="0.3"/>
    <row r="7078" s="160" customFormat="1" x14ac:dyDescent="0.3"/>
    <row r="7079" s="160" customFormat="1" x14ac:dyDescent="0.3"/>
    <row r="7080" s="160" customFormat="1" x14ac:dyDescent="0.3"/>
    <row r="7081" s="160" customFormat="1" x14ac:dyDescent="0.3"/>
    <row r="7082" s="160" customFormat="1" x14ac:dyDescent="0.3"/>
    <row r="7083" s="160" customFormat="1" x14ac:dyDescent="0.3"/>
    <row r="7084" s="160" customFormat="1" x14ac:dyDescent="0.3"/>
    <row r="7085" s="160" customFormat="1" x14ac:dyDescent="0.3"/>
    <row r="7086" s="160" customFormat="1" x14ac:dyDescent="0.3"/>
    <row r="7087" s="160" customFormat="1" x14ac:dyDescent="0.3"/>
    <row r="7088" s="160" customFormat="1" x14ac:dyDescent="0.3"/>
    <row r="7089" s="160" customFormat="1" x14ac:dyDescent="0.3"/>
    <row r="7090" s="160" customFormat="1" x14ac:dyDescent="0.3"/>
    <row r="7091" s="160" customFormat="1" x14ac:dyDescent="0.3"/>
    <row r="7092" s="160" customFormat="1" x14ac:dyDescent="0.3"/>
    <row r="7093" s="160" customFormat="1" x14ac:dyDescent="0.3"/>
    <row r="7094" s="160" customFormat="1" x14ac:dyDescent="0.3"/>
    <row r="7095" s="160" customFormat="1" x14ac:dyDescent="0.3"/>
    <row r="7096" s="160" customFormat="1" x14ac:dyDescent="0.3"/>
    <row r="7097" s="160" customFormat="1" x14ac:dyDescent="0.3"/>
    <row r="7098" s="160" customFormat="1" x14ac:dyDescent="0.3"/>
    <row r="7099" s="160" customFormat="1" x14ac:dyDescent="0.3"/>
    <row r="7100" s="160" customFormat="1" x14ac:dyDescent="0.3"/>
    <row r="7101" s="160" customFormat="1" x14ac:dyDescent="0.3"/>
    <row r="7102" s="160" customFormat="1" x14ac:dyDescent="0.3"/>
    <row r="7103" s="160" customFormat="1" x14ac:dyDescent="0.3"/>
    <row r="7104" s="160" customFormat="1" x14ac:dyDescent="0.3"/>
    <row r="7105" s="160" customFormat="1" x14ac:dyDescent="0.3"/>
    <row r="7106" s="160" customFormat="1" x14ac:dyDescent="0.3"/>
    <row r="7107" s="160" customFormat="1" x14ac:dyDescent="0.3"/>
    <row r="7108" s="160" customFormat="1" x14ac:dyDescent="0.3"/>
    <row r="7109" s="160" customFormat="1" x14ac:dyDescent="0.3"/>
    <row r="7110" s="160" customFormat="1" x14ac:dyDescent="0.3"/>
    <row r="7111" s="160" customFormat="1" x14ac:dyDescent="0.3"/>
    <row r="7112" s="160" customFormat="1" x14ac:dyDescent="0.3"/>
    <row r="7113" s="160" customFormat="1" x14ac:dyDescent="0.3"/>
    <row r="7114" s="160" customFormat="1" x14ac:dyDescent="0.3"/>
    <row r="7115" s="160" customFormat="1" x14ac:dyDescent="0.3"/>
    <row r="7116" s="160" customFormat="1" x14ac:dyDescent="0.3"/>
    <row r="7117" s="160" customFormat="1" x14ac:dyDescent="0.3"/>
    <row r="7118" s="160" customFormat="1" x14ac:dyDescent="0.3"/>
    <row r="7119" s="160" customFormat="1" x14ac:dyDescent="0.3"/>
    <row r="7120" s="160" customFormat="1" x14ac:dyDescent="0.3"/>
    <row r="7121" s="160" customFormat="1" x14ac:dyDescent="0.3"/>
    <row r="7122" s="160" customFormat="1" x14ac:dyDescent="0.3"/>
    <row r="7123" s="160" customFormat="1" x14ac:dyDescent="0.3"/>
    <row r="7124" s="160" customFormat="1" x14ac:dyDescent="0.3"/>
    <row r="7125" s="160" customFormat="1" x14ac:dyDescent="0.3"/>
    <row r="7126" s="160" customFormat="1" x14ac:dyDescent="0.3"/>
    <row r="7127" s="160" customFormat="1" x14ac:dyDescent="0.3"/>
    <row r="7128" s="160" customFormat="1" x14ac:dyDescent="0.3"/>
    <row r="7129" s="160" customFormat="1" x14ac:dyDescent="0.3"/>
    <row r="7130" s="160" customFormat="1" x14ac:dyDescent="0.3"/>
    <row r="7131" s="160" customFormat="1" x14ac:dyDescent="0.3"/>
    <row r="7132" s="160" customFormat="1" x14ac:dyDescent="0.3"/>
    <row r="7133" s="160" customFormat="1" x14ac:dyDescent="0.3"/>
    <row r="7134" s="160" customFormat="1" x14ac:dyDescent="0.3"/>
    <row r="7135" s="160" customFormat="1" x14ac:dyDescent="0.3"/>
    <row r="7136" s="160" customFormat="1" x14ac:dyDescent="0.3"/>
    <row r="7137" s="160" customFormat="1" x14ac:dyDescent="0.3"/>
    <row r="7138" s="160" customFormat="1" x14ac:dyDescent="0.3"/>
    <row r="7139" s="160" customFormat="1" x14ac:dyDescent="0.3"/>
    <row r="7140" s="160" customFormat="1" x14ac:dyDescent="0.3"/>
    <row r="7141" s="160" customFormat="1" x14ac:dyDescent="0.3"/>
    <row r="7142" s="160" customFormat="1" x14ac:dyDescent="0.3"/>
    <row r="7143" s="160" customFormat="1" x14ac:dyDescent="0.3"/>
    <row r="7144" s="160" customFormat="1" x14ac:dyDescent="0.3"/>
    <row r="7145" s="160" customFormat="1" x14ac:dyDescent="0.3"/>
    <row r="7146" s="160" customFormat="1" x14ac:dyDescent="0.3"/>
    <row r="7147" s="160" customFormat="1" x14ac:dyDescent="0.3"/>
    <row r="7148" s="160" customFormat="1" x14ac:dyDescent="0.3"/>
    <row r="7149" s="160" customFormat="1" x14ac:dyDescent="0.3"/>
    <row r="7150" s="160" customFormat="1" x14ac:dyDescent="0.3"/>
    <row r="7151" s="160" customFormat="1" x14ac:dyDescent="0.3"/>
    <row r="7152" s="160" customFormat="1" x14ac:dyDescent="0.3"/>
    <row r="7153" s="160" customFormat="1" x14ac:dyDescent="0.3"/>
    <row r="7154" s="160" customFormat="1" x14ac:dyDescent="0.3"/>
    <row r="7155" s="160" customFormat="1" x14ac:dyDescent="0.3"/>
    <row r="7156" s="160" customFormat="1" x14ac:dyDescent="0.3"/>
    <row r="7157" s="160" customFormat="1" x14ac:dyDescent="0.3"/>
    <row r="7158" s="160" customFormat="1" x14ac:dyDescent="0.3"/>
    <row r="7159" s="160" customFormat="1" x14ac:dyDescent="0.3"/>
    <row r="7160" s="160" customFormat="1" x14ac:dyDescent="0.3"/>
    <row r="7161" s="160" customFormat="1" x14ac:dyDescent="0.3"/>
    <row r="7162" s="160" customFormat="1" x14ac:dyDescent="0.3"/>
    <row r="7163" s="160" customFormat="1" x14ac:dyDescent="0.3"/>
    <row r="7164" s="160" customFormat="1" x14ac:dyDescent="0.3"/>
    <row r="7165" s="160" customFormat="1" x14ac:dyDescent="0.3"/>
    <row r="7166" s="160" customFormat="1" x14ac:dyDescent="0.3"/>
    <row r="7167" s="160" customFormat="1" x14ac:dyDescent="0.3"/>
    <row r="7168" s="160" customFormat="1" x14ac:dyDescent="0.3"/>
    <row r="7169" s="160" customFormat="1" x14ac:dyDescent="0.3"/>
    <row r="7170" s="160" customFormat="1" x14ac:dyDescent="0.3"/>
    <row r="7171" s="160" customFormat="1" x14ac:dyDescent="0.3"/>
    <row r="7172" s="160" customFormat="1" x14ac:dyDescent="0.3"/>
    <row r="7173" s="160" customFormat="1" x14ac:dyDescent="0.3"/>
    <row r="7174" s="160" customFormat="1" x14ac:dyDescent="0.3"/>
    <row r="7175" s="160" customFormat="1" x14ac:dyDescent="0.3"/>
    <row r="7176" s="160" customFormat="1" x14ac:dyDescent="0.3"/>
    <row r="7177" s="160" customFormat="1" x14ac:dyDescent="0.3"/>
    <row r="7178" s="160" customFormat="1" x14ac:dyDescent="0.3"/>
    <row r="7179" s="160" customFormat="1" x14ac:dyDescent="0.3"/>
    <row r="7180" s="160" customFormat="1" x14ac:dyDescent="0.3"/>
    <row r="7181" s="160" customFormat="1" x14ac:dyDescent="0.3"/>
    <row r="7182" s="160" customFormat="1" x14ac:dyDescent="0.3"/>
    <row r="7183" s="160" customFormat="1" x14ac:dyDescent="0.3"/>
    <row r="7184" s="160" customFormat="1" x14ac:dyDescent="0.3"/>
    <row r="7185" s="160" customFormat="1" x14ac:dyDescent="0.3"/>
    <row r="7186" s="160" customFormat="1" x14ac:dyDescent="0.3"/>
    <row r="7187" s="160" customFormat="1" x14ac:dyDescent="0.3"/>
    <row r="7188" s="160" customFormat="1" x14ac:dyDescent="0.3"/>
    <row r="7189" s="160" customFormat="1" x14ac:dyDescent="0.3"/>
    <row r="7190" s="160" customFormat="1" x14ac:dyDescent="0.3"/>
    <row r="7191" s="160" customFormat="1" x14ac:dyDescent="0.3"/>
    <row r="7192" s="160" customFormat="1" x14ac:dyDescent="0.3"/>
    <row r="7193" s="160" customFormat="1" x14ac:dyDescent="0.3"/>
    <row r="7194" s="160" customFormat="1" x14ac:dyDescent="0.3"/>
    <row r="7195" s="160" customFormat="1" x14ac:dyDescent="0.3"/>
    <row r="7196" s="160" customFormat="1" x14ac:dyDescent="0.3"/>
    <row r="7197" s="160" customFormat="1" x14ac:dyDescent="0.3"/>
    <row r="7198" s="160" customFormat="1" x14ac:dyDescent="0.3"/>
    <row r="7199" s="160" customFormat="1" x14ac:dyDescent="0.3"/>
    <row r="7200" s="160" customFormat="1" x14ac:dyDescent="0.3"/>
    <row r="7201" s="160" customFormat="1" x14ac:dyDescent="0.3"/>
    <row r="7202" s="160" customFormat="1" x14ac:dyDescent="0.3"/>
    <row r="7203" s="160" customFormat="1" x14ac:dyDescent="0.3"/>
    <row r="7204" s="160" customFormat="1" x14ac:dyDescent="0.3"/>
    <row r="7205" s="160" customFormat="1" x14ac:dyDescent="0.3"/>
    <row r="7206" s="160" customFormat="1" x14ac:dyDescent="0.3"/>
    <row r="7207" s="160" customFormat="1" x14ac:dyDescent="0.3"/>
    <row r="7208" s="160" customFormat="1" x14ac:dyDescent="0.3"/>
    <row r="7209" s="160" customFormat="1" x14ac:dyDescent="0.3"/>
    <row r="7210" s="160" customFormat="1" x14ac:dyDescent="0.3"/>
    <row r="7211" s="160" customFormat="1" x14ac:dyDescent="0.3"/>
    <row r="7212" s="160" customFormat="1" x14ac:dyDescent="0.3"/>
    <row r="7213" s="160" customFormat="1" x14ac:dyDescent="0.3"/>
    <row r="7214" s="160" customFormat="1" x14ac:dyDescent="0.3"/>
    <row r="7215" s="160" customFormat="1" x14ac:dyDescent="0.3"/>
    <row r="7216" s="160" customFormat="1" x14ac:dyDescent="0.3"/>
    <row r="7217" s="160" customFormat="1" x14ac:dyDescent="0.3"/>
    <row r="7218" s="160" customFormat="1" x14ac:dyDescent="0.3"/>
    <row r="7219" s="160" customFormat="1" x14ac:dyDescent="0.3"/>
    <row r="7220" s="160" customFormat="1" x14ac:dyDescent="0.3"/>
    <row r="7221" s="160" customFormat="1" x14ac:dyDescent="0.3"/>
    <row r="7222" s="160" customFormat="1" x14ac:dyDescent="0.3"/>
    <row r="7223" s="160" customFormat="1" x14ac:dyDescent="0.3"/>
    <row r="7224" s="160" customFormat="1" x14ac:dyDescent="0.3"/>
    <row r="7225" s="160" customFormat="1" x14ac:dyDescent="0.3"/>
    <row r="7226" s="160" customFormat="1" x14ac:dyDescent="0.3"/>
    <row r="7227" s="160" customFormat="1" x14ac:dyDescent="0.3"/>
    <row r="7228" s="160" customFormat="1" x14ac:dyDescent="0.3"/>
    <row r="7229" s="160" customFormat="1" x14ac:dyDescent="0.3"/>
    <row r="7230" s="160" customFormat="1" x14ac:dyDescent="0.3"/>
    <row r="7231" s="160" customFormat="1" x14ac:dyDescent="0.3"/>
    <row r="7232" s="160" customFormat="1" x14ac:dyDescent="0.3"/>
    <row r="7233" s="160" customFormat="1" x14ac:dyDescent="0.3"/>
    <row r="7234" s="160" customFormat="1" x14ac:dyDescent="0.3"/>
    <row r="7235" s="160" customFormat="1" x14ac:dyDescent="0.3"/>
    <row r="7236" s="160" customFormat="1" x14ac:dyDescent="0.3"/>
    <row r="7237" s="160" customFormat="1" x14ac:dyDescent="0.3"/>
    <row r="7238" s="160" customFormat="1" x14ac:dyDescent="0.3"/>
    <row r="7239" s="160" customFormat="1" x14ac:dyDescent="0.3"/>
    <row r="7240" s="160" customFormat="1" x14ac:dyDescent="0.3"/>
    <row r="7241" s="160" customFormat="1" x14ac:dyDescent="0.3"/>
    <row r="7242" s="160" customFormat="1" x14ac:dyDescent="0.3"/>
    <row r="7243" s="160" customFormat="1" x14ac:dyDescent="0.3"/>
    <row r="7244" s="160" customFormat="1" x14ac:dyDescent="0.3"/>
    <row r="7245" s="160" customFormat="1" x14ac:dyDescent="0.3"/>
    <row r="7246" s="160" customFormat="1" x14ac:dyDescent="0.3"/>
    <row r="7247" s="160" customFormat="1" x14ac:dyDescent="0.3"/>
    <row r="7248" s="160" customFormat="1" x14ac:dyDescent="0.3"/>
    <row r="7249" s="160" customFormat="1" x14ac:dyDescent="0.3"/>
    <row r="7250" s="160" customFormat="1" x14ac:dyDescent="0.3"/>
    <row r="7251" s="160" customFormat="1" x14ac:dyDescent="0.3"/>
    <row r="7252" s="160" customFormat="1" x14ac:dyDescent="0.3"/>
    <row r="7253" s="160" customFormat="1" x14ac:dyDescent="0.3"/>
    <row r="7254" s="160" customFormat="1" x14ac:dyDescent="0.3"/>
    <row r="7255" s="160" customFormat="1" x14ac:dyDescent="0.3"/>
    <row r="7256" s="160" customFormat="1" x14ac:dyDescent="0.3"/>
    <row r="7257" s="160" customFormat="1" x14ac:dyDescent="0.3"/>
    <row r="7258" s="160" customFormat="1" x14ac:dyDescent="0.3"/>
    <row r="7259" s="160" customFormat="1" x14ac:dyDescent="0.3"/>
    <row r="7260" s="160" customFormat="1" x14ac:dyDescent="0.3"/>
    <row r="7261" s="160" customFormat="1" x14ac:dyDescent="0.3"/>
    <row r="7262" s="160" customFormat="1" x14ac:dyDescent="0.3"/>
    <row r="7263" s="160" customFormat="1" x14ac:dyDescent="0.3"/>
    <row r="7264" s="160" customFormat="1" x14ac:dyDescent="0.3"/>
    <row r="7265" s="160" customFormat="1" x14ac:dyDescent="0.3"/>
    <row r="7266" s="160" customFormat="1" x14ac:dyDescent="0.3"/>
    <row r="7267" s="160" customFormat="1" x14ac:dyDescent="0.3"/>
    <row r="7268" s="160" customFormat="1" x14ac:dyDescent="0.3"/>
    <row r="7269" s="160" customFormat="1" x14ac:dyDescent="0.3"/>
    <row r="7270" s="160" customFormat="1" x14ac:dyDescent="0.3"/>
    <row r="7271" s="160" customFormat="1" x14ac:dyDescent="0.3"/>
    <row r="7272" s="160" customFormat="1" x14ac:dyDescent="0.3"/>
    <row r="7273" s="160" customFormat="1" x14ac:dyDescent="0.3"/>
    <row r="7274" s="160" customFormat="1" x14ac:dyDescent="0.3"/>
    <row r="7275" s="160" customFormat="1" x14ac:dyDescent="0.3"/>
    <row r="7276" s="160" customFormat="1" x14ac:dyDescent="0.3"/>
    <row r="7277" s="160" customFormat="1" x14ac:dyDescent="0.3"/>
    <row r="7278" s="160" customFormat="1" x14ac:dyDescent="0.3"/>
    <row r="7279" s="160" customFormat="1" x14ac:dyDescent="0.3"/>
    <row r="7280" s="160" customFormat="1" x14ac:dyDescent="0.3"/>
    <row r="7281" s="160" customFormat="1" x14ac:dyDescent="0.3"/>
    <row r="7282" s="160" customFormat="1" x14ac:dyDescent="0.3"/>
    <row r="7283" s="160" customFormat="1" x14ac:dyDescent="0.3"/>
    <row r="7284" s="160" customFormat="1" x14ac:dyDescent="0.3"/>
    <row r="7285" s="160" customFormat="1" x14ac:dyDescent="0.3"/>
    <row r="7286" s="160" customFormat="1" x14ac:dyDescent="0.3"/>
    <row r="7287" s="160" customFormat="1" x14ac:dyDescent="0.3"/>
    <row r="7288" s="160" customFormat="1" x14ac:dyDescent="0.3"/>
    <row r="7289" s="160" customFormat="1" x14ac:dyDescent="0.3"/>
    <row r="7290" s="160" customFormat="1" x14ac:dyDescent="0.3"/>
    <row r="7291" s="160" customFormat="1" x14ac:dyDescent="0.3"/>
    <row r="7292" s="160" customFormat="1" x14ac:dyDescent="0.3"/>
    <row r="7293" s="160" customFormat="1" x14ac:dyDescent="0.3"/>
    <row r="7294" s="160" customFormat="1" x14ac:dyDescent="0.3"/>
    <row r="7295" s="160" customFormat="1" x14ac:dyDescent="0.3"/>
    <row r="7296" s="160" customFormat="1" x14ac:dyDescent="0.3"/>
    <row r="7297" s="160" customFormat="1" x14ac:dyDescent="0.3"/>
    <row r="7298" s="160" customFormat="1" x14ac:dyDescent="0.3"/>
    <row r="7299" s="160" customFormat="1" x14ac:dyDescent="0.3"/>
    <row r="7300" s="160" customFormat="1" x14ac:dyDescent="0.3"/>
    <row r="7301" s="160" customFormat="1" x14ac:dyDescent="0.3"/>
    <row r="7302" s="160" customFormat="1" x14ac:dyDescent="0.3"/>
    <row r="7303" s="160" customFormat="1" x14ac:dyDescent="0.3"/>
    <row r="7304" s="160" customFormat="1" x14ac:dyDescent="0.3"/>
    <row r="7305" s="160" customFormat="1" x14ac:dyDescent="0.3"/>
    <row r="7306" s="160" customFormat="1" x14ac:dyDescent="0.3"/>
    <row r="7307" s="160" customFormat="1" x14ac:dyDescent="0.3"/>
    <row r="7308" s="160" customFormat="1" x14ac:dyDescent="0.3"/>
    <row r="7309" s="160" customFormat="1" x14ac:dyDescent="0.3"/>
    <row r="7310" s="160" customFormat="1" x14ac:dyDescent="0.3"/>
    <row r="7311" s="160" customFormat="1" x14ac:dyDescent="0.3"/>
    <row r="7312" s="160" customFormat="1" x14ac:dyDescent="0.3"/>
    <row r="7313" s="160" customFormat="1" x14ac:dyDescent="0.3"/>
    <row r="7314" s="160" customFormat="1" x14ac:dyDescent="0.3"/>
    <row r="7315" s="160" customFormat="1" x14ac:dyDescent="0.3"/>
    <row r="7316" s="160" customFormat="1" x14ac:dyDescent="0.3"/>
    <row r="7317" s="160" customFormat="1" x14ac:dyDescent="0.3"/>
    <row r="7318" s="160" customFormat="1" x14ac:dyDescent="0.3"/>
    <row r="7319" s="160" customFormat="1" x14ac:dyDescent="0.3"/>
    <row r="7320" s="160" customFormat="1" x14ac:dyDescent="0.3"/>
    <row r="7321" s="160" customFormat="1" x14ac:dyDescent="0.3"/>
    <row r="7322" s="160" customFormat="1" x14ac:dyDescent="0.3"/>
    <row r="7323" s="160" customFormat="1" x14ac:dyDescent="0.3"/>
    <row r="7324" s="160" customFormat="1" x14ac:dyDescent="0.3"/>
    <row r="7325" s="160" customFormat="1" x14ac:dyDescent="0.3"/>
    <row r="7326" s="160" customFormat="1" x14ac:dyDescent="0.3"/>
    <row r="7327" s="160" customFormat="1" x14ac:dyDescent="0.3"/>
    <row r="7328" s="160" customFormat="1" x14ac:dyDescent="0.3"/>
    <row r="7329" s="160" customFormat="1" x14ac:dyDescent="0.3"/>
    <row r="7330" s="160" customFormat="1" x14ac:dyDescent="0.3"/>
    <row r="7331" s="160" customFormat="1" x14ac:dyDescent="0.3"/>
    <row r="7332" s="160" customFormat="1" x14ac:dyDescent="0.3"/>
    <row r="7333" s="160" customFormat="1" x14ac:dyDescent="0.3"/>
    <row r="7334" s="160" customFormat="1" x14ac:dyDescent="0.3"/>
    <row r="7335" s="160" customFormat="1" x14ac:dyDescent="0.3"/>
    <row r="7336" s="160" customFormat="1" x14ac:dyDescent="0.3"/>
    <row r="7337" s="160" customFormat="1" x14ac:dyDescent="0.3"/>
    <row r="7338" s="160" customFormat="1" x14ac:dyDescent="0.3"/>
    <row r="7339" s="160" customFormat="1" x14ac:dyDescent="0.3"/>
    <row r="7340" s="160" customFormat="1" x14ac:dyDescent="0.3"/>
    <row r="7341" s="160" customFormat="1" x14ac:dyDescent="0.3"/>
    <row r="7342" s="160" customFormat="1" x14ac:dyDescent="0.3"/>
    <row r="7343" s="160" customFormat="1" x14ac:dyDescent="0.3"/>
    <row r="7344" s="160" customFormat="1" x14ac:dyDescent="0.3"/>
    <row r="7345" s="160" customFormat="1" x14ac:dyDescent="0.3"/>
    <row r="7346" s="160" customFormat="1" x14ac:dyDescent="0.3"/>
    <row r="7347" s="160" customFormat="1" x14ac:dyDescent="0.3"/>
    <row r="7348" s="160" customFormat="1" x14ac:dyDescent="0.3"/>
    <row r="7349" s="160" customFormat="1" x14ac:dyDescent="0.3"/>
    <row r="7350" s="160" customFormat="1" x14ac:dyDescent="0.3"/>
    <row r="7351" s="160" customFormat="1" x14ac:dyDescent="0.3"/>
    <row r="7352" s="160" customFormat="1" x14ac:dyDescent="0.3"/>
    <row r="7353" s="160" customFormat="1" x14ac:dyDescent="0.3"/>
    <row r="7354" s="160" customFormat="1" x14ac:dyDescent="0.3"/>
    <row r="7355" s="160" customFormat="1" x14ac:dyDescent="0.3"/>
    <row r="7356" s="160" customFormat="1" x14ac:dyDescent="0.3"/>
    <row r="7357" s="160" customFormat="1" x14ac:dyDescent="0.3"/>
    <row r="7358" s="160" customFormat="1" x14ac:dyDescent="0.3"/>
    <row r="7359" s="160" customFormat="1" x14ac:dyDescent="0.3"/>
    <row r="7360" s="160" customFormat="1" x14ac:dyDescent="0.3"/>
    <row r="7361" s="160" customFormat="1" x14ac:dyDescent="0.3"/>
    <row r="7362" s="160" customFormat="1" x14ac:dyDescent="0.3"/>
    <row r="7363" s="160" customFormat="1" x14ac:dyDescent="0.3"/>
    <row r="7364" s="160" customFormat="1" x14ac:dyDescent="0.3"/>
    <row r="7365" s="160" customFormat="1" x14ac:dyDescent="0.3"/>
    <row r="7366" s="160" customFormat="1" x14ac:dyDescent="0.3"/>
    <row r="7367" s="160" customFormat="1" x14ac:dyDescent="0.3"/>
    <row r="7368" s="160" customFormat="1" x14ac:dyDescent="0.3"/>
    <row r="7369" s="160" customFormat="1" x14ac:dyDescent="0.3"/>
    <row r="7370" s="160" customFormat="1" x14ac:dyDescent="0.3"/>
    <row r="7371" s="160" customFormat="1" x14ac:dyDescent="0.3"/>
    <row r="7372" s="160" customFormat="1" x14ac:dyDescent="0.3"/>
    <row r="7373" s="160" customFormat="1" x14ac:dyDescent="0.3"/>
    <row r="7374" s="160" customFormat="1" x14ac:dyDescent="0.3"/>
    <row r="7375" s="160" customFormat="1" x14ac:dyDescent="0.3"/>
    <row r="7376" s="160" customFormat="1" x14ac:dyDescent="0.3"/>
    <row r="7377" s="160" customFormat="1" x14ac:dyDescent="0.3"/>
    <row r="7378" s="160" customFormat="1" x14ac:dyDescent="0.3"/>
    <row r="7379" s="160" customFormat="1" x14ac:dyDescent="0.3"/>
    <row r="7380" s="160" customFormat="1" x14ac:dyDescent="0.3"/>
    <row r="7381" s="160" customFormat="1" x14ac:dyDescent="0.3"/>
    <row r="7382" s="160" customFormat="1" x14ac:dyDescent="0.3"/>
    <row r="7383" s="160" customFormat="1" x14ac:dyDescent="0.3"/>
    <row r="7384" s="160" customFormat="1" x14ac:dyDescent="0.3"/>
    <row r="7385" s="160" customFormat="1" x14ac:dyDescent="0.3"/>
    <row r="7386" s="160" customFormat="1" x14ac:dyDescent="0.3"/>
    <row r="7387" s="160" customFormat="1" x14ac:dyDescent="0.3"/>
    <row r="7388" s="160" customFormat="1" x14ac:dyDescent="0.3"/>
    <row r="7389" s="160" customFormat="1" x14ac:dyDescent="0.3"/>
    <row r="7390" s="160" customFormat="1" x14ac:dyDescent="0.3"/>
    <row r="7391" s="160" customFormat="1" x14ac:dyDescent="0.3"/>
    <row r="7392" s="160" customFormat="1" x14ac:dyDescent="0.3"/>
    <row r="7393" s="160" customFormat="1" x14ac:dyDescent="0.3"/>
    <row r="7394" s="160" customFormat="1" x14ac:dyDescent="0.3"/>
    <row r="7395" s="160" customFormat="1" x14ac:dyDescent="0.3"/>
    <row r="7396" s="160" customFormat="1" x14ac:dyDescent="0.3"/>
    <row r="7397" s="160" customFormat="1" x14ac:dyDescent="0.3"/>
    <row r="7398" s="160" customFormat="1" x14ac:dyDescent="0.3"/>
    <row r="7399" s="160" customFormat="1" x14ac:dyDescent="0.3"/>
    <row r="7400" s="160" customFormat="1" x14ac:dyDescent="0.3"/>
    <row r="7401" s="160" customFormat="1" x14ac:dyDescent="0.3"/>
    <row r="7402" s="160" customFormat="1" x14ac:dyDescent="0.3"/>
    <row r="7403" s="160" customFormat="1" x14ac:dyDescent="0.3"/>
    <row r="7404" s="160" customFormat="1" x14ac:dyDescent="0.3"/>
    <row r="7405" s="160" customFormat="1" x14ac:dyDescent="0.3"/>
    <row r="7406" s="160" customFormat="1" x14ac:dyDescent="0.3"/>
    <row r="7407" s="160" customFormat="1" x14ac:dyDescent="0.3"/>
    <row r="7408" s="160" customFormat="1" x14ac:dyDescent="0.3"/>
    <row r="7409" s="160" customFormat="1" x14ac:dyDescent="0.3"/>
    <row r="7410" s="160" customFormat="1" x14ac:dyDescent="0.3"/>
    <row r="7411" s="160" customFormat="1" x14ac:dyDescent="0.3"/>
    <row r="7412" s="160" customFormat="1" x14ac:dyDescent="0.3"/>
    <row r="7413" s="160" customFormat="1" x14ac:dyDescent="0.3"/>
    <row r="7414" s="160" customFormat="1" x14ac:dyDescent="0.3"/>
    <row r="7415" s="160" customFormat="1" x14ac:dyDescent="0.3"/>
    <row r="7416" s="160" customFormat="1" x14ac:dyDescent="0.3"/>
    <row r="7417" s="160" customFormat="1" x14ac:dyDescent="0.3"/>
    <row r="7418" s="160" customFormat="1" x14ac:dyDescent="0.3"/>
    <row r="7419" s="160" customFormat="1" x14ac:dyDescent="0.3"/>
    <row r="7420" s="160" customFormat="1" x14ac:dyDescent="0.3"/>
    <row r="7421" s="160" customFormat="1" x14ac:dyDescent="0.3"/>
    <row r="7422" s="160" customFormat="1" x14ac:dyDescent="0.3"/>
    <row r="7423" s="160" customFormat="1" x14ac:dyDescent="0.3"/>
    <row r="7424" s="160" customFormat="1" x14ac:dyDescent="0.3"/>
    <row r="7425" s="160" customFormat="1" x14ac:dyDescent="0.3"/>
    <row r="7426" s="160" customFormat="1" x14ac:dyDescent="0.3"/>
    <row r="7427" s="160" customFormat="1" x14ac:dyDescent="0.3"/>
    <row r="7428" s="160" customFormat="1" x14ac:dyDescent="0.3"/>
    <row r="7429" s="160" customFormat="1" x14ac:dyDescent="0.3"/>
    <row r="7430" s="160" customFormat="1" x14ac:dyDescent="0.3"/>
    <row r="7431" s="160" customFormat="1" x14ac:dyDescent="0.3"/>
    <row r="7432" s="160" customFormat="1" x14ac:dyDescent="0.3"/>
    <row r="7433" s="160" customFormat="1" x14ac:dyDescent="0.3"/>
    <row r="7434" s="160" customFormat="1" x14ac:dyDescent="0.3"/>
    <row r="7435" s="160" customFormat="1" x14ac:dyDescent="0.3"/>
    <row r="7436" s="160" customFormat="1" x14ac:dyDescent="0.3"/>
    <row r="7437" s="160" customFormat="1" x14ac:dyDescent="0.3"/>
    <row r="7438" s="160" customFormat="1" x14ac:dyDescent="0.3"/>
    <row r="7439" s="160" customFormat="1" x14ac:dyDescent="0.3"/>
    <row r="7440" s="160" customFormat="1" x14ac:dyDescent="0.3"/>
    <row r="7441" s="160" customFormat="1" x14ac:dyDescent="0.3"/>
    <row r="7442" s="160" customFormat="1" x14ac:dyDescent="0.3"/>
    <row r="7443" s="160" customFormat="1" x14ac:dyDescent="0.3"/>
    <row r="7444" s="160" customFormat="1" x14ac:dyDescent="0.3"/>
    <row r="7445" s="160" customFormat="1" x14ac:dyDescent="0.3"/>
    <row r="7446" s="160" customFormat="1" x14ac:dyDescent="0.3"/>
    <row r="7447" s="160" customFormat="1" x14ac:dyDescent="0.3"/>
    <row r="7448" s="160" customFormat="1" x14ac:dyDescent="0.3"/>
    <row r="7449" s="160" customFormat="1" x14ac:dyDescent="0.3"/>
    <row r="7450" s="160" customFormat="1" x14ac:dyDescent="0.3"/>
    <row r="7451" s="160" customFormat="1" x14ac:dyDescent="0.3"/>
    <row r="7452" s="160" customFormat="1" x14ac:dyDescent="0.3"/>
    <row r="7453" s="160" customFormat="1" x14ac:dyDescent="0.3"/>
    <row r="7454" s="160" customFormat="1" x14ac:dyDescent="0.3"/>
    <row r="7455" s="160" customFormat="1" x14ac:dyDescent="0.3"/>
    <row r="7456" s="160" customFormat="1" x14ac:dyDescent="0.3"/>
    <row r="7457" s="160" customFormat="1" x14ac:dyDescent="0.3"/>
    <row r="7458" s="160" customFormat="1" x14ac:dyDescent="0.3"/>
    <row r="7459" s="160" customFormat="1" x14ac:dyDescent="0.3"/>
    <row r="7460" s="160" customFormat="1" x14ac:dyDescent="0.3"/>
    <row r="7461" s="160" customFormat="1" x14ac:dyDescent="0.3"/>
    <row r="7462" s="160" customFormat="1" x14ac:dyDescent="0.3"/>
    <row r="7463" s="160" customFormat="1" x14ac:dyDescent="0.3"/>
    <row r="7464" s="160" customFormat="1" x14ac:dyDescent="0.3"/>
    <row r="7465" s="160" customFormat="1" x14ac:dyDescent="0.3"/>
    <row r="7466" s="160" customFormat="1" x14ac:dyDescent="0.3"/>
    <row r="7467" s="160" customFormat="1" x14ac:dyDescent="0.3"/>
    <row r="7468" s="160" customFormat="1" x14ac:dyDescent="0.3"/>
    <row r="7469" s="160" customFormat="1" x14ac:dyDescent="0.3"/>
    <row r="7470" s="160" customFormat="1" x14ac:dyDescent="0.3"/>
    <row r="7471" s="160" customFormat="1" x14ac:dyDescent="0.3"/>
    <row r="7472" s="160" customFormat="1" x14ac:dyDescent="0.3"/>
    <row r="7473" s="160" customFormat="1" x14ac:dyDescent="0.3"/>
    <row r="7474" s="160" customFormat="1" x14ac:dyDescent="0.3"/>
    <row r="7475" s="160" customFormat="1" x14ac:dyDescent="0.3"/>
    <row r="7476" s="160" customFormat="1" x14ac:dyDescent="0.3"/>
    <row r="7477" s="160" customFormat="1" x14ac:dyDescent="0.3"/>
    <row r="7478" s="160" customFormat="1" x14ac:dyDescent="0.3"/>
    <row r="7479" s="160" customFormat="1" x14ac:dyDescent="0.3"/>
    <row r="7480" s="160" customFormat="1" x14ac:dyDescent="0.3"/>
    <row r="7481" s="160" customFormat="1" x14ac:dyDescent="0.3"/>
    <row r="7482" s="160" customFormat="1" x14ac:dyDescent="0.3"/>
    <row r="7483" s="160" customFormat="1" x14ac:dyDescent="0.3"/>
    <row r="7484" s="160" customFormat="1" x14ac:dyDescent="0.3"/>
    <row r="7485" s="160" customFormat="1" x14ac:dyDescent="0.3"/>
    <row r="7486" s="160" customFormat="1" x14ac:dyDescent="0.3"/>
    <row r="7487" s="160" customFormat="1" x14ac:dyDescent="0.3"/>
    <row r="7488" s="160" customFormat="1" x14ac:dyDescent="0.3"/>
    <row r="7489" s="160" customFormat="1" x14ac:dyDescent="0.3"/>
    <row r="7490" s="160" customFormat="1" x14ac:dyDescent="0.3"/>
    <row r="7491" s="160" customFormat="1" x14ac:dyDescent="0.3"/>
    <row r="7492" s="160" customFormat="1" x14ac:dyDescent="0.3"/>
    <row r="7493" s="160" customFormat="1" x14ac:dyDescent="0.3"/>
    <row r="7494" s="160" customFormat="1" x14ac:dyDescent="0.3"/>
    <row r="7495" s="160" customFormat="1" x14ac:dyDescent="0.3"/>
    <row r="7496" s="160" customFormat="1" x14ac:dyDescent="0.3"/>
    <row r="7497" s="160" customFormat="1" x14ac:dyDescent="0.3"/>
    <row r="7498" s="160" customFormat="1" x14ac:dyDescent="0.3"/>
    <row r="7499" s="160" customFormat="1" x14ac:dyDescent="0.3"/>
    <row r="7500" s="160" customFormat="1" x14ac:dyDescent="0.3"/>
    <row r="7501" s="160" customFormat="1" x14ac:dyDescent="0.3"/>
    <row r="7502" s="160" customFormat="1" x14ac:dyDescent="0.3"/>
    <row r="7503" s="160" customFormat="1" x14ac:dyDescent="0.3"/>
    <row r="7504" s="160" customFormat="1" x14ac:dyDescent="0.3"/>
    <row r="7505" s="160" customFormat="1" x14ac:dyDescent="0.3"/>
    <row r="7506" s="160" customFormat="1" x14ac:dyDescent="0.3"/>
    <row r="7507" s="160" customFormat="1" x14ac:dyDescent="0.3"/>
    <row r="7508" s="160" customFormat="1" x14ac:dyDescent="0.3"/>
    <row r="7509" s="160" customFormat="1" x14ac:dyDescent="0.3"/>
    <row r="7510" s="160" customFormat="1" x14ac:dyDescent="0.3"/>
    <row r="7511" s="160" customFormat="1" x14ac:dyDescent="0.3"/>
    <row r="7512" s="160" customFormat="1" x14ac:dyDescent="0.3"/>
    <row r="7513" s="160" customFormat="1" x14ac:dyDescent="0.3"/>
    <row r="7514" s="160" customFormat="1" x14ac:dyDescent="0.3"/>
    <row r="7515" s="160" customFormat="1" x14ac:dyDescent="0.3"/>
    <row r="7516" s="160" customFormat="1" x14ac:dyDescent="0.3"/>
    <row r="7517" s="160" customFormat="1" x14ac:dyDescent="0.3"/>
    <row r="7518" s="160" customFormat="1" x14ac:dyDescent="0.3"/>
    <row r="7519" s="160" customFormat="1" x14ac:dyDescent="0.3"/>
    <row r="7520" s="160" customFormat="1" x14ac:dyDescent="0.3"/>
    <row r="7521" s="160" customFormat="1" x14ac:dyDescent="0.3"/>
    <row r="7522" s="160" customFormat="1" x14ac:dyDescent="0.3"/>
    <row r="7523" s="160" customFormat="1" x14ac:dyDescent="0.3"/>
    <row r="7524" s="160" customFormat="1" x14ac:dyDescent="0.3"/>
    <row r="7525" s="160" customFormat="1" x14ac:dyDescent="0.3"/>
    <row r="7526" s="160" customFormat="1" x14ac:dyDescent="0.3"/>
    <row r="7527" s="160" customFormat="1" x14ac:dyDescent="0.3"/>
    <row r="7528" s="160" customFormat="1" x14ac:dyDescent="0.3"/>
    <row r="7529" s="160" customFormat="1" x14ac:dyDescent="0.3"/>
    <row r="7530" s="160" customFormat="1" x14ac:dyDescent="0.3"/>
    <row r="7531" s="160" customFormat="1" x14ac:dyDescent="0.3"/>
    <row r="7532" s="160" customFormat="1" x14ac:dyDescent="0.3"/>
    <row r="7533" s="160" customFormat="1" x14ac:dyDescent="0.3"/>
    <row r="7534" s="160" customFormat="1" x14ac:dyDescent="0.3"/>
    <row r="7535" s="160" customFormat="1" x14ac:dyDescent="0.3"/>
    <row r="7536" s="160" customFormat="1" x14ac:dyDescent="0.3"/>
    <row r="7537" s="160" customFormat="1" x14ac:dyDescent="0.3"/>
    <row r="7538" s="160" customFormat="1" x14ac:dyDescent="0.3"/>
    <row r="7539" s="160" customFormat="1" x14ac:dyDescent="0.3"/>
    <row r="7540" s="160" customFormat="1" x14ac:dyDescent="0.3"/>
    <row r="7541" s="160" customFormat="1" x14ac:dyDescent="0.3"/>
    <row r="7542" s="160" customFormat="1" x14ac:dyDescent="0.3"/>
    <row r="7543" s="160" customFormat="1" x14ac:dyDescent="0.3"/>
    <row r="7544" s="160" customFormat="1" x14ac:dyDescent="0.3"/>
    <row r="7545" s="160" customFormat="1" x14ac:dyDescent="0.3"/>
    <row r="7546" s="160" customFormat="1" x14ac:dyDescent="0.3"/>
    <row r="7547" s="160" customFormat="1" x14ac:dyDescent="0.3"/>
    <row r="7548" s="160" customFormat="1" x14ac:dyDescent="0.3"/>
    <row r="7549" s="160" customFormat="1" x14ac:dyDescent="0.3"/>
    <row r="7550" s="160" customFormat="1" x14ac:dyDescent="0.3"/>
    <row r="7551" s="160" customFormat="1" x14ac:dyDescent="0.3"/>
    <row r="7552" s="160" customFormat="1" x14ac:dyDescent="0.3"/>
    <row r="7553" s="160" customFormat="1" x14ac:dyDescent="0.3"/>
    <row r="7554" s="160" customFormat="1" x14ac:dyDescent="0.3"/>
    <row r="7555" s="160" customFormat="1" x14ac:dyDescent="0.3"/>
    <row r="7556" s="160" customFormat="1" x14ac:dyDescent="0.3"/>
    <row r="7557" s="160" customFormat="1" x14ac:dyDescent="0.3"/>
    <row r="7558" s="160" customFormat="1" x14ac:dyDescent="0.3"/>
    <row r="7559" s="160" customFormat="1" x14ac:dyDescent="0.3"/>
    <row r="7560" s="160" customFormat="1" x14ac:dyDescent="0.3"/>
    <row r="7561" s="160" customFormat="1" x14ac:dyDescent="0.3"/>
    <row r="7562" s="160" customFormat="1" x14ac:dyDescent="0.3"/>
    <row r="7563" s="160" customFormat="1" x14ac:dyDescent="0.3"/>
    <row r="7564" s="160" customFormat="1" x14ac:dyDescent="0.3"/>
    <row r="7565" s="160" customFormat="1" x14ac:dyDescent="0.3"/>
    <row r="7566" s="160" customFormat="1" x14ac:dyDescent="0.3"/>
    <row r="7567" s="160" customFormat="1" x14ac:dyDescent="0.3"/>
    <row r="7568" s="160" customFormat="1" x14ac:dyDescent="0.3"/>
    <row r="7569" s="160" customFormat="1" x14ac:dyDescent="0.3"/>
    <row r="7570" s="160" customFormat="1" x14ac:dyDescent="0.3"/>
    <row r="7571" s="160" customFormat="1" x14ac:dyDescent="0.3"/>
    <row r="7572" s="160" customFormat="1" x14ac:dyDescent="0.3"/>
    <row r="7573" s="160" customFormat="1" x14ac:dyDescent="0.3"/>
    <row r="7574" s="160" customFormat="1" x14ac:dyDescent="0.3"/>
    <row r="7575" s="160" customFormat="1" x14ac:dyDescent="0.3"/>
    <row r="7576" s="160" customFormat="1" x14ac:dyDescent="0.3"/>
    <row r="7577" s="160" customFormat="1" x14ac:dyDescent="0.3"/>
    <row r="7578" s="160" customFormat="1" x14ac:dyDescent="0.3"/>
    <row r="7579" s="160" customFormat="1" x14ac:dyDescent="0.3"/>
    <row r="7580" s="160" customFormat="1" x14ac:dyDescent="0.3"/>
    <row r="7581" s="160" customFormat="1" x14ac:dyDescent="0.3"/>
    <row r="7582" s="160" customFormat="1" x14ac:dyDescent="0.3"/>
    <row r="7583" s="160" customFormat="1" x14ac:dyDescent="0.3"/>
    <row r="7584" s="160" customFormat="1" x14ac:dyDescent="0.3"/>
    <row r="7585" s="160" customFormat="1" x14ac:dyDescent="0.3"/>
    <row r="7586" s="160" customFormat="1" x14ac:dyDescent="0.3"/>
    <row r="7587" s="160" customFormat="1" x14ac:dyDescent="0.3"/>
    <row r="7588" s="160" customFormat="1" x14ac:dyDescent="0.3"/>
    <row r="7589" s="160" customFormat="1" x14ac:dyDescent="0.3"/>
    <row r="7590" s="160" customFormat="1" x14ac:dyDescent="0.3"/>
    <row r="7591" s="160" customFormat="1" x14ac:dyDescent="0.3"/>
    <row r="7592" s="160" customFormat="1" x14ac:dyDescent="0.3"/>
    <row r="7593" s="160" customFormat="1" x14ac:dyDescent="0.3"/>
    <row r="7594" s="160" customFormat="1" x14ac:dyDescent="0.3"/>
    <row r="7595" s="160" customFormat="1" x14ac:dyDescent="0.3"/>
    <row r="7596" s="160" customFormat="1" x14ac:dyDescent="0.3"/>
    <row r="7597" s="160" customFormat="1" x14ac:dyDescent="0.3"/>
    <row r="7598" s="160" customFormat="1" x14ac:dyDescent="0.3"/>
    <row r="7599" s="160" customFormat="1" x14ac:dyDescent="0.3"/>
    <row r="7600" s="160" customFormat="1" x14ac:dyDescent="0.3"/>
    <row r="7601" s="160" customFormat="1" x14ac:dyDescent="0.3"/>
    <row r="7602" s="160" customFormat="1" x14ac:dyDescent="0.3"/>
    <row r="7603" s="160" customFormat="1" x14ac:dyDescent="0.3"/>
    <row r="7604" s="160" customFormat="1" x14ac:dyDescent="0.3"/>
    <row r="7605" s="160" customFormat="1" x14ac:dyDescent="0.3"/>
    <row r="7606" s="160" customFormat="1" x14ac:dyDescent="0.3"/>
    <row r="7607" s="160" customFormat="1" x14ac:dyDescent="0.3"/>
    <row r="7608" s="160" customFormat="1" x14ac:dyDescent="0.3"/>
    <row r="7609" s="160" customFormat="1" x14ac:dyDescent="0.3"/>
    <row r="7610" s="160" customFormat="1" x14ac:dyDescent="0.3"/>
    <row r="7611" s="160" customFormat="1" x14ac:dyDescent="0.3"/>
    <row r="7612" s="160" customFormat="1" x14ac:dyDescent="0.3"/>
    <row r="7613" s="160" customFormat="1" x14ac:dyDescent="0.3"/>
    <row r="7614" s="160" customFormat="1" x14ac:dyDescent="0.3"/>
    <row r="7615" s="160" customFormat="1" x14ac:dyDescent="0.3"/>
    <row r="7616" s="160" customFormat="1" x14ac:dyDescent="0.3"/>
    <row r="7617" s="160" customFormat="1" x14ac:dyDescent="0.3"/>
    <row r="7618" s="160" customFormat="1" x14ac:dyDescent="0.3"/>
    <row r="7619" s="160" customFormat="1" x14ac:dyDescent="0.3"/>
    <row r="7620" s="160" customFormat="1" x14ac:dyDescent="0.3"/>
    <row r="7621" s="160" customFormat="1" x14ac:dyDescent="0.3"/>
    <row r="7622" s="160" customFormat="1" x14ac:dyDescent="0.3"/>
    <row r="7623" s="160" customFormat="1" x14ac:dyDescent="0.3"/>
    <row r="7624" s="160" customFormat="1" x14ac:dyDescent="0.3"/>
    <row r="7625" s="160" customFormat="1" x14ac:dyDescent="0.3"/>
    <row r="7626" s="160" customFormat="1" x14ac:dyDescent="0.3"/>
    <row r="7627" s="160" customFormat="1" x14ac:dyDescent="0.3"/>
    <row r="7628" s="160" customFormat="1" x14ac:dyDescent="0.3"/>
    <row r="7629" s="160" customFormat="1" x14ac:dyDescent="0.3"/>
    <row r="7630" s="160" customFormat="1" x14ac:dyDescent="0.3"/>
    <row r="7631" s="160" customFormat="1" x14ac:dyDescent="0.3"/>
    <row r="7632" s="160" customFormat="1" x14ac:dyDescent="0.3"/>
    <row r="7633" s="160" customFormat="1" x14ac:dyDescent="0.3"/>
    <row r="7634" s="160" customFormat="1" x14ac:dyDescent="0.3"/>
    <row r="7635" s="160" customFormat="1" x14ac:dyDescent="0.3"/>
    <row r="7636" s="160" customFormat="1" x14ac:dyDescent="0.3"/>
    <row r="7637" s="160" customFormat="1" x14ac:dyDescent="0.3"/>
    <row r="7638" s="160" customFormat="1" x14ac:dyDescent="0.3"/>
    <row r="7639" s="160" customFormat="1" x14ac:dyDescent="0.3"/>
    <row r="7640" s="160" customFormat="1" x14ac:dyDescent="0.3"/>
    <row r="7641" s="160" customFormat="1" x14ac:dyDescent="0.3"/>
    <row r="7642" s="160" customFormat="1" x14ac:dyDescent="0.3"/>
    <row r="7643" s="160" customFormat="1" x14ac:dyDescent="0.3"/>
    <row r="7644" s="160" customFormat="1" x14ac:dyDescent="0.3"/>
    <row r="7645" s="160" customFormat="1" x14ac:dyDescent="0.3"/>
    <row r="7646" s="160" customFormat="1" x14ac:dyDescent="0.3"/>
    <row r="7647" s="160" customFormat="1" x14ac:dyDescent="0.3"/>
    <row r="7648" s="160" customFormat="1" x14ac:dyDescent="0.3"/>
    <row r="7649" s="160" customFormat="1" x14ac:dyDescent="0.3"/>
    <row r="7650" s="160" customFormat="1" x14ac:dyDescent="0.3"/>
    <row r="7651" s="160" customFormat="1" x14ac:dyDescent="0.3"/>
    <row r="7652" s="160" customFormat="1" x14ac:dyDescent="0.3"/>
    <row r="7653" s="160" customFormat="1" x14ac:dyDescent="0.3"/>
    <row r="7654" s="160" customFormat="1" x14ac:dyDescent="0.3"/>
    <row r="7655" s="160" customFormat="1" x14ac:dyDescent="0.3"/>
    <row r="7656" s="160" customFormat="1" x14ac:dyDescent="0.3"/>
    <row r="7657" s="160" customFormat="1" x14ac:dyDescent="0.3"/>
    <row r="7658" s="160" customFormat="1" x14ac:dyDescent="0.3"/>
    <row r="7659" s="160" customFormat="1" x14ac:dyDescent="0.3"/>
    <row r="7660" s="160" customFormat="1" x14ac:dyDescent="0.3"/>
    <row r="7661" s="160" customFormat="1" x14ac:dyDescent="0.3"/>
    <row r="7662" s="160" customFormat="1" x14ac:dyDescent="0.3"/>
    <row r="7663" s="160" customFormat="1" x14ac:dyDescent="0.3"/>
    <row r="7664" s="160" customFormat="1" x14ac:dyDescent="0.3"/>
    <row r="7665" s="160" customFormat="1" x14ac:dyDescent="0.3"/>
    <row r="7666" s="160" customFormat="1" x14ac:dyDescent="0.3"/>
    <row r="7667" s="160" customFormat="1" x14ac:dyDescent="0.3"/>
    <row r="7668" s="160" customFormat="1" x14ac:dyDescent="0.3"/>
    <row r="7669" s="160" customFormat="1" x14ac:dyDescent="0.3"/>
    <row r="7670" s="160" customFormat="1" x14ac:dyDescent="0.3"/>
    <row r="7671" s="160" customFormat="1" x14ac:dyDescent="0.3"/>
    <row r="7672" s="160" customFormat="1" x14ac:dyDescent="0.3"/>
    <row r="7673" s="160" customFormat="1" x14ac:dyDescent="0.3"/>
    <row r="7674" s="160" customFormat="1" x14ac:dyDescent="0.3"/>
    <row r="7675" s="160" customFormat="1" x14ac:dyDescent="0.3"/>
    <row r="7676" s="160" customFormat="1" x14ac:dyDescent="0.3"/>
    <row r="7677" s="160" customFormat="1" x14ac:dyDescent="0.3"/>
    <row r="7678" s="160" customFormat="1" x14ac:dyDescent="0.3"/>
    <row r="7679" s="160" customFormat="1" x14ac:dyDescent="0.3"/>
    <row r="7680" s="160" customFormat="1" x14ac:dyDescent="0.3"/>
    <row r="7681" s="160" customFormat="1" x14ac:dyDescent="0.3"/>
    <row r="7682" s="160" customFormat="1" x14ac:dyDescent="0.3"/>
    <row r="7683" s="160" customFormat="1" x14ac:dyDescent="0.3"/>
    <row r="7684" s="160" customFormat="1" x14ac:dyDescent="0.3"/>
    <row r="7685" s="160" customFormat="1" x14ac:dyDescent="0.3"/>
    <row r="7686" s="160" customFormat="1" x14ac:dyDescent="0.3"/>
    <row r="7687" s="160" customFormat="1" x14ac:dyDescent="0.3"/>
    <row r="7688" s="160" customFormat="1" x14ac:dyDescent="0.3"/>
    <row r="7689" s="160" customFormat="1" x14ac:dyDescent="0.3"/>
    <row r="7690" s="160" customFormat="1" x14ac:dyDescent="0.3"/>
    <row r="7691" s="160" customFormat="1" x14ac:dyDescent="0.3"/>
    <row r="7692" s="160" customFormat="1" x14ac:dyDescent="0.3"/>
    <row r="7693" s="160" customFormat="1" x14ac:dyDescent="0.3"/>
    <row r="7694" s="160" customFormat="1" x14ac:dyDescent="0.3"/>
    <row r="7695" s="160" customFormat="1" x14ac:dyDescent="0.3"/>
    <row r="7696" s="160" customFormat="1" x14ac:dyDescent="0.3"/>
    <row r="7697" s="160" customFormat="1" x14ac:dyDescent="0.3"/>
    <row r="7698" s="160" customFormat="1" x14ac:dyDescent="0.3"/>
    <row r="7699" s="160" customFormat="1" x14ac:dyDescent="0.3"/>
    <row r="7700" s="160" customFormat="1" x14ac:dyDescent="0.3"/>
    <row r="7701" s="160" customFormat="1" x14ac:dyDescent="0.3"/>
    <row r="7702" s="160" customFormat="1" x14ac:dyDescent="0.3"/>
    <row r="7703" s="160" customFormat="1" x14ac:dyDescent="0.3"/>
    <row r="7704" s="160" customFormat="1" x14ac:dyDescent="0.3"/>
    <row r="7705" s="160" customFormat="1" x14ac:dyDescent="0.3"/>
    <row r="7706" s="160" customFormat="1" x14ac:dyDescent="0.3"/>
    <row r="7707" s="160" customFormat="1" x14ac:dyDescent="0.3"/>
    <row r="7708" s="160" customFormat="1" x14ac:dyDescent="0.3"/>
    <row r="7709" s="160" customFormat="1" x14ac:dyDescent="0.3"/>
    <row r="7710" s="160" customFormat="1" x14ac:dyDescent="0.3"/>
    <row r="7711" s="160" customFormat="1" x14ac:dyDescent="0.3"/>
    <row r="7712" s="160" customFormat="1" x14ac:dyDescent="0.3"/>
    <row r="7713" s="160" customFormat="1" x14ac:dyDescent="0.3"/>
    <row r="7714" s="160" customFormat="1" x14ac:dyDescent="0.3"/>
    <row r="7715" s="160" customFormat="1" x14ac:dyDescent="0.3"/>
    <row r="7716" s="160" customFormat="1" x14ac:dyDescent="0.3"/>
    <row r="7717" s="160" customFormat="1" x14ac:dyDescent="0.3"/>
    <row r="7718" s="160" customFormat="1" x14ac:dyDescent="0.3"/>
    <row r="7719" s="160" customFormat="1" x14ac:dyDescent="0.3"/>
    <row r="7720" s="160" customFormat="1" x14ac:dyDescent="0.3"/>
    <row r="7721" s="160" customFormat="1" x14ac:dyDescent="0.3"/>
    <row r="7722" s="160" customFormat="1" x14ac:dyDescent="0.3"/>
    <row r="7723" s="160" customFormat="1" x14ac:dyDescent="0.3"/>
    <row r="7724" s="160" customFormat="1" x14ac:dyDescent="0.3"/>
    <row r="7725" s="160" customFormat="1" x14ac:dyDescent="0.3"/>
    <row r="7726" s="160" customFormat="1" x14ac:dyDescent="0.3"/>
    <row r="7727" s="160" customFormat="1" x14ac:dyDescent="0.3"/>
    <row r="7728" s="160" customFormat="1" x14ac:dyDescent="0.3"/>
    <row r="7729" s="160" customFormat="1" x14ac:dyDescent="0.3"/>
    <row r="7730" s="160" customFormat="1" x14ac:dyDescent="0.3"/>
    <row r="7731" s="160" customFormat="1" x14ac:dyDescent="0.3"/>
    <row r="7732" s="160" customFormat="1" x14ac:dyDescent="0.3"/>
    <row r="7733" s="160" customFormat="1" x14ac:dyDescent="0.3"/>
    <row r="7734" s="160" customFormat="1" x14ac:dyDescent="0.3"/>
    <row r="7735" s="160" customFormat="1" x14ac:dyDescent="0.3"/>
    <row r="7736" s="160" customFormat="1" x14ac:dyDescent="0.3"/>
    <row r="7737" s="160" customFormat="1" x14ac:dyDescent="0.3"/>
    <row r="7738" s="160" customFormat="1" x14ac:dyDescent="0.3"/>
    <row r="7739" s="160" customFormat="1" x14ac:dyDescent="0.3"/>
    <row r="7740" s="160" customFormat="1" x14ac:dyDescent="0.3"/>
    <row r="7741" s="160" customFormat="1" x14ac:dyDescent="0.3"/>
    <row r="7742" s="160" customFormat="1" x14ac:dyDescent="0.3"/>
    <row r="7743" s="160" customFormat="1" x14ac:dyDescent="0.3"/>
    <row r="7744" s="160" customFormat="1" x14ac:dyDescent="0.3"/>
    <row r="7745" s="160" customFormat="1" x14ac:dyDescent="0.3"/>
    <row r="7746" s="160" customFormat="1" x14ac:dyDescent="0.3"/>
    <row r="7747" s="160" customFormat="1" x14ac:dyDescent="0.3"/>
    <row r="7748" s="160" customFormat="1" x14ac:dyDescent="0.3"/>
    <row r="7749" s="160" customFormat="1" x14ac:dyDescent="0.3"/>
    <row r="7750" s="160" customFormat="1" x14ac:dyDescent="0.3"/>
    <row r="7751" s="160" customFormat="1" x14ac:dyDescent="0.3"/>
    <row r="7752" s="160" customFormat="1" x14ac:dyDescent="0.3"/>
    <row r="7753" s="160" customFormat="1" x14ac:dyDescent="0.3"/>
    <row r="7754" s="160" customFormat="1" x14ac:dyDescent="0.3"/>
    <row r="7755" s="160" customFormat="1" x14ac:dyDescent="0.3"/>
    <row r="7756" s="160" customFormat="1" x14ac:dyDescent="0.3"/>
    <row r="7757" s="160" customFormat="1" x14ac:dyDescent="0.3"/>
    <row r="7758" s="160" customFormat="1" x14ac:dyDescent="0.3"/>
    <row r="7759" s="160" customFormat="1" x14ac:dyDescent="0.3"/>
    <row r="7760" s="160" customFormat="1" x14ac:dyDescent="0.3"/>
    <row r="7761" s="160" customFormat="1" x14ac:dyDescent="0.3"/>
    <row r="7762" s="160" customFormat="1" x14ac:dyDescent="0.3"/>
    <row r="7763" s="160" customFormat="1" x14ac:dyDescent="0.3"/>
    <row r="7764" s="160" customFormat="1" x14ac:dyDescent="0.3"/>
    <row r="7765" s="160" customFormat="1" x14ac:dyDescent="0.3"/>
    <row r="7766" s="160" customFormat="1" x14ac:dyDescent="0.3"/>
    <row r="7767" s="160" customFormat="1" x14ac:dyDescent="0.3"/>
    <row r="7768" s="160" customFormat="1" x14ac:dyDescent="0.3"/>
    <row r="7769" s="160" customFormat="1" x14ac:dyDescent="0.3"/>
    <row r="7770" s="160" customFormat="1" x14ac:dyDescent="0.3"/>
    <row r="7771" s="160" customFormat="1" x14ac:dyDescent="0.3"/>
    <row r="7772" s="160" customFormat="1" x14ac:dyDescent="0.3"/>
    <row r="7773" s="160" customFormat="1" x14ac:dyDescent="0.3"/>
    <row r="7774" s="160" customFormat="1" x14ac:dyDescent="0.3"/>
    <row r="7775" s="160" customFormat="1" x14ac:dyDescent="0.3"/>
    <row r="7776" s="160" customFormat="1" x14ac:dyDescent="0.3"/>
    <row r="7777" s="160" customFormat="1" x14ac:dyDescent="0.3"/>
    <row r="7778" s="160" customFormat="1" x14ac:dyDescent="0.3"/>
    <row r="7779" s="160" customFormat="1" x14ac:dyDescent="0.3"/>
    <row r="7780" s="160" customFormat="1" x14ac:dyDescent="0.3"/>
    <row r="7781" s="160" customFormat="1" x14ac:dyDescent="0.3"/>
    <row r="7782" s="160" customFormat="1" x14ac:dyDescent="0.3"/>
    <row r="7783" s="160" customFormat="1" x14ac:dyDescent="0.3"/>
    <row r="7784" s="160" customFormat="1" x14ac:dyDescent="0.3"/>
    <row r="7785" s="160" customFormat="1" x14ac:dyDescent="0.3"/>
    <row r="7786" s="160" customFormat="1" x14ac:dyDescent="0.3"/>
    <row r="7787" s="160" customFormat="1" x14ac:dyDescent="0.3"/>
    <row r="7788" s="160" customFormat="1" x14ac:dyDescent="0.3"/>
    <row r="7789" s="160" customFormat="1" x14ac:dyDescent="0.3"/>
    <row r="7790" s="160" customFormat="1" x14ac:dyDescent="0.3"/>
    <row r="7791" s="160" customFormat="1" x14ac:dyDescent="0.3"/>
    <row r="7792" s="160" customFormat="1" x14ac:dyDescent="0.3"/>
    <row r="7793" s="160" customFormat="1" x14ac:dyDescent="0.3"/>
    <row r="7794" s="160" customFormat="1" x14ac:dyDescent="0.3"/>
    <row r="7795" s="160" customFormat="1" x14ac:dyDescent="0.3"/>
    <row r="7796" s="160" customFormat="1" x14ac:dyDescent="0.3"/>
    <row r="7797" s="160" customFormat="1" x14ac:dyDescent="0.3"/>
    <row r="7798" s="160" customFormat="1" x14ac:dyDescent="0.3"/>
    <row r="7799" s="160" customFormat="1" x14ac:dyDescent="0.3"/>
    <row r="7800" s="160" customFormat="1" x14ac:dyDescent="0.3"/>
    <row r="7801" s="160" customFormat="1" x14ac:dyDescent="0.3"/>
    <row r="7802" s="160" customFormat="1" x14ac:dyDescent="0.3"/>
    <row r="7803" s="160" customFormat="1" x14ac:dyDescent="0.3"/>
    <row r="7804" s="160" customFormat="1" x14ac:dyDescent="0.3"/>
    <row r="7805" s="160" customFormat="1" x14ac:dyDescent="0.3"/>
    <row r="7806" s="160" customFormat="1" x14ac:dyDescent="0.3"/>
    <row r="7807" s="160" customFormat="1" x14ac:dyDescent="0.3"/>
    <row r="7808" s="160" customFormat="1" x14ac:dyDescent="0.3"/>
    <row r="7809" s="160" customFormat="1" x14ac:dyDescent="0.3"/>
    <row r="7810" s="160" customFormat="1" x14ac:dyDescent="0.3"/>
    <row r="7811" s="160" customFormat="1" x14ac:dyDescent="0.3"/>
    <row r="7812" s="160" customFormat="1" x14ac:dyDescent="0.3"/>
    <row r="7813" s="160" customFormat="1" x14ac:dyDescent="0.3"/>
    <row r="7814" s="160" customFormat="1" x14ac:dyDescent="0.3"/>
    <row r="7815" s="160" customFormat="1" x14ac:dyDescent="0.3"/>
    <row r="7816" s="160" customFormat="1" x14ac:dyDescent="0.3"/>
    <row r="7817" s="160" customFormat="1" x14ac:dyDescent="0.3"/>
    <row r="7818" s="160" customFormat="1" x14ac:dyDescent="0.3"/>
    <row r="7819" s="160" customFormat="1" x14ac:dyDescent="0.3"/>
    <row r="7820" s="160" customFormat="1" x14ac:dyDescent="0.3"/>
    <row r="7821" s="160" customFormat="1" x14ac:dyDescent="0.3"/>
    <row r="7822" s="160" customFormat="1" x14ac:dyDescent="0.3"/>
    <row r="7823" s="160" customFormat="1" x14ac:dyDescent="0.3"/>
    <row r="7824" s="160" customFormat="1" x14ac:dyDescent="0.3"/>
    <row r="7825" s="160" customFormat="1" x14ac:dyDescent="0.3"/>
    <row r="7826" s="160" customFormat="1" x14ac:dyDescent="0.3"/>
    <row r="7827" s="160" customFormat="1" x14ac:dyDescent="0.3"/>
    <row r="7828" s="160" customFormat="1" x14ac:dyDescent="0.3"/>
    <row r="7829" s="160" customFormat="1" x14ac:dyDescent="0.3"/>
    <row r="7830" s="160" customFormat="1" x14ac:dyDescent="0.3"/>
    <row r="7831" s="160" customFormat="1" x14ac:dyDescent="0.3"/>
    <row r="7832" s="160" customFormat="1" x14ac:dyDescent="0.3"/>
    <row r="7833" s="160" customFormat="1" x14ac:dyDescent="0.3"/>
    <row r="7834" s="160" customFormat="1" x14ac:dyDescent="0.3"/>
    <row r="7835" s="160" customFormat="1" x14ac:dyDescent="0.3"/>
    <row r="7836" s="160" customFormat="1" x14ac:dyDescent="0.3"/>
    <row r="7837" s="160" customFormat="1" x14ac:dyDescent="0.3"/>
    <row r="7838" s="160" customFormat="1" x14ac:dyDescent="0.3"/>
    <row r="7839" s="160" customFormat="1" x14ac:dyDescent="0.3"/>
    <row r="7840" s="160" customFormat="1" x14ac:dyDescent="0.3"/>
    <row r="7841" s="160" customFormat="1" x14ac:dyDescent="0.3"/>
    <row r="7842" s="160" customFormat="1" x14ac:dyDescent="0.3"/>
    <row r="7843" s="160" customFormat="1" x14ac:dyDescent="0.3"/>
    <row r="7844" s="160" customFormat="1" x14ac:dyDescent="0.3"/>
    <row r="7845" s="160" customFormat="1" x14ac:dyDescent="0.3"/>
    <row r="7846" s="160" customFormat="1" x14ac:dyDescent="0.3"/>
    <row r="7847" s="160" customFormat="1" x14ac:dyDescent="0.3"/>
    <row r="7848" s="160" customFormat="1" x14ac:dyDescent="0.3"/>
    <row r="7849" s="160" customFormat="1" x14ac:dyDescent="0.3"/>
    <row r="7850" s="160" customFormat="1" x14ac:dyDescent="0.3"/>
    <row r="7851" s="160" customFormat="1" x14ac:dyDescent="0.3"/>
    <row r="7852" s="160" customFormat="1" x14ac:dyDescent="0.3"/>
    <row r="7853" s="160" customFormat="1" x14ac:dyDescent="0.3"/>
    <row r="7854" s="160" customFormat="1" x14ac:dyDescent="0.3"/>
    <row r="7855" s="160" customFormat="1" x14ac:dyDescent="0.3"/>
    <row r="7856" s="160" customFormat="1" x14ac:dyDescent="0.3"/>
    <row r="7857" s="160" customFormat="1" x14ac:dyDescent="0.3"/>
    <row r="7858" s="160" customFormat="1" x14ac:dyDescent="0.3"/>
    <row r="7859" s="160" customFormat="1" x14ac:dyDescent="0.3"/>
    <row r="7860" s="160" customFormat="1" x14ac:dyDescent="0.3"/>
    <row r="7861" s="160" customFormat="1" x14ac:dyDescent="0.3"/>
    <row r="7862" s="160" customFormat="1" x14ac:dyDescent="0.3"/>
    <row r="7863" s="160" customFormat="1" x14ac:dyDescent="0.3"/>
    <row r="7864" s="160" customFormat="1" x14ac:dyDescent="0.3"/>
    <row r="7865" s="160" customFormat="1" x14ac:dyDescent="0.3"/>
    <row r="7866" s="160" customFormat="1" x14ac:dyDescent="0.3"/>
    <row r="7867" s="160" customFormat="1" x14ac:dyDescent="0.3"/>
    <row r="7868" s="160" customFormat="1" x14ac:dyDescent="0.3"/>
    <row r="7869" s="160" customFormat="1" x14ac:dyDescent="0.3"/>
    <row r="7870" s="160" customFormat="1" x14ac:dyDescent="0.3"/>
    <row r="7871" s="160" customFormat="1" x14ac:dyDescent="0.3"/>
    <row r="7872" s="160" customFormat="1" x14ac:dyDescent="0.3"/>
    <row r="7873" s="160" customFormat="1" x14ac:dyDescent="0.3"/>
    <row r="7874" s="160" customFormat="1" x14ac:dyDescent="0.3"/>
    <row r="7875" s="160" customFormat="1" x14ac:dyDescent="0.3"/>
    <row r="7876" s="160" customFormat="1" x14ac:dyDescent="0.3"/>
    <row r="7877" s="160" customFormat="1" x14ac:dyDescent="0.3"/>
    <row r="7878" s="160" customFormat="1" x14ac:dyDescent="0.3"/>
    <row r="7879" s="160" customFormat="1" x14ac:dyDescent="0.3"/>
    <row r="7880" s="160" customFormat="1" x14ac:dyDescent="0.3"/>
    <row r="7881" s="160" customFormat="1" x14ac:dyDescent="0.3"/>
    <row r="7882" s="160" customFormat="1" x14ac:dyDescent="0.3"/>
    <row r="7883" s="160" customFormat="1" x14ac:dyDescent="0.3"/>
    <row r="7884" s="160" customFormat="1" x14ac:dyDescent="0.3"/>
    <row r="7885" s="160" customFormat="1" x14ac:dyDescent="0.3"/>
    <row r="7886" s="160" customFormat="1" x14ac:dyDescent="0.3"/>
    <row r="7887" s="160" customFormat="1" x14ac:dyDescent="0.3"/>
    <row r="7888" s="160" customFormat="1" x14ac:dyDescent="0.3"/>
    <row r="7889" s="160" customFormat="1" x14ac:dyDescent="0.3"/>
    <row r="7890" s="160" customFormat="1" x14ac:dyDescent="0.3"/>
    <row r="7891" s="160" customFormat="1" x14ac:dyDescent="0.3"/>
    <row r="7892" s="160" customFormat="1" x14ac:dyDescent="0.3"/>
    <row r="7893" s="160" customFormat="1" x14ac:dyDescent="0.3"/>
    <row r="7894" s="160" customFormat="1" x14ac:dyDescent="0.3"/>
    <row r="7895" s="160" customFormat="1" x14ac:dyDescent="0.3"/>
    <row r="7896" s="160" customFormat="1" x14ac:dyDescent="0.3"/>
    <row r="7897" s="160" customFormat="1" x14ac:dyDescent="0.3"/>
    <row r="7898" s="160" customFormat="1" x14ac:dyDescent="0.3"/>
    <row r="7899" s="160" customFormat="1" x14ac:dyDescent="0.3"/>
    <row r="7900" s="160" customFormat="1" x14ac:dyDescent="0.3"/>
    <row r="7901" s="160" customFormat="1" x14ac:dyDescent="0.3"/>
    <row r="7902" s="160" customFormat="1" x14ac:dyDescent="0.3"/>
    <row r="7903" s="160" customFormat="1" x14ac:dyDescent="0.3"/>
    <row r="7904" s="160" customFormat="1" x14ac:dyDescent="0.3"/>
    <row r="7905" s="160" customFormat="1" x14ac:dyDescent="0.3"/>
    <row r="7906" s="160" customFormat="1" x14ac:dyDescent="0.3"/>
    <row r="7907" s="160" customFormat="1" x14ac:dyDescent="0.3"/>
    <row r="7908" s="160" customFormat="1" x14ac:dyDescent="0.3"/>
    <row r="7909" s="160" customFormat="1" x14ac:dyDescent="0.3"/>
    <row r="7910" s="160" customFormat="1" x14ac:dyDescent="0.3"/>
    <row r="7911" s="160" customFormat="1" x14ac:dyDescent="0.3"/>
    <row r="7912" s="160" customFormat="1" x14ac:dyDescent="0.3"/>
    <row r="7913" s="160" customFormat="1" x14ac:dyDescent="0.3"/>
    <row r="7914" s="160" customFormat="1" x14ac:dyDescent="0.3"/>
    <row r="7915" s="160" customFormat="1" x14ac:dyDescent="0.3"/>
    <row r="7916" s="160" customFormat="1" x14ac:dyDescent="0.3"/>
    <row r="7917" s="160" customFormat="1" x14ac:dyDescent="0.3"/>
    <row r="7918" s="160" customFormat="1" x14ac:dyDescent="0.3"/>
    <row r="7919" s="160" customFormat="1" x14ac:dyDescent="0.3"/>
    <row r="7920" s="160" customFormat="1" x14ac:dyDescent="0.3"/>
    <row r="7921" s="160" customFormat="1" x14ac:dyDescent="0.3"/>
    <row r="7922" s="160" customFormat="1" x14ac:dyDescent="0.3"/>
    <row r="7923" s="160" customFormat="1" x14ac:dyDescent="0.3"/>
    <row r="7924" s="160" customFormat="1" x14ac:dyDescent="0.3"/>
    <row r="7925" s="160" customFormat="1" x14ac:dyDescent="0.3"/>
    <row r="7926" s="160" customFormat="1" x14ac:dyDescent="0.3"/>
    <row r="7927" s="160" customFormat="1" x14ac:dyDescent="0.3"/>
    <row r="7928" s="160" customFormat="1" x14ac:dyDescent="0.3"/>
    <row r="7929" s="160" customFormat="1" x14ac:dyDescent="0.3"/>
    <row r="7930" s="160" customFormat="1" x14ac:dyDescent="0.3"/>
    <row r="7931" s="160" customFormat="1" x14ac:dyDescent="0.3"/>
    <row r="7932" s="160" customFormat="1" x14ac:dyDescent="0.3"/>
    <row r="7933" s="160" customFormat="1" x14ac:dyDescent="0.3"/>
    <row r="7934" s="160" customFormat="1" x14ac:dyDescent="0.3"/>
    <row r="7935" s="160" customFormat="1" x14ac:dyDescent="0.3"/>
    <row r="7936" s="160" customFormat="1" x14ac:dyDescent="0.3"/>
    <row r="7937" s="160" customFormat="1" x14ac:dyDescent="0.3"/>
    <row r="7938" s="160" customFormat="1" x14ac:dyDescent="0.3"/>
    <row r="7939" s="160" customFormat="1" x14ac:dyDescent="0.3"/>
    <row r="7940" s="160" customFormat="1" x14ac:dyDescent="0.3"/>
    <row r="7941" s="160" customFormat="1" x14ac:dyDescent="0.3"/>
    <row r="7942" s="160" customFormat="1" x14ac:dyDescent="0.3"/>
    <row r="7943" s="160" customFormat="1" x14ac:dyDescent="0.3"/>
    <row r="7944" s="160" customFormat="1" x14ac:dyDescent="0.3"/>
    <row r="7945" s="160" customFormat="1" x14ac:dyDescent="0.3"/>
    <row r="7946" s="160" customFormat="1" x14ac:dyDescent="0.3"/>
    <row r="7947" s="160" customFormat="1" x14ac:dyDescent="0.3"/>
    <row r="7948" s="160" customFormat="1" x14ac:dyDescent="0.3"/>
    <row r="7949" s="160" customFormat="1" x14ac:dyDescent="0.3"/>
    <row r="7950" s="160" customFormat="1" x14ac:dyDescent="0.3"/>
    <row r="7951" s="160" customFormat="1" x14ac:dyDescent="0.3"/>
    <row r="7952" s="160" customFormat="1" x14ac:dyDescent="0.3"/>
    <row r="7953" s="160" customFormat="1" x14ac:dyDescent="0.3"/>
    <row r="7954" s="160" customFormat="1" x14ac:dyDescent="0.3"/>
    <row r="7955" s="160" customFormat="1" x14ac:dyDescent="0.3"/>
    <row r="7956" s="160" customFormat="1" x14ac:dyDescent="0.3"/>
    <row r="7957" s="160" customFormat="1" x14ac:dyDescent="0.3"/>
    <row r="7958" s="160" customFormat="1" x14ac:dyDescent="0.3"/>
    <row r="7959" s="160" customFormat="1" x14ac:dyDescent="0.3"/>
    <row r="7960" s="160" customFormat="1" x14ac:dyDescent="0.3"/>
    <row r="7961" s="160" customFormat="1" x14ac:dyDescent="0.3"/>
    <row r="7962" s="160" customFormat="1" x14ac:dyDescent="0.3"/>
    <row r="7963" s="160" customFormat="1" x14ac:dyDescent="0.3"/>
    <row r="7964" s="160" customFormat="1" x14ac:dyDescent="0.3"/>
    <row r="7965" s="160" customFormat="1" x14ac:dyDescent="0.3"/>
    <row r="7966" s="160" customFormat="1" x14ac:dyDescent="0.3"/>
    <row r="7967" s="160" customFormat="1" x14ac:dyDescent="0.3"/>
    <row r="7968" s="160" customFormat="1" x14ac:dyDescent="0.3"/>
    <row r="7969" s="160" customFormat="1" x14ac:dyDescent="0.3"/>
    <row r="7970" s="160" customFormat="1" x14ac:dyDescent="0.3"/>
    <row r="7971" s="160" customFormat="1" x14ac:dyDescent="0.3"/>
    <row r="7972" s="160" customFormat="1" x14ac:dyDescent="0.3"/>
    <row r="7973" s="160" customFormat="1" x14ac:dyDescent="0.3"/>
    <row r="7974" s="160" customFormat="1" x14ac:dyDescent="0.3"/>
    <row r="7975" s="160" customFormat="1" x14ac:dyDescent="0.3"/>
    <row r="7976" s="160" customFormat="1" x14ac:dyDescent="0.3"/>
    <row r="7977" s="160" customFormat="1" x14ac:dyDescent="0.3"/>
    <row r="7978" s="160" customFormat="1" x14ac:dyDescent="0.3"/>
    <row r="7979" s="160" customFormat="1" x14ac:dyDescent="0.3"/>
    <row r="7980" s="160" customFormat="1" x14ac:dyDescent="0.3"/>
    <row r="7981" s="160" customFormat="1" x14ac:dyDescent="0.3"/>
    <row r="7982" s="160" customFormat="1" x14ac:dyDescent="0.3"/>
    <row r="7983" s="160" customFormat="1" x14ac:dyDescent="0.3"/>
    <row r="7984" s="160" customFormat="1" x14ac:dyDescent="0.3"/>
    <row r="7985" s="160" customFormat="1" x14ac:dyDescent="0.3"/>
    <row r="7986" s="160" customFormat="1" x14ac:dyDescent="0.3"/>
    <row r="7987" s="160" customFormat="1" x14ac:dyDescent="0.3"/>
    <row r="7988" s="160" customFormat="1" x14ac:dyDescent="0.3"/>
    <row r="7989" s="160" customFormat="1" x14ac:dyDescent="0.3"/>
    <row r="7990" s="160" customFormat="1" x14ac:dyDescent="0.3"/>
    <row r="7991" s="160" customFormat="1" x14ac:dyDescent="0.3"/>
    <row r="7992" s="160" customFormat="1" x14ac:dyDescent="0.3"/>
    <row r="7993" s="160" customFormat="1" x14ac:dyDescent="0.3"/>
    <row r="7994" s="160" customFormat="1" x14ac:dyDescent="0.3"/>
    <row r="7995" s="160" customFormat="1" x14ac:dyDescent="0.3"/>
    <row r="7996" s="160" customFormat="1" x14ac:dyDescent="0.3"/>
    <row r="7997" s="160" customFormat="1" x14ac:dyDescent="0.3"/>
    <row r="7998" s="160" customFormat="1" x14ac:dyDescent="0.3"/>
    <row r="7999" s="160" customFormat="1" x14ac:dyDescent="0.3"/>
    <row r="8000" s="160" customFormat="1" x14ac:dyDescent="0.3"/>
    <row r="8001" s="160" customFormat="1" x14ac:dyDescent="0.3"/>
    <row r="8002" s="160" customFormat="1" x14ac:dyDescent="0.3"/>
    <row r="8003" s="160" customFormat="1" x14ac:dyDescent="0.3"/>
    <row r="8004" s="160" customFormat="1" x14ac:dyDescent="0.3"/>
    <row r="8005" s="160" customFormat="1" x14ac:dyDescent="0.3"/>
    <row r="8006" s="160" customFormat="1" x14ac:dyDescent="0.3"/>
    <row r="8007" s="160" customFormat="1" x14ac:dyDescent="0.3"/>
    <row r="8008" s="160" customFormat="1" x14ac:dyDescent="0.3"/>
    <row r="8009" s="160" customFormat="1" x14ac:dyDescent="0.3"/>
    <row r="8010" s="160" customFormat="1" x14ac:dyDescent="0.3"/>
    <row r="8011" s="160" customFormat="1" x14ac:dyDescent="0.3"/>
    <row r="8012" s="160" customFormat="1" x14ac:dyDescent="0.3"/>
    <row r="8013" s="160" customFormat="1" x14ac:dyDescent="0.3"/>
    <row r="8014" s="160" customFormat="1" x14ac:dyDescent="0.3"/>
    <row r="8015" s="160" customFormat="1" x14ac:dyDescent="0.3"/>
    <row r="8016" s="160" customFormat="1" x14ac:dyDescent="0.3"/>
    <row r="8017" s="160" customFormat="1" x14ac:dyDescent="0.3"/>
    <row r="8018" s="160" customFormat="1" x14ac:dyDescent="0.3"/>
    <row r="8019" s="160" customFormat="1" x14ac:dyDescent="0.3"/>
    <row r="8020" s="160" customFormat="1" x14ac:dyDescent="0.3"/>
    <row r="8021" s="160" customFormat="1" x14ac:dyDescent="0.3"/>
    <row r="8022" s="160" customFormat="1" x14ac:dyDescent="0.3"/>
    <row r="8023" s="160" customFormat="1" x14ac:dyDescent="0.3"/>
    <row r="8024" s="160" customFormat="1" x14ac:dyDescent="0.3"/>
    <row r="8025" s="160" customFormat="1" x14ac:dyDescent="0.3"/>
    <row r="8026" s="160" customFormat="1" x14ac:dyDescent="0.3"/>
    <row r="8027" s="160" customFormat="1" x14ac:dyDescent="0.3"/>
    <row r="8028" s="160" customFormat="1" x14ac:dyDescent="0.3"/>
    <row r="8029" s="160" customFormat="1" x14ac:dyDescent="0.3"/>
    <row r="8030" s="160" customFormat="1" x14ac:dyDescent="0.3"/>
    <row r="8031" s="160" customFormat="1" x14ac:dyDescent="0.3"/>
    <row r="8032" s="160" customFormat="1" x14ac:dyDescent="0.3"/>
    <row r="8033" s="160" customFormat="1" x14ac:dyDescent="0.3"/>
    <row r="8034" s="160" customFormat="1" x14ac:dyDescent="0.3"/>
    <row r="8035" s="160" customFormat="1" x14ac:dyDescent="0.3"/>
    <row r="8036" s="160" customFormat="1" x14ac:dyDescent="0.3"/>
    <row r="8037" s="160" customFormat="1" x14ac:dyDescent="0.3"/>
    <row r="8038" s="160" customFormat="1" x14ac:dyDescent="0.3"/>
    <row r="8039" s="160" customFormat="1" x14ac:dyDescent="0.3"/>
    <row r="8040" s="160" customFormat="1" x14ac:dyDescent="0.3"/>
    <row r="8041" s="160" customFormat="1" x14ac:dyDescent="0.3"/>
    <row r="8042" s="160" customFormat="1" x14ac:dyDescent="0.3"/>
    <row r="8043" s="160" customFormat="1" x14ac:dyDescent="0.3"/>
    <row r="8044" s="160" customFormat="1" x14ac:dyDescent="0.3"/>
    <row r="8045" s="160" customFormat="1" x14ac:dyDescent="0.3"/>
    <row r="8046" s="160" customFormat="1" x14ac:dyDescent="0.3"/>
    <row r="8047" s="160" customFormat="1" x14ac:dyDescent="0.3"/>
    <row r="8048" s="160" customFormat="1" x14ac:dyDescent="0.3"/>
    <row r="8049" s="160" customFormat="1" x14ac:dyDescent="0.3"/>
    <row r="8050" s="160" customFormat="1" x14ac:dyDescent="0.3"/>
    <row r="8051" s="160" customFormat="1" x14ac:dyDescent="0.3"/>
    <row r="8052" s="160" customFormat="1" x14ac:dyDescent="0.3"/>
    <row r="8053" s="160" customFormat="1" x14ac:dyDescent="0.3"/>
    <row r="8054" s="160" customFormat="1" x14ac:dyDescent="0.3"/>
    <row r="8055" s="160" customFormat="1" x14ac:dyDescent="0.3"/>
    <row r="8056" s="160" customFormat="1" x14ac:dyDescent="0.3"/>
    <row r="8057" s="160" customFormat="1" x14ac:dyDescent="0.3"/>
    <row r="8058" s="160" customFormat="1" x14ac:dyDescent="0.3"/>
    <row r="8059" s="160" customFormat="1" x14ac:dyDescent="0.3"/>
    <row r="8060" s="160" customFormat="1" x14ac:dyDescent="0.3"/>
    <row r="8061" s="160" customFormat="1" x14ac:dyDescent="0.3"/>
    <row r="8062" s="160" customFormat="1" x14ac:dyDescent="0.3"/>
    <row r="8063" s="160" customFormat="1" x14ac:dyDescent="0.3"/>
    <row r="8064" s="160" customFormat="1" x14ac:dyDescent="0.3"/>
    <row r="8065" s="160" customFormat="1" x14ac:dyDescent="0.3"/>
    <row r="8066" s="160" customFormat="1" x14ac:dyDescent="0.3"/>
    <row r="8067" s="160" customFormat="1" x14ac:dyDescent="0.3"/>
    <row r="8068" s="160" customFormat="1" x14ac:dyDescent="0.3"/>
    <row r="8069" s="160" customFormat="1" x14ac:dyDescent="0.3"/>
    <row r="8070" s="160" customFormat="1" x14ac:dyDescent="0.3"/>
    <row r="8071" s="160" customFormat="1" x14ac:dyDescent="0.3"/>
    <row r="8072" s="160" customFormat="1" x14ac:dyDescent="0.3"/>
    <row r="8073" s="160" customFormat="1" x14ac:dyDescent="0.3"/>
    <row r="8074" s="160" customFormat="1" x14ac:dyDescent="0.3"/>
    <row r="8075" s="160" customFormat="1" x14ac:dyDescent="0.3"/>
    <row r="8076" s="160" customFormat="1" x14ac:dyDescent="0.3"/>
    <row r="8077" s="160" customFormat="1" x14ac:dyDescent="0.3"/>
    <row r="8078" s="160" customFormat="1" x14ac:dyDescent="0.3"/>
    <row r="8079" s="160" customFormat="1" x14ac:dyDescent="0.3"/>
    <row r="8080" s="160" customFormat="1" x14ac:dyDescent="0.3"/>
    <row r="8081" s="160" customFormat="1" x14ac:dyDescent="0.3"/>
    <row r="8082" s="160" customFormat="1" x14ac:dyDescent="0.3"/>
    <row r="8083" s="160" customFormat="1" x14ac:dyDescent="0.3"/>
    <row r="8084" s="160" customFormat="1" x14ac:dyDescent="0.3"/>
    <row r="8085" s="160" customFormat="1" x14ac:dyDescent="0.3"/>
    <row r="8086" s="160" customFormat="1" x14ac:dyDescent="0.3"/>
    <row r="8087" s="160" customFormat="1" x14ac:dyDescent="0.3"/>
    <row r="8088" s="160" customFormat="1" x14ac:dyDescent="0.3"/>
    <row r="8089" s="160" customFormat="1" x14ac:dyDescent="0.3"/>
    <row r="8090" s="160" customFormat="1" x14ac:dyDescent="0.3"/>
    <row r="8091" s="160" customFormat="1" x14ac:dyDescent="0.3"/>
    <row r="8092" s="160" customFormat="1" x14ac:dyDescent="0.3"/>
    <row r="8093" s="160" customFormat="1" x14ac:dyDescent="0.3"/>
    <row r="8094" s="160" customFormat="1" x14ac:dyDescent="0.3"/>
    <row r="8095" s="160" customFormat="1" x14ac:dyDescent="0.3"/>
    <row r="8096" s="160" customFormat="1" x14ac:dyDescent="0.3"/>
    <row r="8097" s="160" customFormat="1" x14ac:dyDescent="0.3"/>
    <row r="8098" s="160" customFormat="1" x14ac:dyDescent="0.3"/>
    <row r="8099" s="160" customFormat="1" x14ac:dyDescent="0.3"/>
    <row r="8100" s="160" customFormat="1" x14ac:dyDescent="0.3"/>
    <row r="8101" s="160" customFormat="1" x14ac:dyDescent="0.3"/>
    <row r="8102" s="160" customFormat="1" x14ac:dyDescent="0.3"/>
    <row r="8103" s="160" customFormat="1" x14ac:dyDescent="0.3"/>
    <row r="8104" s="160" customFormat="1" x14ac:dyDescent="0.3"/>
    <row r="8105" s="160" customFormat="1" x14ac:dyDescent="0.3"/>
    <row r="8106" s="160" customFormat="1" x14ac:dyDescent="0.3"/>
    <row r="8107" s="160" customFormat="1" x14ac:dyDescent="0.3"/>
    <row r="8108" s="160" customFormat="1" x14ac:dyDescent="0.3"/>
    <row r="8109" s="160" customFormat="1" x14ac:dyDescent="0.3"/>
    <row r="8110" s="160" customFormat="1" x14ac:dyDescent="0.3"/>
    <row r="8111" s="160" customFormat="1" x14ac:dyDescent="0.3"/>
    <row r="8112" s="160" customFormat="1" x14ac:dyDescent="0.3"/>
    <row r="8113" s="160" customFormat="1" x14ac:dyDescent="0.3"/>
    <row r="8114" s="160" customFormat="1" x14ac:dyDescent="0.3"/>
    <row r="8115" s="160" customFormat="1" x14ac:dyDescent="0.3"/>
    <row r="8116" s="160" customFormat="1" x14ac:dyDescent="0.3"/>
    <row r="8117" s="160" customFormat="1" x14ac:dyDescent="0.3"/>
    <row r="8118" s="160" customFormat="1" x14ac:dyDescent="0.3"/>
    <row r="8119" s="160" customFormat="1" x14ac:dyDescent="0.3"/>
    <row r="8120" s="160" customFormat="1" x14ac:dyDescent="0.3"/>
    <row r="8121" s="160" customFormat="1" x14ac:dyDescent="0.3"/>
    <row r="8122" s="160" customFormat="1" x14ac:dyDescent="0.3"/>
    <row r="8123" s="160" customFormat="1" x14ac:dyDescent="0.3"/>
    <row r="8124" s="160" customFormat="1" x14ac:dyDescent="0.3"/>
    <row r="8125" s="160" customFormat="1" x14ac:dyDescent="0.3"/>
    <row r="8126" s="160" customFormat="1" x14ac:dyDescent="0.3"/>
    <row r="8127" s="160" customFormat="1" x14ac:dyDescent="0.3"/>
    <row r="8128" s="160" customFormat="1" x14ac:dyDescent="0.3"/>
    <row r="8129" s="160" customFormat="1" x14ac:dyDescent="0.3"/>
    <row r="8130" s="160" customFormat="1" x14ac:dyDescent="0.3"/>
    <row r="8131" s="160" customFormat="1" x14ac:dyDescent="0.3"/>
    <row r="8132" s="160" customFormat="1" x14ac:dyDescent="0.3"/>
    <row r="8133" s="160" customFormat="1" x14ac:dyDescent="0.3"/>
    <row r="8134" s="160" customFormat="1" x14ac:dyDescent="0.3"/>
    <row r="8135" s="160" customFormat="1" x14ac:dyDescent="0.3"/>
    <row r="8136" s="160" customFormat="1" x14ac:dyDescent="0.3"/>
    <row r="8137" s="160" customFormat="1" x14ac:dyDescent="0.3"/>
    <row r="8138" s="160" customFormat="1" x14ac:dyDescent="0.3"/>
    <row r="8139" s="160" customFormat="1" x14ac:dyDescent="0.3"/>
    <row r="8140" s="160" customFormat="1" x14ac:dyDescent="0.3"/>
    <row r="8141" s="160" customFormat="1" x14ac:dyDescent="0.3"/>
    <row r="8142" s="160" customFormat="1" x14ac:dyDescent="0.3"/>
    <row r="8143" s="160" customFormat="1" x14ac:dyDescent="0.3"/>
    <row r="8144" s="160" customFormat="1" x14ac:dyDescent="0.3"/>
    <row r="8145" s="160" customFormat="1" x14ac:dyDescent="0.3"/>
    <row r="8146" s="160" customFormat="1" x14ac:dyDescent="0.3"/>
    <row r="8147" s="160" customFormat="1" x14ac:dyDescent="0.3"/>
    <row r="8148" s="160" customFormat="1" x14ac:dyDescent="0.3"/>
    <row r="8149" s="160" customFormat="1" x14ac:dyDescent="0.3"/>
    <row r="8150" s="160" customFormat="1" x14ac:dyDescent="0.3"/>
    <row r="8151" s="160" customFormat="1" x14ac:dyDescent="0.3"/>
    <row r="8152" s="160" customFormat="1" x14ac:dyDescent="0.3"/>
    <row r="8153" s="160" customFormat="1" x14ac:dyDescent="0.3"/>
    <row r="8154" s="160" customFormat="1" x14ac:dyDescent="0.3"/>
    <row r="8155" s="160" customFormat="1" x14ac:dyDescent="0.3"/>
    <row r="8156" s="160" customFormat="1" x14ac:dyDescent="0.3"/>
    <row r="8157" s="160" customFormat="1" x14ac:dyDescent="0.3"/>
    <row r="8158" s="160" customFormat="1" x14ac:dyDescent="0.3"/>
    <row r="8159" s="160" customFormat="1" x14ac:dyDescent="0.3"/>
    <row r="8160" s="160" customFormat="1" x14ac:dyDescent="0.3"/>
    <row r="8161" s="160" customFormat="1" x14ac:dyDescent="0.3"/>
    <row r="8162" s="160" customFormat="1" x14ac:dyDescent="0.3"/>
    <row r="8163" s="160" customFormat="1" x14ac:dyDescent="0.3"/>
    <row r="8164" s="160" customFormat="1" x14ac:dyDescent="0.3"/>
    <row r="8165" s="160" customFormat="1" x14ac:dyDescent="0.3"/>
    <row r="8166" s="160" customFormat="1" x14ac:dyDescent="0.3"/>
    <row r="8167" s="160" customFormat="1" x14ac:dyDescent="0.3"/>
    <row r="8168" s="160" customFormat="1" x14ac:dyDescent="0.3"/>
    <row r="8169" s="160" customFormat="1" x14ac:dyDescent="0.3"/>
    <row r="8170" s="160" customFormat="1" x14ac:dyDescent="0.3"/>
    <row r="8171" s="160" customFormat="1" x14ac:dyDescent="0.3"/>
    <row r="8172" s="160" customFormat="1" x14ac:dyDescent="0.3"/>
    <row r="8173" s="160" customFormat="1" x14ac:dyDescent="0.3"/>
    <row r="8174" s="160" customFormat="1" x14ac:dyDescent="0.3"/>
    <row r="8175" s="160" customFormat="1" x14ac:dyDescent="0.3"/>
    <row r="8176" s="160" customFormat="1" x14ac:dyDescent="0.3"/>
    <row r="8177" s="160" customFormat="1" x14ac:dyDescent="0.3"/>
    <row r="8178" s="160" customFormat="1" x14ac:dyDescent="0.3"/>
    <row r="8179" s="160" customFormat="1" x14ac:dyDescent="0.3"/>
    <row r="8180" s="160" customFormat="1" x14ac:dyDescent="0.3"/>
    <row r="8181" s="160" customFormat="1" x14ac:dyDescent="0.3"/>
    <row r="8182" s="160" customFormat="1" x14ac:dyDescent="0.3"/>
    <row r="8183" s="160" customFormat="1" x14ac:dyDescent="0.3"/>
    <row r="8184" s="160" customFormat="1" x14ac:dyDescent="0.3"/>
    <row r="8185" s="160" customFormat="1" x14ac:dyDescent="0.3"/>
    <row r="8186" s="160" customFormat="1" x14ac:dyDescent="0.3"/>
    <row r="8187" s="160" customFormat="1" x14ac:dyDescent="0.3"/>
    <row r="8188" s="160" customFormat="1" x14ac:dyDescent="0.3"/>
    <row r="8189" s="160" customFormat="1" x14ac:dyDescent="0.3"/>
    <row r="8190" s="160" customFormat="1" x14ac:dyDescent="0.3"/>
    <row r="8191" s="160" customFormat="1" x14ac:dyDescent="0.3"/>
    <row r="8192" s="160" customFormat="1" x14ac:dyDescent="0.3"/>
    <row r="8193" s="160" customFormat="1" x14ac:dyDescent="0.3"/>
    <row r="8194" s="160" customFormat="1" x14ac:dyDescent="0.3"/>
    <row r="8195" s="160" customFormat="1" x14ac:dyDescent="0.3"/>
    <row r="8196" s="160" customFormat="1" x14ac:dyDescent="0.3"/>
    <row r="8197" s="160" customFormat="1" x14ac:dyDescent="0.3"/>
    <row r="8198" s="160" customFormat="1" x14ac:dyDescent="0.3"/>
    <row r="8199" s="160" customFormat="1" x14ac:dyDescent="0.3"/>
    <row r="8200" s="160" customFormat="1" x14ac:dyDescent="0.3"/>
    <row r="8201" s="160" customFormat="1" x14ac:dyDescent="0.3"/>
    <row r="8202" s="160" customFormat="1" x14ac:dyDescent="0.3"/>
    <row r="8203" s="160" customFormat="1" x14ac:dyDescent="0.3"/>
    <row r="8204" s="160" customFormat="1" x14ac:dyDescent="0.3"/>
    <row r="8205" s="160" customFormat="1" x14ac:dyDescent="0.3"/>
    <row r="8206" s="160" customFormat="1" x14ac:dyDescent="0.3"/>
    <row r="8207" s="160" customFormat="1" x14ac:dyDescent="0.3"/>
    <row r="8208" s="160" customFormat="1" x14ac:dyDescent="0.3"/>
    <row r="8209" s="160" customFormat="1" x14ac:dyDescent="0.3"/>
    <row r="8210" s="160" customFormat="1" x14ac:dyDescent="0.3"/>
    <row r="8211" s="160" customFormat="1" x14ac:dyDescent="0.3"/>
    <row r="8212" s="160" customFormat="1" x14ac:dyDescent="0.3"/>
    <row r="8213" s="160" customFormat="1" x14ac:dyDescent="0.3"/>
    <row r="8214" s="160" customFormat="1" x14ac:dyDescent="0.3"/>
    <row r="8215" s="160" customFormat="1" x14ac:dyDescent="0.3"/>
    <row r="8216" s="160" customFormat="1" x14ac:dyDescent="0.3"/>
    <row r="8217" s="160" customFormat="1" x14ac:dyDescent="0.3"/>
    <row r="8218" s="160" customFormat="1" x14ac:dyDescent="0.3"/>
    <row r="8219" s="160" customFormat="1" x14ac:dyDescent="0.3"/>
    <row r="8220" s="160" customFormat="1" x14ac:dyDescent="0.3"/>
    <row r="8221" s="160" customFormat="1" x14ac:dyDescent="0.3"/>
    <row r="8222" s="160" customFormat="1" x14ac:dyDescent="0.3"/>
    <row r="8223" s="160" customFormat="1" x14ac:dyDescent="0.3"/>
    <row r="8224" s="160" customFormat="1" x14ac:dyDescent="0.3"/>
    <row r="8225" s="160" customFormat="1" x14ac:dyDescent="0.3"/>
    <row r="8226" s="160" customFormat="1" x14ac:dyDescent="0.3"/>
    <row r="8227" s="160" customFormat="1" x14ac:dyDescent="0.3"/>
    <row r="8228" s="160" customFormat="1" x14ac:dyDescent="0.3"/>
    <row r="8229" s="160" customFormat="1" x14ac:dyDescent="0.3"/>
    <row r="8230" s="160" customFormat="1" x14ac:dyDescent="0.3"/>
    <row r="8231" s="160" customFormat="1" x14ac:dyDescent="0.3"/>
    <row r="8232" s="160" customFormat="1" x14ac:dyDescent="0.3"/>
    <row r="8233" s="160" customFormat="1" x14ac:dyDescent="0.3"/>
    <row r="8234" s="160" customFormat="1" x14ac:dyDescent="0.3"/>
    <row r="8235" s="160" customFormat="1" x14ac:dyDescent="0.3"/>
    <row r="8236" s="160" customFormat="1" x14ac:dyDescent="0.3"/>
    <row r="8237" s="160" customFormat="1" x14ac:dyDescent="0.3"/>
    <row r="8238" s="160" customFormat="1" x14ac:dyDescent="0.3"/>
    <row r="8239" s="160" customFormat="1" x14ac:dyDescent="0.3"/>
    <row r="8240" s="160" customFormat="1" x14ac:dyDescent="0.3"/>
    <row r="8241" s="160" customFormat="1" x14ac:dyDescent="0.3"/>
    <row r="8242" s="160" customFormat="1" x14ac:dyDescent="0.3"/>
    <row r="8243" s="160" customFormat="1" x14ac:dyDescent="0.3"/>
    <row r="8244" s="160" customFormat="1" x14ac:dyDescent="0.3"/>
    <row r="8245" s="160" customFormat="1" x14ac:dyDescent="0.3"/>
    <row r="8246" s="160" customFormat="1" x14ac:dyDescent="0.3"/>
    <row r="8247" s="160" customFormat="1" x14ac:dyDescent="0.3"/>
    <row r="8248" s="160" customFormat="1" x14ac:dyDescent="0.3"/>
    <row r="8249" s="160" customFormat="1" x14ac:dyDescent="0.3"/>
    <row r="8250" s="160" customFormat="1" x14ac:dyDescent="0.3"/>
    <row r="8251" s="160" customFormat="1" x14ac:dyDescent="0.3"/>
    <row r="8252" s="160" customFormat="1" x14ac:dyDescent="0.3"/>
    <row r="8253" s="160" customFormat="1" x14ac:dyDescent="0.3"/>
    <row r="8254" s="160" customFormat="1" x14ac:dyDescent="0.3"/>
    <row r="8255" s="160" customFormat="1" x14ac:dyDescent="0.3"/>
    <row r="8256" s="160" customFormat="1" x14ac:dyDescent="0.3"/>
    <row r="8257" s="160" customFormat="1" x14ac:dyDescent="0.3"/>
    <row r="8258" s="160" customFormat="1" x14ac:dyDescent="0.3"/>
    <row r="8259" s="160" customFormat="1" x14ac:dyDescent="0.3"/>
    <row r="8260" s="160" customFormat="1" x14ac:dyDescent="0.3"/>
    <row r="8261" s="160" customFormat="1" x14ac:dyDescent="0.3"/>
    <row r="8262" s="160" customFormat="1" x14ac:dyDescent="0.3"/>
    <row r="8263" s="160" customFormat="1" x14ac:dyDescent="0.3"/>
    <row r="8264" s="160" customFormat="1" x14ac:dyDescent="0.3"/>
    <row r="8265" s="160" customFormat="1" x14ac:dyDescent="0.3"/>
    <row r="8266" s="160" customFormat="1" x14ac:dyDescent="0.3"/>
    <row r="8267" s="160" customFormat="1" x14ac:dyDescent="0.3"/>
    <row r="8268" s="160" customFormat="1" x14ac:dyDescent="0.3"/>
    <row r="8269" s="160" customFormat="1" x14ac:dyDescent="0.3"/>
    <row r="8270" s="160" customFormat="1" x14ac:dyDescent="0.3"/>
    <row r="8271" s="160" customFormat="1" x14ac:dyDescent="0.3"/>
    <row r="8272" s="160" customFormat="1" x14ac:dyDescent="0.3"/>
    <row r="8273" s="160" customFormat="1" x14ac:dyDescent="0.3"/>
    <row r="8274" s="160" customFormat="1" x14ac:dyDescent="0.3"/>
    <row r="8275" s="160" customFormat="1" x14ac:dyDescent="0.3"/>
    <row r="8276" s="160" customFormat="1" x14ac:dyDescent="0.3"/>
    <row r="8277" s="160" customFormat="1" x14ac:dyDescent="0.3"/>
    <row r="8278" s="160" customFormat="1" x14ac:dyDescent="0.3"/>
    <row r="8279" s="160" customFormat="1" x14ac:dyDescent="0.3"/>
    <row r="8280" s="160" customFormat="1" x14ac:dyDescent="0.3"/>
    <row r="8281" s="160" customFormat="1" x14ac:dyDescent="0.3"/>
    <row r="8282" s="160" customFormat="1" x14ac:dyDescent="0.3"/>
    <row r="8283" s="160" customFormat="1" x14ac:dyDescent="0.3"/>
    <row r="8284" s="160" customFormat="1" x14ac:dyDescent="0.3"/>
    <row r="8285" s="160" customFormat="1" x14ac:dyDescent="0.3"/>
    <row r="8286" s="160" customFormat="1" x14ac:dyDescent="0.3"/>
    <row r="8287" s="160" customFormat="1" x14ac:dyDescent="0.3"/>
    <row r="8288" s="160" customFormat="1" x14ac:dyDescent="0.3"/>
    <row r="8289" s="160" customFormat="1" x14ac:dyDescent="0.3"/>
    <row r="8290" s="160" customFormat="1" x14ac:dyDescent="0.3"/>
    <row r="8291" s="160" customFormat="1" x14ac:dyDescent="0.3"/>
    <row r="8292" s="160" customFormat="1" x14ac:dyDescent="0.3"/>
    <row r="8293" s="160" customFormat="1" x14ac:dyDescent="0.3"/>
    <row r="8294" s="160" customFormat="1" x14ac:dyDescent="0.3"/>
    <row r="8295" s="160" customFormat="1" x14ac:dyDescent="0.3"/>
    <row r="8296" s="160" customFormat="1" x14ac:dyDescent="0.3"/>
    <row r="8297" s="160" customFormat="1" x14ac:dyDescent="0.3"/>
    <row r="8298" s="160" customFormat="1" x14ac:dyDescent="0.3"/>
    <row r="8299" s="160" customFormat="1" x14ac:dyDescent="0.3"/>
    <row r="8300" s="160" customFormat="1" x14ac:dyDescent="0.3"/>
    <row r="8301" s="160" customFormat="1" x14ac:dyDescent="0.3"/>
    <row r="8302" s="160" customFormat="1" x14ac:dyDescent="0.3"/>
    <row r="8303" s="160" customFormat="1" x14ac:dyDescent="0.3"/>
    <row r="8304" s="160" customFormat="1" x14ac:dyDescent="0.3"/>
    <row r="8305" s="160" customFormat="1" x14ac:dyDescent="0.3"/>
    <row r="8306" s="160" customFormat="1" x14ac:dyDescent="0.3"/>
    <row r="8307" s="160" customFormat="1" x14ac:dyDescent="0.3"/>
    <row r="8308" s="160" customFormat="1" x14ac:dyDescent="0.3"/>
    <row r="8309" s="160" customFormat="1" x14ac:dyDescent="0.3"/>
    <row r="8310" s="160" customFormat="1" x14ac:dyDescent="0.3"/>
    <row r="8311" s="160" customFormat="1" x14ac:dyDescent="0.3"/>
    <row r="8312" s="160" customFormat="1" x14ac:dyDescent="0.3"/>
    <row r="8313" s="160" customFormat="1" x14ac:dyDescent="0.3"/>
    <row r="8314" s="160" customFormat="1" x14ac:dyDescent="0.3"/>
    <row r="8315" s="160" customFormat="1" x14ac:dyDescent="0.3"/>
    <row r="8316" s="160" customFormat="1" x14ac:dyDescent="0.3"/>
    <row r="8317" s="160" customFormat="1" x14ac:dyDescent="0.3"/>
    <row r="8318" s="160" customFormat="1" x14ac:dyDescent="0.3"/>
    <row r="8319" s="160" customFormat="1" x14ac:dyDescent="0.3"/>
    <row r="8320" s="160" customFormat="1" x14ac:dyDescent="0.3"/>
    <row r="8321" s="160" customFormat="1" x14ac:dyDescent="0.3"/>
    <row r="8322" s="160" customFormat="1" x14ac:dyDescent="0.3"/>
    <row r="8323" s="160" customFormat="1" x14ac:dyDescent="0.3"/>
    <row r="8324" s="160" customFormat="1" x14ac:dyDescent="0.3"/>
    <row r="8325" s="160" customFormat="1" x14ac:dyDescent="0.3"/>
    <row r="8326" s="160" customFormat="1" x14ac:dyDescent="0.3"/>
    <row r="8327" s="160" customFormat="1" x14ac:dyDescent="0.3"/>
    <row r="8328" s="160" customFormat="1" x14ac:dyDescent="0.3"/>
    <row r="8329" s="160" customFormat="1" x14ac:dyDescent="0.3"/>
    <row r="8330" s="160" customFormat="1" x14ac:dyDescent="0.3"/>
    <row r="8331" s="160" customFormat="1" x14ac:dyDescent="0.3"/>
    <row r="8332" s="160" customFormat="1" x14ac:dyDescent="0.3"/>
    <row r="8333" s="160" customFormat="1" x14ac:dyDescent="0.3"/>
    <row r="8334" s="160" customFormat="1" x14ac:dyDescent="0.3"/>
    <row r="8335" s="160" customFormat="1" x14ac:dyDescent="0.3"/>
    <row r="8336" s="160" customFormat="1" x14ac:dyDescent="0.3"/>
    <row r="8337" s="160" customFormat="1" x14ac:dyDescent="0.3"/>
    <row r="8338" s="160" customFormat="1" x14ac:dyDescent="0.3"/>
    <row r="8339" s="160" customFormat="1" x14ac:dyDescent="0.3"/>
    <row r="8340" s="160" customFormat="1" x14ac:dyDescent="0.3"/>
    <row r="8341" s="160" customFormat="1" x14ac:dyDescent="0.3"/>
    <row r="8342" s="160" customFormat="1" x14ac:dyDescent="0.3"/>
    <row r="8343" s="160" customFormat="1" x14ac:dyDescent="0.3"/>
    <row r="8344" s="160" customFormat="1" x14ac:dyDescent="0.3"/>
    <row r="8345" s="160" customFormat="1" x14ac:dyDescent="0.3"/>
    <row r="8346" s="160" customFormat="1" x14ac:dyDescent="0.3"/>
    <row r="8347" s="160" customFormat="1" x14ac:dyDescent="0.3"/>
    <row r="8348" s="160" customFormat="1" x14ac:dyDescent="0.3"/>
    <row r="8349" s="160" customFormat="1" x14ac:dyDescent="0.3"/>
    <row r="8350" s="160" customFormat="1" x14ac:dyDescent="0.3"/>
    <row r="8351" s="160" customFormat="1" x14ac:dyDescent="0.3"/>
    <row r="8352" s="160" customFormat="1" x14ac:dyDescent="0.3"/>
    <row r="8353" s="160" customFormat="1" x14ac:dyDescent="0.3"/>
    <row r="8354" s="160" customFormat="1" x14ac:dyDescent="0.3"/>
    <row r="8355" s="160" customFormat="1" x14ac:dyDescent="0.3"/>
    <row r="8356" s="160" customFormat="1" x14ac:dyDescent="0.3"/>
    <row r="8357" s="160" customFormat="1" x14ac:dyDescent="0.3"/>
    <row r="8358" s="160" customFormat="1" x14ac:dyDescent="0.3"/>
    <row r="8359" s="160" customFormat="1" x14ac:dyDescent="0.3"/>
    <row r="8360" s="160" customFormat="1" x14ac:dyDescent="0.3"/>
    <row r="8361" s="160" customFormat="1" x14ac:dyDescent="0.3"/>
    <row r="8362" s="160" customFormat="1" x14ac:dyDescent="0.3"/>
    <row r="8363" s="160" customFormat="1" x14ac:dyDescent="0.3"/>
    <row r="8364" s="160" customFormat="1" x14ac:dyDescent="0.3"/>
    <row r="8365" s="160" customFormat="1" x14ac:dyDescent="0.3"/>
    <row r="8366" s="160" customFormat="1" x14ac:dyDescent="0.3"/>
    <row r="8367" s="160" customFormat="1" x14ac:dyDescent="0.3"/>
    <row r="8368" s="160" customFormat="1" x14ac:dyDescent="0.3"/>
    <row r="8369" s="160" customFormat="1" x14ac:dyDescent="0.3"/>
    <row r="8370" s="160" customFormat="1" x14ac:dyDescent="0.3"/>
    <row r="8371" s="160" customFormat="1" x14ac:dyDescent="0.3"/>
    <row r="8372" s="160" customFormat="1" x14ac:dyDescent="0.3"/>
    <row r="8373" s="160" customFormat="1" x14ac:dyDescent="0.3"/>
    <row r="8374" s="160" customFormat="1" x14ac:dyDescent="0.3"/>
    <row r="8375" s="160" customFormat="1" x14ac:dyDescent="0.3"/>
    <row r="8376" s="160" customFormat="1" x14ac:dyDescent="0.3"/>
    <row r="8377" s="160" customFormat="1" x14ac:dyDescent="0.3"/>
    <row r="8378" s="160" customFormat="1" x14ac:dyDescent="0.3"/>
    <row r="8379" s="160" customFormat="1" x14ac:dyDescent="0.3"/>
    <row r="8380" s="160" customFormat="1" x14ac:dyDescent="0.3"/>
    <row r="8381" s="160" customFormat="1" x14ac:dyDescent="0.3"/>
    <row r="8382" s="160" customFormat="1" x14ac:dyDescent="0.3"/>
    <row r="8383" s="160" customFormat="1" x14ac:dyDescent="0.3"/>
    <row r="8384" s="160" customFormat="1" x14ac:dyDescent="0.3"/>
    <row r="8385" s="160" customFormat="1" x14ac:dyDescent="0.3"/>
    <row r="8386" s="160" customFormat="1" x14ac:dyDescent="0.3"/>
    <row r="8387" s="160" customFormat="1" x14ac:dyDescent="0.3"/>
    <row r="8388" s="160" customFormat="1" x14ac:dyDescent="0.3"/>
    <row r="8389" s="160" customFormat="1" x14ac:dyDescent="0.3"/>
    <row r="8390" s="160" customFormat="1" x14ac:dyDescent="0.3"/>
    <row r="8391" s="160" customFormat="1" x14ac:dyDescent="0.3"/>
    <row r="8392" s="160" customFormat="1" x14ac:dyDescent="0.3"/>
    <row r="8393" s="160" customFormat="1" x14ac:dyDescent="0.3"/>
    <row r="8394" s="160" customFormat="1" x14ac:dyDescent="0.3"/>
    <row r="8395" s="160" customFormat="1" x14ac:dyDescent="0.3"/>
    <row r="8396" s="160" customFormat="1" x14ac:dyDescent="0.3"/>
    <row r="8397" s="160" customFormat="1" x14ac:dyDescent="0.3"/>
    <row r="8398" s="160" customFormat="1" x14ac:dyDescent="0.3"/>
    <row r="8399" s="160" customFormat="1" x14ac:dyDescent="0.3"/>
    <row r="8400" s="160" customFormat="1" x14ac:dyDescent="0.3"/>
    <row r="8401" s="160" customFormat="1" x14ac:dyDescent="0.3"/>
    <row r="8402" s="160" customFormat="1" x14ac:dyDescent="0.3"/>
    <row r="8403" s="160" customFormat="1" x14ac:dyDescent="0.3"/>
    <row r="8404" s="160" customFormat="1" x14ac:dyDescent="0.3"/>
    <row r="8405" s="160" customFormat="1" x14ac:dyDescent="0.3"/>
    <row r="8406" s="160" customFormat="1" x14ac:dyDescent="0.3"/>
    <row r="8407" s="160" customFormat="1" x14ac:dyDescent="0.3"/>
    <row r="8408" s="160" customFormat="1" x14ac:dyDescent="0.3"/>
    <row r="8409" s="160" customFormat="1" x14ac:dyDescent="0.3"/>
    <row r="8410" s="160" customFormat="1" x14ac:dyDescent="0.3"/>
    <row r="8411" s="160" customFormat="1" x14ac:dyDescent="0.3"/>
    <row r="8412" s="160" customFormat="1" x14ac:dyDescent="0.3"/>
    <row r="8413" s="160" customFormat="1" x14ac:dyDescent="0.3"/>
    <row r="8414" s="160" customFormat="1" x14ac:dyDescent="0.3"/>
    <row r="8415" s="160" customFormat="1" x14ac:dyDescent="0.3"/>
    <row r="8416" s="160" customFormat="1" x14ac:dyDescent="0.3"/>
    <row r="8417" s="160" customFormat="1" x14ac:dyDescent="0.3"/>
    <row r="8418" s="160" customFormat="1" x14ac:dyDescent="0.3"/>
    <row r="8419" s="160" customFormat="1" x14ac:dyDescent="0.3"/>
    <row r="8420" s="160" customFormat="1" x14ac:dyDescent="0.3"/>
    <row r="8421" s="160" customFormat="1" x14ac:dyDescent="0.3"/>
    <row r="8422" s="160" customFormat="1" x14ac:dyDescent="0.3"/>
    <row r="8423" s="160" customFormat="1" x14ac:dyDescent="0.3"/>
    <row r="8424" s="160" customFormat="1" x14ac:dyDescent="0.3"/>
    <row r="8425" s="160" customFormat="1" x14ac:dyDescent="0.3"/>
    <row r="8426" s="160" customFormat="1" x14ac:dyDescent="0.3"/>
    <row r="8427" s="160" customFormat="1" x14ac:dyDescent="0.3"/>
    <row r="8428" s="160" customFormat="1" x14ac:dyDescent="0.3"/>
    <row r="8429" s="160" customFormat="1" x14ac:dyDescent="0.3"/>
    <row r="8430" s="160" customFormat="1" x14ac:dyDescent="0.3"/>
    <row r="8431" s="160" customFormat="1" x14ac:dyDescent="0.3"/>
    <row r="8432" s="160" customFormat="1" x14ac:dyDescent="0.3"/>
    <row r="8433" s="160" customFormat="1" x14ac:dyDescent="0.3"/>
    <row r="8434" s="160" customFormat="1" x14ac:dyDescent="0.3"/>
    <row r="8435" s="160" customFormat="1" x14ac:dyDescent="0.3"/>
    <row r="8436" s="160" customFormat="1" x14ac:dyDescent="0.3"/>
    <row r="8437" s="160" customFormat="1" x14ac:dyDescent="0.3"/>
    <row r="8438" s="160" customFormat="1" x14ac:dyDescent="0.3"/>
    <row r="8439" s="160" customFormat="1" x14ac:dyDescent="0.3"/>
    <row r="8440" s="160" customFormat="1" x14ac:dyDescent="0.3"/>
    <row r="8441" s="160" customFormat="1" x14ac:dyDescent="0.3"/>
    <row r="8442" s="160" customFormat="1" x14ac:dyDescent="0.3"/>
    <row r="8443" s="160" customFormat="1" x14ac:dyDescent="0.3"/>
    <row r="8444" s="160" customFormat="1" x14ac:dyDescent="0.3"/>
    <row r="8445" s="160" customFormat="1" x14ac:dyDescent="0.3"/>
    <row r="8446" s="160" customFormat="1" x14ac:dyDescent="0.3"/>
    <row r="8447" s="160" customFormat="1" x14ac:dyDescent="0.3"/>
    <row r="8448" s="160" customFormat="1" x14ac:dyDescent="0.3"/>
    <row r="8449" s="160" customFormat="1" x14ac:dyDescent="0.3"/>
    <row r="8450" s="160" customFormat="1" x14ac:dyDescent="0.3"/>
    <row r="8451" s="160" customFormat="1" x14ac:dyDescent="0.3"/>
    <row r="8452" s="160" customFormat="1" x14ac:dyDescent="0.3"/>
    <row r="8453" s="160" customFormat="1" x14ac:dyDescent="0.3"/>
    <row r="8454" s="160" customFormat="1" x14ac:dyDescent="0.3"/>
    <row r="8455" s="160" customFormat="1" x14ac:dyDescent="0.3"/>
    <row r="8456" s="160" customFormat="1" x14ac:dyDescent="0.3"/>
    <row r="8457" s="160" customFormat="1" x14ac:dyDescent="0.3"/>
    <row r="8458" s="160" customFormat="1" x14ac:dyDescent="0.3"/>
    <row r="8459" s="160" customFormat="1" x14ac:dyDescent="0.3"/>
    <row r="8460" s="160" customFormat="1" x14ac:dyDescent="0.3"/>
    <row r="8461" s="160" customFormat="1" x14ac:dyDescent="0.3"/>
    <row r="8462" s="160" customFormat="1" x14ac:dyDescent="0.3"/>
    <row r="8463" s="160" customFormat="1" x14ac:dyDescent="0.3"/>
    <row r="8464" s="160" customFormat="1" x14ac:dyDescent="0.3"/>
    <row r="8465" s="160" customFormat="1" x14ac:dyDescent="0.3"/>
    <row r="8466" s="160" customFormat="1" x14ac:dyDescent="0.3"/>
    <row r="8467" s="160" customFormat="1" x14ac:dyDescent="0.3"/>
    <row r="8468" s="160" customFormat="1" x14ac:dyDescent="0.3"/>
    <row r="8469" s="160" customFormat="1" x14ac:dyDescent="0.3"/>
    <row r="8470" s="160" customFormat="1" x14ac:dyDescent="0.3"/>
    <row r="8471" s="160" customFormat="1" x14ac:dyDescent="0.3"/>
    <row r="8472" s="160" customFormat="1" x14ac:dyDescent="0.3"/>
    <row r="8473" s="160" customFormat="1" x14ac:dyDescent="0.3"/>
    <row r="8474" s="160" customFormat="1" x14ac:dyDescent="0.3"/>
    <row r="8475" s="160" customFormat="1" x14ac:dyDescent="0.3"/>
    <row r="8476" s="160" customFormat="1" x14ac:dyDescent="0.3"/>
    <row r="8477" s="160" customFormat="1" x14ac:dyDescent="0.3"/>
    <row r="8478" s="160" customFormat="1" x14ac:dyDescent="0.3"/>
    <row r="8479" s="160" customFormat="1" x14ac:dyDescent="0.3"/>
    <row r="8480" s="160" customFormat="1" x14ac:dyDescent="0.3"/>
    <row r="8481" s="160" customFormat="1" x14ac:dyDescent="0.3"/>
    <row r="8482" s="160" customFormat="1" x14ac:dyDescent="0.3"/>
    <row r="8483" s="160" customFormat="1" x14ac:dyDescent="0.3"/>
    <row r="8484" s="160" customFormat="1" x14ac:dyDescent="0.3"/>
    <row r="8485" s="160" customFormat="1" x14ac:dyDescent="0.3"/>
    <row r="8486" s="160" customFormat="1" x14ac:dyDescent="0.3"/>
    <row r="8487" s="160" customFormat="1" x14ac:dyDescent="0.3"/>
    <row r="8488" s="160" customFormat="1" x14ac:dyDescent="0.3"/>
    <row r="8489" s="160" customFormat="1" x14ac:dyDescent="0.3"/>
    <row r="8490" s="160" customFormat="1" x14ac:dyDescent="0.3"/>
    <row r="8491" s="160" customFormat="1" x14ac:dyDescent="0.3"/>
    <row r="8492" s="160" customFormat="1" x14ac:dyDescent="0.3"/>
    <row r="8493" s="160" customFormat="1" x14ac:dyDescent="0.3"/>
    <row r="8494" s="160" customFormat="1" x14ac:dyDescent="0.3"/>
    <row r="8495" s="160" customFormat="1" x14ac:dyDescent="0.3"/>
    <row r="8496" s="160" customFormat="1" x14ac:dyDescent="0.3"/>
    <row r="8497" s="160" customFormat="1" x14ac:dyDescent="0.3"/>
    <row r="8498" s="160" customFormat="1" x14ac:dyDescent="0.3"/>
    <row r="8499" s="160" customFormat="1" x14ac:dyDescent="0.3"/>
    <row r="8500" s="160" customFormat="1" x14ac:dyDescent="0.3"/>
    <row r="8501" s="160" customFormat="1" x14ac:dyDescent="0.3"/>
    <row r="8502" s="160" customFormat="1" x14ac:dyDescent="0.3"/>
    <row r="8503" s="160" customFormat="1" x14ac:dyDescent="0.3"/>
    <row r="8504" s="160" customFormat="1" x14ac:dyDescent="0.3"/>
    <row r="8505" s="160" customFormat="1" x14ac:dyDescent="0.3"/>
    <row r="8506" s="160" customFormat="1" x14ac:dyDescent="0.3"/>
    <row r="8507" s="160" customFormat="1" x14ac:dyDescent="0.3"/>
    <row r="8508" s="160" customFormat="1" x14ac:dyDescent="0.3"/>
    <row r="8509" s="160" customFormat="1" x14ac:dyDescent="0.3"/>
    <row r="8510" s="160" customFormat="1" x14ac:dyDescent="0.3"/>
    <row r="8511" s="160" customFormat="1" x14ac:dyDescent="0.3"/>
    <row r="8512" s="160" customFormat="1" x14ac:dyDescent="0.3"/>
    <row r="8513" s="160" customFormat="1" x14ac:dyDescent="0.3"/>
    <row r="8514" s="160" customFormat="1" x14ac:dyDescent="0.3"/>
    <row r="8515" s="160" customFormat="1" x14ac:dyDescent="0.3"/>
    <row r="8516" s="160" customFormat="1" x14ac:dyDescent="0.3"/>
    <row r="8517" s="160" customFormat="1" x14ac:dyDescent="0.3"/>
    <row r="8518" s="160" customFormat="1" x14ac:dyDescent="0.3"/>
    <row r="8519" s="160" customFormat="1" x14ac:dyDescent="0.3"/>
    <row r="8520" s="160" customFormat="1" x14ac:dyDescent="0.3"/>
    <row r="8521" s="160" customFormat="1" x14ac:dyDescent="0.3"/>
    <row r="8522" s="160" customFormat="1" x14ac:dyDescent="0.3"/>
    <row r="8523" s="160" customFormat="1" x14ac:dyDescent="0.3"/>
    <row r="8524" s="160" customFormat="1" x14ac:dyDescent="0.3"/>
    <row r="8525" s="160" customFormat="1" x14ac:dyDescent="0.3"/>
    <row r="8526" s="160" customFormat="1" x14ac:dyDescent="0.3"/>
    <row r="8527" s="160" customFormat="1" x14ac:dyDescent="0.3"/>
    <row r="8528" s="160" customFormat="1" x14ac:dyDescent="0.3"/>
    <row r="8529" s="160" customFormat="1" x14ac:dyDescent="0.3"/>
    <row r="8530" s="160" customFormat="1" x14ac:dyDescent="0.3"/>
    <row r="8531" s="160" customFormat="1" x14ac:dyDescent="0.3"/>
    <row r="8532" s="160" customFormat="1" x14ac:dyDescent="0.3"/>
    <row r="8533" s="160" customFormat="1" x14ac:dyDescent="0.3"/>
    <row r="8534" s="160" customFormat="1" x14ac:dyDescent="0.3"/>
    <row r="8535" s="160" customFormat="1" x14ac:dyDescent="0.3"/>
    <row r="8536" s="160" customFormat="1" x14ac:dyDescent="0.3"/>
    <row r="8537" s="160" customFormat="1" x14ac:dyDescent="0.3"/>
    <row r="8538" s="160" customFormat="1" x14ac:dyDescent="0.3"/>
    <row r="8539" s="160" customFormat="1" x14ac:dyDescent="0.3"/>
    <row r="8540" s="160" customFormat="1" x14ac:dyDescent="0.3"/>
    <row r="8541" s="160" customFormat="1" x14ac:dyDescent="0.3"/>
    <row r="8542" s="160" customFormat="1" x14ac:dyDescent="0.3"/>
    <row r="8543" s="160" customFormat="1" x14ac:dyDescent="0.3"/>
    <row r="8544" s="160" customFormat="1" x14ac:dyDescent="0.3"/>
    <row r="8545" s="160" customFormat="1" x14ac:dyDescent="0.3"/>
    <row r="8546" s="160" customFormat="1" x14ac:dyDescent="0.3"/>
    <row r="8547" s="160" customFormat="1" x14ac:dyDescent="0.3"/>
    <row r="8548" s="160" customFormat="1" x14ac:dyDescent="0.3"/>
    <row r="8549" s="160" customFormat="1" x14ac:dyDescent="0.3"/>
    <row r="8550" s="160" customFormat="1" x14ac:dyDescent="0.3"/>
    <row r="8551" s="160" customFormat="1" x14ac:dyDescent="0.3"/>
    <row r="8552" s="160" customFormat="1" x14ac:dyDescent="0.3"/>
    <row r="8553" s="160" customFormat="1" x14ac:dyDescent="0.3"/>
    <row r="8554" s="160" customFormat="1" x14ac:dyDescent="0.3"/>
    <row r="8555" s="160" customFormat="1" x14ac:dyDescent="0.3"/>
    <row r="8556" s="160" customFormat="1" x14ac:dyDescent="0.3"/>
    <row r="8557" s="160" customFormat="1" x14ac:dyDescent="0.3"/>
    <row r="8558" s="160" customFormat="1" x14ac:dyDescent="0.3"/>
    <row r="8559" s="160" customFormat="1" x14ac:dyDescent="0.3"/>
    <row r="8560" s="160" customFormat="1" x14ac:dyDescent="0.3"/>
    <row r="8561" s="160" customFormat="1" x14ac:dyDescent="0.3"/>
    <row r="8562" s="160" customFormat="1" x14ac:dyDescent="0.3"/>
    <row r="8563" s="160" customFormat="1" x14ac:dyDescent="0.3"/>
    <row r="8564" s="160" customFormat="1" x14ac:dyDescent="0.3"/>
    <row r="8565" s="160" customFormat="1" x14ac:dyDescent="0.3"/>
    <row r="8566" s="160" customFormat="1" x14ac:dyDescent="0.3"/>
    <row r="8567" s="160" customFormat="1" x14ac:dyDescent="0.3"/>
    <row r="8568" s="160" customFormat="1" x14ac:dyDescent="0.3"/>
    <row r="8569" s="160" customFormat="1" x14ac:dyDescent="0.3"/>
    <row r="8570" s="160" customFormat="1" x14ac:dyDescent="0.3"/>
    <row r="8571" s="160" customFormat="1" x14ac:dyDescent="0.3"/>
    <row r="8572" s="160" customFormat="1" x14ac:dyDescent="0.3"/>
    <row r="8573" s="160" customFormat="1" x14ac:dyDescent="0.3"/>
    <row r="8574" s="160" customFormat="1" x14ac:dyDescent="0.3"/>
    <row r="8575" s="160" customFormat="1" x14ac:dyDescent="0.3"/>
    <row r="8576" s="160" customFormat="1" x14ac:dyDescent="0.3"/>
    <row r="8577" s="160" customFormat="1" x14ac:dyDescent="0.3"/>
    <row r="8578" s="160" customFormat="1" x14ac:dyDescent="0.3"/>
    <row r="8579" s="160" customFormat="1" x14ac:dyDescent="0.3"/>
    <row r="8580" s="160" customFormat="1" x14ac:dyDescent="0.3"/>
    <row r="8581" s="160" customFormat="1" x14ac:dyDescent="0.3"/>
    <row r="8582" s="160" customFormat="1" x14ac:dyDescent="0.3"/>
    <row r="8583" s="160" customFormat="1" x14ac:dyDescent="0.3"/>
    <row r="8584" s="160" customFormat="1" x14ac:dyDescent="0.3"/>
    <row r="8585" s="160" customFormat="1" x14ac:dyDescent="0.3"/>
    <row r="8586" s="160" customFormat="1" x14ac:dyDescent="0.3"/>
    <row r="8587" s="160" customFormat="1" x14ac:dyDescent="0.3"/>
    <row r="8588" s="160" customFormat="1" x14ac:dyDescent="0.3"/>
    <row r="8589" s="160" customFormat="1" x14ac:dyDescent="0.3"/>
    <row r="8590" s="160" customFormat="1" x14ac:dyDescent="0.3"/>
    <row r="8591" s="160" customFormat="1" x14ac:dyDescent="0.3"/>
    <row r="8592" s="160" customFormat="1" x14ac:dyDescent="0.3"/>
    <row r="8593" s="160" customFormat="1" x14ac:dyDescent="0.3"/>
    <row r="8594" s="160" customFormat="1" x14ac:dyDescent="0.3"/>
    <row r="8595" s="160" customFormat="1" x14ac:dyDescent="0.3"/>
    <row r="8596" s="160" customFormat="1" x14ac:dyDescent="0.3"/>
    <row r="8597" s="160" customFormat="1" x14ac:dyDescent="0.3"/>
    <row r="8598" s="160" customFormat="1" x14ac:dyDescent="0.3"/>
    <row r="8599" s="160" customFormat="1" x14ac:dyDescent="0.3"/>
    <row r="8600" s="160" customFormat="1" x14ac:dyDescent="0.3"/>
    <row r="8601" s="160" customFormat="1" x14ac:dyDescent="0.3"/>
    <row r="8602" s="160" customFormat="1" x14ac:dyDescent="0.3"/>
    <row r="8603" s="160" customFormat="1" x14ac:dyDescent="0.3"/>
    <row r="8604" s="160" customFormat="1" x14ac:dyDescent="0.3"/>
    <row r="8605" s="160" customFormat="1" x14ac:dyDescent="0.3"/>
    <row r="8606" s="160" customFormat="1" x14ac:dyDescent="0.3"/>
    <row r="8607" s="160" customFormat="1" x14ac:dyDescent="0.3"/>
    <row r="8608" s="160" customFormat="1" x14ac:dyDescent="0.3"/>
    <row r="8609" s="160" customFormat="1" x14ac:dyDescent="0.3"/>
    <row r="8610" s="160" customFormat="1" x14ac:dyDescent="0.3"/>
    <row r="8611" s="160" customFormat="1" x14ac:dyDescent="0.3"/>
    <row r="8612" s="160" customFormat="1" x14ac:dyDescent="0.3"/>
    <row r="8613" s="160" customFormat="1" x14ac:dyDescent="0.3"/>
    <row r="8614" s="160" customFormat="1" x14ac:dyDescent="0.3"/>
    <row r="8615" s="160" customFormat="1" x14ac:dyDescent="0.3"/>
    <row r="8616" s="160" customFormat="1" x14ac:dyDescent="0.3"/>
    <row r="8617" s="160" customFormat="1" x14ac:dyDescent="0.3"/>
    <row r="8618" s="160" customFormat="1" x14ac:dyDescent="0.3"/>
    <row r="8619" s="160" customFormat="1" x14ac:dyDescent="0.3"/>
    <row r="8620" s="160" customFormat="1" x14ac:dyDescent="0.3"/>
    <row r="8621" s="160" customFormat="1" x14ac:dyDescent="0.3"/>
    <row r="8622" s="160" customFormat="1" x14ac:dyDescent="0.3"/>
    <row r="8623" s="160" customFormat="1" x14ac:dyDescent="0.3"/>
    <row r="8624" s="160" customFormat="1" x14ac:dyDescent="0.3"/>
    <row r="8625" s="160" customFormat="1" x14ac:dyDescent="0.3"/>
    <row r="8626" s="160" customFormat="1" x14ac:dyDescent="0.3"/>
    <row r="8627" s="160" customFormat="1" x14ac:dyDescent="0.3"/>
    <row r="8628" s="160" customFormat="1" x14ac:dyDescent="0.3"/>
    <row r="8629" s="160" customFormat="1" x14ac:dyDescent="0.3"/>
    <row r="8630" s="160" customFormat="1" x14ac:dyDescent="0.3"/>
    <row r="8631" s="160" customFormat="1" x14ac:dyDescent="0.3"/>
    <row r="8632" s="160" customFormat="1" x14ac:dyDescent="0.3"/>
    <row r="8633" s="160" customFormat="1" x14ac:dyDescent="0.3"/>
    <row r="8634" s="160" customFormat="1" x14ac:dyDescent="0.3"/>
    <row r="8635" s="160" customFormat="1" x14ac:dyDescent="0.3"/>
    <row r="8636" s="160" customFormat="1" x14ac:dyDescent="0.3"/>
    <row r="8637" s="160" customFormat="1" x14ac:dyDescent="0.3"/>
    <row r="8638" s="160" customFormat="1" x14ac:dyDescent="0.3"/>
    <row r="8639" s="160" customFormat="1" x14ac:dyDescent="0.3"/>
    <row r="8640" s="160" customFormat="1" x14ac:dyDescent="0.3"/>
    <row r="8641" s="160" customFormat="1" x14ac:dyDescent="0.3"/>
    <row r="8642" s="160" customFormat="1" x14ac:dyDescent="0.3"/>
    <row r="8643" s="160" customFormat="1" x14ac:dyDescent="0.3"/>
    <row r="8644" s="160" customFormat="1" x14ac:dyDescent="0.3"/>
    <row r="8645" s="160" customFormat="1" x14ac:dyDescent="0.3"/>
    <row r="8646" s="160" customFormat="1" x14ac:dyDescent="0.3"/>
    <row r="8647" s="160" customFormat="1" x14ac:dyDescent="0.3"/>
    <row r="8648" s="160" customFormat="1" x14ac:dyDescent="0.3"/>
    <row r="8649" s="160" customFormat="1" x14ac:dyDescent="0.3"/>
    <row r="8650" s="160" customFormat="1" x14ac:dyDescent="0.3"/>
    <row r="8651" s="160" customFormat="1" x14ac:dyDescent="0.3"/>
    <row r="8652" s="160" customFormat="1" x14ac:dyDescent="0.3"/>
    <row r="8653" s="160" customFormat="1" x14ac:dyDescent="0.3"/>
    <row r="8654" s="160" customFormat="1" x14ac:dyDescent="0.3"/>
    <row r="8655" s="160" customFormat="1" x14ac:dyDescent="0.3"/>
    <row r="8656" s="160" customFormat="1" x14ac:dyDescent="0.3"/>
    <row r="8657" s="160" customFormat="1" x14ac:dyDescent="0.3"/>
    <row r="8658" s="160" customFormat="1" x14ac:dyDescent="0.3"/>
    <row r="8659" s="160" customFormat="1" x14ac:dyDescent="0.3"/>
    <row r="8660" s="160" customFormat="1" x14ac:dyDescent="0.3"/>
    <row r="8661" s="160" customFormat="1" x14ac:dyDescent="0.3"/>
    <row r="8662" s="160" customFormat="1" x14ac:dyDescent="0.3"/>
    <row r="8663" s="160" customFormat="1" x14ac:dyDescent="0.3"/>
    <row r="8664" s="160" customFormat="1" x14ac:dyDescent="0.3"/>
    <row r="8665" s="160" customFormat="1" x14ac:dyDescent="0.3"/>
    <row r="8666" s="160" customFormat="1" x14ac:dyDescent="0.3"/>
    <row r="8667" s="160" customFormat="1" x14ac:dyDescent="0.3"/>
    <row r="8668" s="160" customFormat="1" x14ac:dyDescent="0.3"/>
    <row r="8669" s="160" customFormat="1" x14ac:dyDescent="0.3"/>
    <row r="8670" s="160" customFormat="1" x14ac:dyDescent="0.3"/>
    <row r="8671" s="160" customFormat="1" x14ac:dyDescent="0.3"/>
    <row r="8672" s="160" customFormat="1" x14ac:dyDescent="0.3"/>
    <row r="8673" s="160" customFormat="1" x14ac:dyDescent="0.3"/>
    <row r="8674" s="160" customFormat="1" x14ac:dyDescent="0.3"/>
    <row r="8675" s="160" customFormat="1" x14ac:dyDescent="0.3"/>
    <row r="8676" s="160" customFormat="1" x14ac:dyDescent="0.3"/>
    <row r="8677" s="160" customFormat="1" x14ac:dyDescent="0.3"/>
    <row r="8678" s="160" customFormat="1" x14ac:dyDescent="0.3"/>
    <row r="8679" s="160" customFormat="1" x14ac:dyDescent="0.3"/>
    <row r="8680" s="160" customFormat="1" x14ac:dyDescent="0.3"/>
    <row r="8681" s="160" customFormat="1" x14ac:dyDescent="0.3"/>
    <row r="8682" s="160" customFormat="1" x14ac:dyDescent="0.3"/>
    <row r="8683" s="160" customFormat="1" x14ac:dyDescent="0.3"/>
    <row r="8684" s="160" customFormat="1" x14ac:dyDescent="0.3"/>
    <row r="8685" s="160" customFormat="1" x14ac:dyDescent="0.3"/>
    <row r="8686" s="160" customFormat="1" x14ac:dyDescent="0.3"/>
    <row r="8687" s="160" customFormat="1" x14ac:dyDescent="0.3"/>
    <row r="8688" s="160" customFormat="1" x14ac:dyDescent="0.3"/>
    <row r="8689" s="160" customFormat="1" x14ac:dyDescent="0.3"/>
    <row r="8690" s="160" customFormat="1" x14ac:dyDescent="0.3"/>
    <row r="8691" s="160" customFormat="1" x14ac:dyDescent="0.3"/>
    <row r="8692" s="160" customFormat="1" x14ac:dyDescent="0.3"/>
    <row r="8693" s="160" customFormat="1" x14ac:dyDescent="0.3"/>
    <row r="8694" s="160" customFormat="1" x14ac:dyDescent="0.3"/>
    <row r="8695" s="160" customFormat="1" x14ac:dyDescent="0.3"/>
    <row r="8696" s="160" customFormat="1" x14ac:dyDescent="0.3"/>
    <row r="8697" s="160" customFormat="1" x14ac:dyDescent="0.3"/>
    <row r="8698" s="160" customFormat="1" x14ac:dyDescent="0.3"/>
    <row r="8699" s="160" customFormat="1" x14ac:dyDescent="0.3"/>
    <row r="8700" s="160" customFormat="1" x14ac:dyDescent="0.3"/>
    <row r="8701" s="160" customFormat="1" x14ac:dyDescent="0.3"/>
    <row r="8702" s="160" customFormat="1" x14ac:dyDescent="0.3"/>
    <row r="8703" s="160" customFormat="1" x14ac:dyDescent="0.3"/>
    <row r="8704" s="160" customFormat="1" x14ac:dyDescent="0.3"/>
    <row r="8705" s="160" customFormat="1" x14ac:dyDescent="0.3"/>
    <row r="8706" s="160" customFormat="1" x14ac:dyDescent="0.3"/>
    <row r="8707" s="160" customFormat="1" x14ac:dyDescent="0.3"/>
    <row r="8708" s="160" customFormat="1" x14ac:dyDescent="0.3"/>
    <row r="8709" s="160" customFormat="1" x14ac:dyDescent="0.3"/>
    <row r="8710" s="160" customFormat="1" x14ac:dyDescent="0.3"/>
    <row r="8711" s="160" customFormat="1" x14ac:dyDescent="0.3"/>
    <row r="8712" s="160" customFormat="1" x14ac:dyDescent="0.3"/>
    <row r="8713" s="160" customFormat="1" x14ac:dyDescent="0.3"/>
    <row r="8714" s="160" customFormat="1" x14ac:dyDescent="0.3"/>
    <row r="8715" s="160" customFormat="1" x14ac:dyDescent="0.3"/>
    <row r="8716" s="160" customFormat="1" x14ac:dyDescent="0.3"/>
    <row r="8717" s="160" customFormat="1" x14ac:dyDescent="0.3"/>
    <row r="8718" s="160" customFormat="1" x14ac:dyDescent="0.3"/>
    <row r="8719" s="160" customFormat="1" x14ac:dyDescent="0.3"/>
    <row r="8720" s="160" customFormat="1" x14ac:dyDescent="0.3"/>
    <row r="8721" s="160" customFormat="1" x14ac:dyDescent="0.3"/>
    <row r="8722" s="160" customFormat="1" x14ac:dyDescent="0.3"/>
    <row r="8723" s="160" customFormat="1" x14ac:dyDescent="0.3"/>
    <row r="8724" s="160" customFormat="1" x14ac:dyDescent="0.3"/>
    <row r="8725" s="160" customFormat="1" x14ac:dyDescent="0.3"/>
    <row r="8726" s="160" customFormat="1" x14ac:dyDescent="0.3"/>
    <row r="8727" s="160" customFormat="1" x14ac:dyDescent="0.3"/>
    <row r="8728" s="160" customFormat="1" x14ac:dyDescent="0.3"/>
    <row r="8729" s="160" customFormat="1" x14ac:dyDescent="0.3"/>
    <row r="8730" s="160" customFormat="1" x14ac:dyDescent="0.3"/>
    <row r="8731" s="160" customFormat="1" x14ac:dyDescent="0.3"/>
    <row r="8732" s="160" customFormat="1" x14ac:dyDescent="0.3"/>
    <row r="8733" s="160" customFormat="1" x14ac:dyDescent="0.3"/>
    <row r="8734" s="160" customFormat="1" x14ac:dyDescent="0.3"/>
    <row r="8735" s="160" customFormat="1" x14ac:dyDescent="0.3"/>
    <row r="8736" s="160" customFormat="1" x14ac:dyDescent="0.3"/>
    <row r="8737" s="160" customFormat="1" x14ac:dyDescent="0.3"/>
    <row r="8738" s="160" customFormat="1" x14ac:dyDescent="0.3"/>
    <row r="8739" s="160" customFormat="1" x14ac:dyDescent="0.3"/>
    <row r="8740" s="160" customFormat="1" x14ac:dyDescent="0.3"/>
    <row r="8741" s="160" customFormat="1" x14ac:dyDescent="0.3"/>
    <row r="8742" s="160" customFormat="1" x14ac:dyDescent="0.3"/>
    <row r="8743" s="160" customFormat="1" x14ac:dyDescent="0.3"/>
    <row r="8744" s="160" customFormat="1" x14ac:dyDescent="0.3"/>
    <row r="8745" s="160" customFormat="1" x14ac:dyDescent="0.3"/>
    <row r="8746" s="160" customFormat="1" x14ac:dyDescent="0.3"/>
    <row r="8747" s="160" customFormat="1" x14ac:dyDescent="0.3"/>
    <row r="8748" s="160" customFormat="1" x14ac:dyDescent="0.3"/>
    <row r="8749" s="160" customFormat="1" x14ac:dyDescent="0.3"/>
    <row r="8750" s="160" customFormat="1" x14ac:dyDescent="0.3"/>
    <row r="8751" s="160" customFormat="1" x14ac:dyDescent="0.3"/>
    <row r="8752" s="160" customFormat="1" x14ac:dyDescent="0.3"/>
    <row r="8753" s="160" customFormat="1" x14ac:dyDescent="0.3"/>
    <row r="8754" s="160" customFormat="1" x14ac:dyDescent="0.3"/>
    <row r="8755" s="160" customFormat="1" x14ac:dyDescent="0.3"/>
    <row r="8756" s="160" customFormat="1" x14ac:dyDescent="0.3"/>
    <row r="8757" s="160" customFormat="1" x14ac:dyDescent="0.3"/>
    <row r="8758" s="160" customFormat="1" x14ac:dyDescent="0.3"/>
    <row r="8759" s="160" customFormat="1" x14ac:dyDescent="0.3"/>
    <row r="8760" s="160" customFormat="1" x14ac:dyDescent="0.3"/>
    <row r="8761" s="160" customFormat="1" x14ac:dyDescent="0.3"/>
    <row r="8762" s="160" customFormat="1" x14ac:dyDescent="0.3"/>
    <row r="8763" s="160" customFormat="1" x14ac:dyDescent="0.3"/>
    <row r="8764" s="160" customFormat="1" x14ac:dyDescent="0.3"/>
    <row r="8765" s="160" customFormat="1" x14ac:dyDescent="0.3"/>
    <row r="8766" s="160" customFormat="1" x14ac:dyDescent="0.3"/>
    <row r="8767" s="160" customFormat="1" x14ac:dyDescent="0.3"/>
    <row r="8768" s="160" customFormat="1" x14ac:dyDescent="0.3"/>
    <row r="8769" s="160" customFormat="1" x14ac:dyDescent="0.3"/>
    <row r="8770" s="160" customFormat="1" x14ac:dyDescent="0.3"/>
    <row r="8771" s="160" customFormat="1" x14ac:dyDescent="0.3"/>
    <row r="8772" s="160" customFormat="1" x14ac:dyDescent="0.3"/>
    <row r="8773" s="160" customFormat="1" x14ac:dyDescent="0.3"/>
    <row r="8774" s="160" customFormat="1" x14ac:dyDescent="0.3"/>
    <row r="8775" s="160" customFormat="1" x14ac:dyDescent="0.3"/>
    <row r="8776" s="160" customFormat="1" x14ac:dyDescent="0.3"/>
    <row r="8777" s="160" customFormat="1" x14ac:dyDescent="0.3"/>
    <row r="8778" s="160" customFormat="1" x14ac:dyDescent="0.3"/>
    <row r="8779" s="160" customFormat="1" x14ac:dyDescent="0.3"/>
    <row r="8780" s="160" customFormat="1" x14ac:dyDescent="0.3"/>
    <row r="8781" s="160" customFormat="1" x14ac:dyDescent="0.3"/>
    <row r="8782" s="160" customFormat="1" x14ac:dyDescent="0.3"/>
    <row r="8783" s="160" customFormat="1" x14ac:dyDescent="0.3"/>
    <row r="8784" s="160" customFormat="1" x14ac:dyDescent="0.3"/>
    <row r="8785" s="160" customFormat="1" x14ac:dyDescent="0.3"/>
    <row r="8786" s="160" customFormat="1" x14ac:dyDescent="0.3"/>
    <row r="8787" s="160" customFormat="1" x14ac:dyDescent="0.3"/>
    <row r="8788" s="160" customFormat="1" x14ac:dyDescent="0.3"/>
    <row r="8789" s="160" customFormat="1" x14ac:dyDescent="0.3"/>
    <row r="8790" s="160" customFormat="1" x14ac:dyDescent="0.3"/>
    <row r="8791" s="160" customFormat="1" x14ac:dyDescent="0.3"/>
    <row r="8792" s="160" customFormat="1" x14ac:dyDescent="0.3"/>
    <row r="8793" s="160" customFormat="1" x14ac:dyDescent="0.3"/>
    <row r="8794" s="160" customFormat="1" x14ac:dyDescent="0.3"/>
    <row r="8795" s="160" customFormat="1" x14ac:dyDescent="0.3"/>
    <row r="8796" s="160" customFormat="1" x14ac:dyDescent="0.3"/>
    <row r="8797" s="160" customFormat="1" x14ac:dyDescent="0.3"/>
    <row r="8798" s="160" customFormat="1" x14ac:dyDescent="0.3"/>
    <row r="8799" s="160" customFormat="1" x14ac:dyDescent="0.3"/>
    <row r="8800" s="160" customFormat="1" x14ac:dyDescent="0.3"/>
    <row r="8801" s="160" customFormat="1" x14ac:dyDescent="0.3"/>
    <row r="8802" s="160" customFormat="1" x14ac:dyDescent="0.3"/>
    <row r="8803" s="160" customFormat="1" x14ac:dyDescent="0.3"/>
    <row r="8804" s="160" customFormat="1" x14ac:dyDescent="0.3"/>
    <row r="8805" s="160" customFormat="1" x14ac:dyDescent="0.3"/>
    <row r="8806" s="160" customFormat="1" x14ac:dyDescent="0.3"/>
    <row r="8807" s="160" customFormat="1" x14ac:dyDescent="0.3"/>
    <row r="8808" s="160" customFormat="1" x14ac:dyDescent="0.3"/>
    <row r="8809" s="160" customFormat="1" x14ac:dyDescent="0.3"/>
    <row r="8810" s="160" customFormat="1" x14ac:dyDescent="0.3"/>
    <row r="8811" s="160" customFormat="1" x14ac:dyDescent="0.3"/>
    <row r="8812" s="160" customFormat="1" x14ac:dyDescent="0.3"/>
    <row r="8813" s="160" customFormat="1" x14ac:dyDescent="0.3"/>
    <row r="8814" s="160" customFormat="1" x14ac:dyDescent="0.3"/>
    <row r="8815" s="160" customFormat="1" x14ac:dyDescent="0.3"/>
    <row r="8816" s="160" customFormat="1" x14ac:dyDescent="0.3"/>
    <row r="8817" s="160" customFormat="1" x14ac:dyDescent="0.3"/>
    <row r="8818" s="160" customFormat="1" x14ac:dyDescent="0.3"/>
    <row r="8819" s="160" customFormat="1" x14ac:dyDescent="0.3"/>
    <row r="8820" s="160" customFormat="1" x14ac:dyDescent="0.3"/>
    <row r="8821" s="160" customFormat="1" x14ac:dyDescent="0.3"/>
    <row r="8822" s="160" customFormat="1" x14ac:dyDescent="0.3"/>
    <row r="8823" s="160" customFormat="1" x14ac:dyDescent="0.3"/>
    <row r="8824" s="160" customFormat="1" x14ac:dyDescent="0.3"/>
    <row r="8825" s="160" customFormat="1" x14ac:dyDescent="0.3"/>
    <row r="8826" s="160" customFormat="1" x14ac:dyDescent="0.3"/>
    <row r="8827" s="160" customFormat="1" x14ac:dyDescent="0.3"/>
    <row r="8828" s="160" customFormat="1" x14ac:dyDescent="0.3"/>
    <row r="8829" s="160" customFormat="1" x14ac:dyDescent="0.3"/>
    <row r="8830" s="160" customFormat="1" x14ac:dyDescent="0.3"/>
    <row r="8831" s="160" customFormat="1" x14ac:dyDescent="0.3"/>
    <row r="8832" s="160" customFormat="1" x14ac:dyDescent="0.3"/>
    <row r="8833" s="160" customFormat="1" x14ac:dyDescent="0.3"/>
    <row r="8834" s="160" customFormat="1" x14ac:dyDescent="0.3"/>
    <row r="8835" s="160" customFormat="1" x14ac:dyDescent="0.3"/>
    <row r="8836" s="160" customFormat="1" x14ac:dyDescent="0.3"/>
    <row r="8837" s="160" customFormat="1" x14ac:dyDescent="0.3"/>
    <row r="8838" s="160" customFormat="1" x14ac:dyDescent="0.3"/>
    <row r="8839" s="160" customFormat="1" x14ac:dyDescent="0.3"/>
    <row r="8840" s="160" customFormat="1" x14ac:dyDescent="0.3"/>
    <row r="8841" s="160" customFormat="1" x14ac:dyDescent="0.3"/>
    <row r="8842" s="160" customFormat="1" x14ac:dyDescent="0.3"/>
    <row r="8843" s="160" customFormat="1" x14ac:dyDescent="0.3"/>
    <row r="8844" s="160" customFormat="1" x14ac:dyDescent="0.3"/>
    <row r="8845" s="160" customFormat="1" x14ac:dyDescent="0.3"/>
    <row r="8846" s="160" customFormat="1" x14ac:dyDescent="0.3"/>
    <row r="8847" s="160" customFormat="1" x14ac:dyDescent="0.3"/>
    <row r="8848" s="160" customFormat="1" x14ac:dyDescent="0.3"/>
    <row r="8849" s="160" customFormat="1" x14ac:dyDescent="0.3"/>
    <row r="8850" s="160" customFormat="1" x14ac:dyDescent="0.3"/>
    <row r="8851" s="160" customFormat="1" x14ac:dyDescent="0.3"/>
    <row r="8852" s="160" customFormat="1" x14ac:dyDescent="0.3"/>
    <row r="8853" s="160" customFormat="1" x14ac:dyDescent="0.3"/>
    <row r="8854" s="160" customFormat="1" x14ac:dyDescent="0.3"/>
    <row r="8855" s="160" customFormat="1" x14ac:dyDescent="0.3"/>
    <row r="8856" s="160" customFormat="1" x14ac:dyDescent="0.3"/>
    <row r="8857" s="160" customFormat="1" x14ac:dyDescent="0.3"/>
    <row r="8858" s="160" customFormat="1" x14ac:dyDescent="0.3"/>
    <row r="8859" s="160" customFormat="1" x14ac:dyDescent="0.3"/>
    <row r="8860" s="160" customFormat="1" x14ac:dyDescent="0.3"/>
    <row r="8861" s="160" customFormat="1" x14ac:dyDescent="0.3"/>
    <row r="8862" s="160" customFormat="1" x14ac:dyDescent="0.3"/>
    <row r="8863" s="160" customFormat="1" x14ac:dyDescent="0.3"/>
    <row r="8864" s="160" customFormat="1" x14ac:dyDescent="0.3"/>
    <row r="8865" s="160" customFormat="1" x14ac:dyDescent="0.3"/>
    <row r="8866" s="160" customFormat="1" x14ac:dyDescent="0.3"/>
    <row r="8867" s="160" customFormat="1" x14ac:dyDescent="0.3"/>
    <row r="8868" s="160" customFormat="1" x14ac:dyDescent="0.3"/>
    <row r="8869" s="160" customFormat="1" x14ac:dyDescent="0.3"/>
    <row r="8870" s="160" customFormat="1" x14ac:dyDescent="0.3"/>
    <row r="8871" s="160" customFormat="1" x14ac:dyDescent="0.3"/>
    <row r="8872" s="160" customFormat="1" x14ac:dyDescent="0.3"/>
    <row r="8873" s="160" customFormat="1" x14ac:dyDescent="0.3"/>
    <row r="8874" s="160" customFormat="1" x14ac:dyDescent="0.3"/>
    <row r="8875" s="160" customFormat="1" x14ac:dyDescent="0.3"/>
    <row r="8876" s="160" customFormat="1" x14ac:dyDescent="0.3"/>
    <row r="8877" s="160" customFormat="1" x14ac:dyDescent="0.3"/>
    <row r="8878" s="160" customFormat="1" x14ac:dyDescent="0.3"/>
    <row r="8879" s="160" customFormat="1" x14ac:dyDescent="0.3"/>
    <row r="8880" s="160" customFormat="1" x14ac:dyDescent="0.3"/>
    <row r="8881" s="160" customFormat="1" x14ac:dyDescent="0.3"/>
    <row r="8882" s="160" customFormat="1" x14ac:dyDescent="0.3"/>
    <row r="8883" s="160" customFormat="1" x14ac:dyDescent="0.3"/>
    <row r="8884" s="160" customFormat="1" x14ac:dyDescent="0.3"/>
    <row r="8885" s="160" customFormat="1" x14ac:dyDescent="0.3"/>
    <row r="8886" s="160" customFormat="1" x14ac:dyDescent="0.3"/>
    <row r="8887" s="160" customFormat="1" x14ac:dyDescent="0.3"/>
    <row r="8888" s="160" customFormat="1" x14ac:dyDescent="0.3"/>
    <row r="8889" s="160" customFormat="1" x14ac:dyDescent="0.3"/>
    <row r="8890" s="160" customFormat="1" x14ac:dyDescent="0.3"/>
    <row r="8891" s="160" customFormat="1" x14ac:dyDescent="0.3"/>
    <row r="8892" s="160" customFormat="1" x14ac:dyDescent="0.3"/>
    <row r="8893" s="160" customFormat="1" x14ac:dyDescent="0.3"/>
    <row r="8894" s="160" customFormat="1" x14ac:dyDescent="0.3"/>
    <row r="8895" s="160" customFormat="1" x14ac:dyDescent="0.3"/>
    <row r="8896" s="160" customFormat="1" x14ac:dyDescent="0.3"/>
    <row r="8897" s="160" customFormat="1" x14ac:dyDescent="0.3"/>
    <row r="8898" s="160" customFormat="1" x14ac:dyDescent="0.3"/>
    <row r="8899" s="160" customFormat="1" x14ac:dyDescent="0.3"/>
    <row r="8900" s="160" customFormat="1" x14ac:dyDescent="0.3"/>
    <row r="8901" s="160" customFormat="1" x14ac:dyDescent="0.3"/>
    <row r="8902" s="160" customFormat="1" x14ac:dyDescent="0.3"/>
    <row r="8903" s="160" customFormat="1" x14ac:dyDescent="0.3"/>
    <row r="8904" s="160" customFormat="1" x14ac:dyDescent="0.3"/>
    <row r="8905" s="160" customFormat="1" x14ac:dyDescent="0.3"/>
    <row r="8906" s="160" customFormat="1" x14ac:dyDescent="0.3"/>
    <row r="8907" s="160" customFormat="1" x14ac:dyDescent="0.3"/>
    <row r="8908" s="160" customFormat="1" x14ac:dyDescent="0.3"/>
    <row r="8909" s="160" customFormat="1" x14ac:dyDescent="0.3"/>
    <row r="8910" s="160" customFormat="1" x14ac:dyDescent="0.3"/>
    <row r="8911" s="160" customFormat="1" x14ac:dyDescent="0.3"/>
    <row r="8912" s="160" customFormat="1" x14ac:dyDescent="0.3"/>
    <row r="8913" s="160" customFormat="1" x14ac:dyDescent="0.3"/>
    <row r="8914" s="160" customFormat="1" x14ac:dyDescent="0.3"/>
    <row r="8915" s="160" customFormat="1" x14ac:dyDescent="0.3"/>
    <row r="8916" s="160" customFormat="1" x14ac:dyDescent="0.3"/>
    <row r="8917" s="160" customFormat="1" x14ac:dyDescent="0.3"/>
    <row r="8918" s="160" customFormat="1" x14ac:dyDescent="0.3"/>
    <row r="8919" s="160" customFormat="1" x14ac:dyDescent="0.3"/>
    <row r="8920" s="160" customFormat="1" x14ac:dyDescent="0.3"/>
    <row r="8921" s="160" customFormat="1" x14ac:dyDescent="0.3"/>
    <row r="8922" s="160" customFormat="1" x14ac:dyDescent="0.3"/>
    <row r="8923" s="160" customFormat="1" x14ac:dyDescent="0.3"/>
    <row r="8924" s="160" customFormat="1" x14ac:dyDescent="0.3"/>
    <row r="8925" s="160" customFormat="1" x14ac:dyDescent="0.3"/>
    <row r="8926" s="160" customFormat="1" x14ac:dyDescent="0.3"/>
    <row r="8927" s="160" customFormat="1" x14ac:dyDescent="0.3"/>
    <row r="8928" s="160" customFormat="1" x14ac:dyDescent="0.3"/>
    <row r="8929" s="160" customFormat="1" x14ac:dyDescent="0.3"/>
    <row r="8930" s="160" customFormat="1" x14ac:dyDescent="0.3"/>
    <row r="8931" s="160" customFormat="1" x14ac:dyDescent="0.3"/>
    <row r="8932" s="160" customFormat="1" x14ac:dyDescent="0.3"/>
    <row r="8933" s="160" customFormat="1" x14ac:dyDescent="0.3"/>
    <row r="8934" s="160" customFormat="1" x14ac:dyDescent="0.3"/>
    <row r="8935" s="160" customFormat="1" x14ac:dyDescent="0.3"/>
    <row r="8936" s="160" customFormat="1" x14ac:dyDescent="0.3"/>
    <row r="8937" s="160" customFormat="1" x14ac:dyDescent="0.3"/>
    <row r="8938" s="160" customFormat="1" x14ac:dyDescent="0.3"/>
    <row r="8939" s="160" customFormat="1" x14ac:dyDescent="0.3"/>
    <row r="8940" s="160" customFormat="1" x14ac:dyDescent="0.3"/>
    <row r="8941" s="160" customFormat="1" x14ac:dyDescent="0.3"/>
    <row r="8942" s="160" customFormat="1" x14ac:dyDescent="0.3"/>
    <row r="8943" s="160" customFormat="1" x14ac:dyDescent="0.3"/>
    <row r="8944" s="160" customFormat="1" x14ac:dyDescent="0.3"/>
    <row r="8945" s="160" customFormat="1" x14ac:dyDescent="0.3"/>
    <row r="8946" s="160" customFormat="1" x14ac:dyDescent="0.3"/>
    <row r="8947" s="160" customFormat="1" x14ac:dyDescent="0.3"/>
    <row r="8948" s="160" customFormat="1" x14ac:dyDescent="0.3"/>
    <row r="8949" s="160" customFormat="1" x14ac:dyDescent="0.3"/>
    <row r="8950" s="160" customFormat="1" x14ac:dyDescent="0.3"/>
    <row r="8951" s="160" customFormat="1" x14ac:dyDescent="0.3"/>
    <row r="8952" s="160" customFormat="1" x14ac:dyDescent="0.3"/>
    <row r="8953" s="160" customFormat="1" x14ac:dyDescent="0.3"/>
    <row r="8954" s="160" customFormat="1" x14ac:dyDescent="0.3"/>
    <row r="8955" s="160" customFormat="1" x14ac:dyDescent="0.3"/>
    <row r="8956" s="160" customFormat="1" x14ac:dyDescent="0.3"/>
    <row r="8957" s="160" customFormat="1" x14ac:dyDescent="0.3"/>
    <row r="8958" s="160" customFormat="1" x14ac:dyDescent="0.3"/>
    <row r="8959" s="160" customFormat="1" x14ac:dyDescent="0.3"/>
    <row r="8960" s="160" customFormat="1" x14ac:dyDescent="0.3"/>
    <row r="8961" s="160" customFormat="1" x14ac:dyDescent="0.3"/>
    <row r="8962" s="160" customFormat="1" x14ac:dyDescent="0.3"/>
    <row r="8963" s="160" customFormat="1" x14ac:dyDescent="0.3"/>
    <row r="8964" s="160" customFormat="1" x14ac:dyDescent="0.3"/>
    <row r="8965" s="160" customFormat="1" x14ac:dyDescent="0.3"/>
    <row r="8966" s="160" customFormat="1" x14ac:dyDescent="0.3"/>
    <row r="8967" s="160" customFormat="1" x14ac:dyDescent="0.3"/>
    <row r="8968" s="160" customFormat="1" x14ac:dyDescent="0.3"/>
    <row r="8969" s="160" customFormat="1" x14ac:dyDescent="0.3"/>
    <row r="8970" s="160" customFormat="1" x14ac:dyDescent="0.3"/>
    <row r="8971" s="160" customFormat="1" x14ac:dyDescent="0.3"/>
    <row r="8972" s="160" customFormat="1" x14ac:dyDescent="0.3"/>
    <row r="8973" s="160" customFormat="1" x14ac:dyDescent="0.3"/>
    <row r="8974" s="160" customFormat="1" x14ac:dyDescent="0.3"/>
    <row r="8975" s="160" customFormat="1" x14ac:dyDescent="0.3"/>
    <row r="8976" s="160" customFormat="1" x14ac:dyDescent="0.3"/>
    <row r="8977" s="160" customFormat="1" x14ac:dyDescent="0.3"/>
    <row r="8978" s="160" customFormat="1" x14ac:dyDescent="0.3"/>
    <row r="8979" s="160" customFormat="1" x14ac:dyDescent="0.3"/>
    <row r="8980" s="160" customFormat="1" x14ac:dyDescent="0.3"/>
    <row r="8981" s="160" customFormat="1" x14ac:dyDescent="0.3"/>
    <row r="8982" s="160" customFormat="1" x14ac:dyDescent="0.3"/>
    <row r="8983" s="160" customFormat="1" x14ac:dyDescent="0.3"/>
    <row r="8984" s="160" customFormat="1" x14ac:dyDescent="0.3"/>
    <row r="8985" s="160" customFormat="1" x14ac:dyDescent="0.3"/>
    <row r="8986" s="160" customFormat="1" x14ac:dyDescent="0.3"/>
    <row r="8987" s="160" customFormat="1" x14ac:dyDescent="0.3"/>
    <row r="8988" s="160" customFormat="1" x14ac:dyDescent="0.3"/>
    <row r="8989" s="160" customFormat="1" x14ac:dyDescent="0.3"/>
    <row r="8990" s="160" customFormat="1" x14ac:dyDescent="0.3"/>
    <row r="8991" s="160" customFormat="1" x14ac:dyDescent="0.3"/>
    <row r="8992" s="160" customFormat="1" x14ac:dyDescent="0.3"/>
    <row r="8993" s="160" customFormat="1" x14ac:dyDescent="0.3"/>
    <row r="8994" s="160" customFormat="1" x14ac:dyDescent="0.3"/>
    <row r="8995" s="160" customFormat="1" x14ac:dyDescent="0.3"/>
    <row r="8996" s="160" customFormat="1" x14ac:dyDescent="0.3"/>
    <row r="8997" s="160" customFormat="1" x14ac:dyDescent="0.3"/>
    <row r="8998" s="160" customFormat="1" x14ac:dyDescent="0.3"/>
    <row r="8999" s="160" customFormat="1" x14ac:dyDescent="0.3"/>
    <row r="9000" s="160" customFormat="1" x14ac:dyDescent="0.3"/>
    <row r="9001" s="160" customFormat="1" x14ac:dyDescent="0.3"/>
    <row r="9002" s="160" customFormat="1" x14ac:dyDescent="0.3"/>
    <row r="9003" s="160" customFormat="1" x14ac:dyDescent="0.3"/>
    <row r="9004" s="160" customFormat="1" x14ac:dyDescent="0.3"/>
    <row r="9005" s="160" customFormat="1" x14ac:dyDescent="0.3"/>
    <row r="9006" s="160" customFormat="1" x14ac:dyDescent="0.3"/>
    <row r="9007" s="160" customFormat="1" x14ac:dyDescent="0.3"/>
    <row r="9008" s="160" customFormat="1" x14ac:dyDescent="0.3"/>
    <row r="9009" s="160" customFormat="1" x14ac:dyDescent="0.3"/>
    <row r="9010" s="160" customFormat="1" x14ac:dyDescent="0.3"/>
    <row r="9011" s="160" customFormat="1" x14ac:dyDescent="0.3"/>
    <row r="9012" s="160" customFormat="1" x14ac:dyDescent="0.3"/>
    <row r="9013" s="160" customFormat="1" x14ac:dyDescent="0.3"/>
    <row r="9014" s="160" customFormat="1" x14ac:dyDescent="0.3"/>
    <row r="9015" s="160" customFormat="1" x14ac:dyDescent="0.3"/>
    <row r="9016" s="160" customFormat="1" x14ac:dyDescent="0.3"/>
    <row r="9017" s="160" customFormat="1" x14ac:dyDescent="0.3"/>
    <row r="9018" s="160" customFormat="1" x14ac:dyDescent="0.3"/>
    <row r="9019" s="160" customFormat="1" x14ac:dyDescent="0.3"/>
    <row r="9020" s="160" customFormat="1" x14ac:dyDescent="0.3"/>
    <row r="9021" s="160" customFormat="1" x14ac:dyDescent="0.3"/>
    <row r="9022" s="160" customFormat="1" x14ac:dyDescent="0.3"/>
    <row r="9023" s="160" customFormat="1" x14ac:dyDescent="0.3"/>
    <row r="9024" s="160" customFormat="1" x14ac:dyDescent="0.3"/>
    <row r="9025" s="160" customFormat="1" x14ac:dyDescent="0.3"/>
    <row r="9026" s="160" customFormat="1" x14ac:dyDescent="0.3"/>
    <row r="9027" s="160" customFormat="1" x14ac:dyDescent="0.3"/>
    <row r="9028" s="160" customFormat="1" x14ac:dyDescent="0.3"/>
    <row r="9029" s="160" customFormat="1" x14ac:dyDescent="0.3"/>
    <row r="9030" s="160" customFormat="1" x14ac:dyDescent="0.3"/>
    <row r="9031" s="160" customFormat="1" x14ac:dyDescent="0.3"/>
    <row r="9032" s="160" customFormat="1" x14ac:dyDescent="0.3"/>
    <row r="9033" s="160" customFormat="1" x14ac:dyDescent="0.3"/>
    <row r="9034" s="160" customFormat="1" x14ac:dyDescent="0.3"/>
    <row r="9035" s="160" customFormat="1" x14ac:dyDescent="0.3"/>
    <row r="9036" s="160" customFormat="1" x14ac:dyDescent="0.3"/>
    <row r="9037" s="160" customFormat="1" x14ac:dyDescent="0.3"/>
    <row r="9038" s="160" customFormat="1" x14ac:dyDescent="0.3"/>
    <row r="9039" s="160" customFormat="1" x14ac:dyDescent="0.3"/>
    <row r="9040" s="160" customFormat="1" x14ac:dyDescent="0.3"/>
    <row r="9041" s="160" customFormat="1" x14ac:dyDescent="0.3"/>
    <row r="9042" s="160" customFormat="1" x14ac:dyDescent="0.3"/>
    <row r="9043" s="160" customFormat="1" x14ac:dyDescent="0.3"/>
    <row r="9044" s="160" customFormat="1" x14ac:dyDescent="0.3"/>
    <row r="9045" s="160" customFormat="1" x14ac:dyDescent="0.3"/>
    <row r="9046" s="160" customFormat="1" x14ac:dyDescent="0.3"/>
    <row r="9047" s="160" customFormat="1" x14ac:dyDescent="0.3"/>
    <row r="9048" s="160" customFormat="1" x14ac:dyDescent="0.3"/>
    <row r="9049" s="160" customFormat="1" x14ac:dyDescent="0.3"/>
    <row r="9050" s="160" customFormat="1" x14ac:dyDescent="0.3"/>
    <row r="9051" s="160" customFormat="1" x14ac:dyDescent="0.3"/>
    <row r="9052" s="160" customFormat="1" x14ac:dyDescent="0.3"/>
    <row r="9053" s="160" customFormat="1" x14ac:dyDescent="0.3"/>
    <row r="9054" s="160" customFormat="1" x14ac:dyDescent="0.3"/>
    <row r="9055" s="160" customFormat="1" x14ac:dyDescent="0.3"/>
    <row r="9056" s="160" customFormat="1" x14ac:dyDescent="0.3"/>
    <row r="9057" s="160" customFormat="1" x14ac:dyDescent="0.3"/>
    <row r="9058" s="160" customFormat="1" x14ac:dyDescent="0.3"/>
    <row r="9059" s="160" customFormat="1" x14ac:dyDescent="0.3"/>
    <row r="9060" s="160" customFormat="1" x14ac:dyDescent="0.3"/>
    <row r="9061" s="160" customFormat="1" x14ac:dyDescent="0.3"/>
    <row r="9062" s="160" customFormat="1" x14ac:dyDescent="0.3"/>
    <row r="9063" s="160" customFormat="1" x14ac:dyDescent="0.3"/>
    <row r="9064" s="160" customFormat="1" x14ac:dyDescent="0.3"/>
    <row r="9065" s="160" customFormat="1" x14ac:dyDescent="0.3"/>
    <row r="9066" s="160" customFormat="1" x14ac:dyDescent="0.3"/>
    <row r="9067" s="160" customFormat="1" x14ac:dyDescent="0.3"/>
    <row r="9068" s="160" customFormat="1" x14ac:dyDescent="0.3"/>
    <row r="9069" s="160" customFormat="1" x14ac:dyDescent="0.3"/>
    <row r="9070" s="160" customFormat="1" x14ac:dyDescent="0.3"/>
    <row r="9071" s="160" customFormat="1" x14ac:dyDescent="0.3"/>
    <row r="9072" s="160" customFormat="1" x14ac:dyDescent="0.3"/>
    <row r="9073" s="160" customFormat="1" x14ac:dyDescent="0.3"/>
    <row r="9074" s="160" customFormat="1" x14ac:dyDescent="0.3"/>
    <row r="9075" s="160" customFormat="1" x14ac:dyDescent="0.3"/>
    <row r="9076" s="160" customFormat="1" x14ac:dyDescent="0.3"/>
    <row r="9077" s="160" customFormat="1" x14ac:dyDescent="0.3"/>
    <row r="9078" s="160" customFormat="1" x14ac:dyDescent="0.3"/>
    <row r="9079" s="160" customFormat="1" x14ac:dyDescent="0.3"/>
    <row r="9080" s="160" customFormat="1" x14ac:dyDescent="0.3"/>
    <row r="9081" s="160" customFormat="1" x14ac:dyDescent="0.3"/>
    <row r="9082" s="160" customFormat="1" x14ac:dyDescent="0.3"/>
    <row r="9083" s="160" customFormat="1" x14ac:dyDescent="0.3"/>
    <row r="9084" s="160" customFormat="1" x14ac:dyDescent="0.3"/>
    <row r="9085" s="160" customFormat="1" x14ac:dyDescent="0.3"/>
    <row r="9086" s="160" customFormat="1" x14ac:dyDescent="0.3"/>
    <row r="9087" s="160" customFormat="1" x14ac:dyDescent="0.3"/>
    <row r="9088" s="160" customFormat="1" x14ac:dyDescent="0.3"/>
    <row r="9089" s="160" customFormat="1" x14ac:dyDescent="0.3"/>
    <row r="9090" s="160" customFormat="1" x14ac:dyDescent="0.3"/>
    <row r="9091" s="160" customFormat="1" x14ac:dyDescent="0.3"/>
    <row r="9092" s="160" customFormat="1" x14ac:dyDescent="0.3"/>
    <row r="9093" s="160" customFormat="1" x14ac:dyDescent="0.3"/>
    <row r="9094" s="160" customFormat="1" x14ac:dyDescent="0.3"/>
    <row r="9095" s="160" customFormat="1" x14ac:dyDescent="0.3"/>
    <row r="9096" s="160" customFormat="1" x14ac:dyDescent="0.3"/>
    <row r="9097" s="160" customFormat="1" x14ac:dyDescent="0.3"/>
    <row r="9098" s="160" customFormat="1" x14ac:dyDescent="0.3"/>
    <row r="9099" s="160" customFormat="1" x14ac:dyDescent="0.3"/>
    <row r="9100" s="160" customFormat="1" x14ac:dyDescent="0.3"/>
    <row r="9101" s="160" customFormat="1" x14ac:dyDescent="0.3"/>
    <row r="9102" s="160" customFormat="1" x14ac:dyDescent="0.3"/>
    <row r="9103" s="160" customFormat="1" x14ac:dyDescent="0.3"/>
    <row r="9104" s="160" customFormat="1" x14ac:dyDescent="0.3"/>
    <row r="9105" s="160" customFormat="1" x14ac:dyDescent="0.3"/>
    <row r="9106" s="160" customFormat="1" x14ac:dyDescent="0.3"/>
    <row r="9107" s="160" customFormat="1" x14ac:dyDescent="0.3"/>
    <row r="9108" s="160" customFormat="1" x14ac:dyDescent="0.3"/>
    <row r="9109" s="160" customFormat="1" x14ac:dyDescent="0.3"/>
    <row r="9110" s="160" customFormat="1" x14ac:dyDescent="0.3"/>
    <row r="9111" s="160" customFormat="1" x14ac:dyDescent="0.3"/>
    <row r="9112" s="160" customFormat="1" x14ac:dyDescent="0.3"/>
    <row r="9113" s="160" customFormat="1" x14ac:dyDescent="0.3"/>
    <row r="9114" s="160" customFormat="1" x14ac:dyDescent="0.3"/>
    <row r="9115" s="160" customFormat="1" x14ac:dyDescent="0.3"/>
    <row r="9116" s="160" customFormat="1" x14ac:dyDescent="0.3"/>
    <row r="9117" s="160" customFormat="1" x14ac:dyDescent="0.3"/>
    <row r="9118" s="160" customFormat="1" x14ac:dyDescent="0.3"/>
    <row r="9119" s="160" customFormat="1" x14ac:dyDescent="0.3"/>
    <row r="9120" s="160" customFormat="1" x14ac:dyDescent="0.3"/>
    <row r="9121" s="160" customFormat="1" x14ac:dyDescent="0.3"/>
    <row r="9122" s="160" customFormat="1" x14ac:dyDescent="0.3"/>
    <row r="9123" s="160" customFormat="1" x14ac:dyDescent="0.3"/>
    <row r="9124" s="160" customFormat="1" x14ac:dyDescent="0.3"/>
    <row r="9125" s="160" customFormat="1" x14ac:dyDescent="0.3"/>
    <row r="9126" s="160" customFormat="1" x14ac:dyDescent="0.3"/>
    <row r="9127" s="160" customFormat="1" x14ac:dyDescent="0.3"/>
    <row r="9128" s="160" customFormat="1" x14ac:dyDescent="0.3"/>
    <row r="9129" s="160" customFormat="1" x14ac:dyDescent="0.3"/>
    <row r="9130" s="160" customFormat="1" x14ac:dyDescent="0.3"/>
    <row r="9131" s="160" customFormat="1" x14ac:dyDescent="0.3"/>
    <row r="9132" s="160" customFormat="1" x14ac:dyDescent="0.3"/>
    <row r="9133" s="160" customFormat="1" x14ac:dyDescent="0.3"/>
    <row r="9134" s="160" customFormat="1" x14ac:dyDescent="0.3"/>
    <row r="9135" s="160" customFormat="1" x14ac:dyDescent="0.3"/>
    <row r="9136" s="160" customFormat="1" x14ac:dyDescent="0.3"/>
    <row r="9137" s="160" customFormat="1" x14ac:dyDescent="0.3"/>
    <row r="9138" s="160" customFormat="1" x14ac:dyDescent="0.3"/>
    <row r="9139" s="160" customFormat="1" x14ac:dyDescent="0.3"/>
    <row r="9140" s="160" customFormat="1" x14ac:dyDescent="0.3"/>
    <row r="9141" s="160" customFormat="1" x14ac:dyDescent="0.3"/>
    <row r="9142" s="160" customFormat="1" x14ac:dyDescent="0.3"/>
    <row r="9143" s="160" customFormat="1" x14ac:dyDescent="0.3"/>
    <row r="9144" s="160" customFormat="1" x14ac:dyDescent="0.3"/>
    <row r="9145" s="160" customFormat="1" x14ac:dyDescent="0.3"/>
    <row r="9146" s="160" customFormat="1" x14ac:dyDescent="0.3"/>
    <row r="9147" s="160" customFormat="1" x14ac:dyDescent="0.3"/>
    <row r="9148" s="160" customFormat="1" x14ac:dyDescent="0.3"/>
    <row r="9149" s="160" customFormat="1" x14ac:dyDescent="0.3"/>
    <row r="9150" s="160" customFormat="1" x14ac:dyDescent="0.3"/>
    <row r="9151" s="160" customFormat="1" x14ac:dyDescent="0.3"/>
    <row r="9152" s="160" customFormat="1" x14ac:dyDescent="0.3"/>
    <row r="9153" s="160" customFormat="1" x14ac:dyDescent="0.3"/>
    <row r="9154" s="160" customFormat="1" x14ac:dyDescent="0.3"/>
    <row r="9155" s="160" customFormat="1" x14ac:dyDescent="0.3"/>
    <row r="9156" s="160" customFormat="1" x14ac:dyDescent="0.3"/>
    <row r="9157" s="160" customFormat="1" x14ac:dyDescent="0.3"/>
    <row r="9158" s="160" customFormat="1" x14ac:dyDescent="0.3"/>
    <row r="9159" s="160" customFormat="1" x14ac:dyDescent="0.3"/>
    <row r="9160" s="160" customFormat="1" x14ac:dyDescent="0.3"/>
    <row r="9161" s="160" customFormat="1" x14ac:dyDescent="0.3"/>
    <row r="9162" s="160" customFormat="1" x14ac:dyDescent="0.3"/>
    <row r="9163" s="160" customFormat="1" x14ac:dyDescent="0.3"/>
    <row r="9164" s="160" customFormat="1" x14ac:dyDescent="0.3"/>
    <row r="9165" s="160" customFormat="1" x14ac:dyDescent="0.3"/>
    <row r="9166" s="160" customFormat="1" x14ac:dyDescent="0.3"/>
    <row r="9167" s="160" customFormat="1" x14ac:dyDescent="0.3"/>
    <row r="9168" s="160" customFormat="1" x14ac:dyDescent="0.3"/>
    <row r="9169" s="160" customFormat="1" x14ac:dyDescent="0.3"/>
    <row r="9170" s="160" customFormat="1" x14ac:dyDescent="0.3"/>
    <row r="9171" s="160" customFormat="1" x14ac:dyDescent="0.3"/>
    <row r="9172" s="160" customFormat="1" x14ac:dyDescent="0.3"/>
    <row r="9173" s="160" customFormat="1" x14ac:dyDescent="0.3"/>
    <row r="9174" s="160" customFormat="1" x14ac:dyDescent="0.3"/>
    <row r="9175" s="160" customFormat="1" x14ac:dyDescent="0.3"/>
    <row r="9176" s="160" customFormat="1" x14ac:dyDescent="0.3"/>
    <row r="9177" s="160" customFormat="1" x14ac:dyDescent="0.3"/>
    <row r="9178" s="160" customFormat="1" x14ac:dyDescent="0.3"/>
    <row r="9179" s="160" customFormat="1" x14ac:dyDescent="0.3"/>
    <row r="9180" s="160" customFormat="1" x14ac:dyDescent="0.3"/>
    <row r="9181" s="160" customFormat="1" x14ac:dyDescent="0.3"/>
    <row r="9182" s="160" customFormat="1" x14ac:dyDescent="0.3"/>
    <row r="9183" s="160" customFormat="1" x14ac:dyDescent="0.3"/>
    <row r="9184" s="160" customFormat="1" x14ac:dyDescent="0.3"/>
    <row r="9185" s="160" customFormat="1" x14ac:dyDescent="0.3"/>
    <row r="9186" s="160" customFormat="1" x14ac:dyDescent="0.3"/>
    <row r="9187" s="160" customFormat="1" x14ac:dyDescent="0.3"/>
    <row r="9188" s="160" customFormat="1" x14ac:dyDescent="0.3"/>
    <row r="9189" s="160" customFormat="1" x14ac:dyDescent="0.3"/>
    <row r="9190" s="160" customFormat="1" x14ac:dyDescent="0.3"/>
    <row r="9191" s="160" customFormat="1" x14ac:dyDescent="0.3"/>
    <row r="9192" s="160" customFormat="1" x14ac:dyDescent="0.3"/>
    <row r="9193" s="160" customFormat="1" x14ac:dyDescent="0.3"/>
    <row r="9194" s="160" customFormat="1" x14ac:dyDescent="0.3"/>
    <row r="9195" s="160" customFormat="1" x14ac:dyDescent="0.3"/>
    <row r="9196" s="160" customFormat="1" x14ac:dyDescent="0.3"/>
    <row r="9197" s="160" customFormat="1" x14ac:dyDescent="0.3"/>
    <row r="9198" s="160" customFormat="1" x14ac:dyDescent="0.3"/>
    <row r="9199" s="160" customFormat="1" x14ac:dyDescent="0.3"/>
    <row r="9200" s="160" customFormat="1" x14ac:dyDescent="0.3"/>
    <row r="9201" s="160" customFormat="1" x14ac:dyDescent="0.3"/>
    <row r="9202" s="160" customFormat="1" x14ac:dyDescent="0.3"/>
    <row r="9203" s="160" customFormat="1" x14ac:dyDescent="0.3"/>
    <row r="9204" s="160" customFormat="1" x14ac:dyDescent="0.3"/>
    <row r="9205" s="160" customFormat="1" x14ac:dyDescent="0.3"/>
    <row r="9206" s="160" customFormat="1" x14ac:dyDescent="0.3"/>
    <row r="9207" s="160" customFormat="1" x14ac:dyDescent="0.3"/>
    <row r="9208" s="160" customFormat="1" x14ac:dyDescent="0.3"/>
    <row r="9209" s="160" customFormat="1" x14ac:dyDescent="0.3"/>
    <row r="9210" s="160" customFormat="1" x14ac:dyDescent="0.3"/>
    <row r="9211" s="160" customFormat="1" x14ac:dyDescent="0.3"/>
    <row r="9212" s="160" customFormat="1" x14ac:dyDescent="0.3"/>
    <row r="9213" s="160" customFormat="1" x14ac:dyDescent="0.3"/>
    <row r="9214" s="160" customFormat="1" x14ac:dyDescent="0.3"/>
    <row r="9215" s="160" customFormat="1" x14ac:dyDescent="0.3"/>
    <row r="9216" s="160" customFormat="1" x14ac:dyDescent="0.3"/>
    <row r="9217" s="160" customFormat="1" x14ac:dyDescent="0.3"/>
    <row r="9218" s="160" customFormat="1" x14ac:dyDescent="0.3"/>
    <row r="9219" s="160" customFormat="1" x14ac:dyDescent="0.3"/>
    <row r="9220" s="160" customFormat="1" x14ac:dyDescent="0.3"/>
    <row r="9221" s="160" customFormat="1" x14ac:dyDescent="0.3"/>
    <row r="9222" s="160" customFormat="1" x14ac:dyDescent="0.3"/>
    <row r="9223" s="160" customFormat="1" x14ac:dyDescent="0.3"/>
    <row r="9224" s="160" customFormat="1" x14ac:dyDescent="0.3"/>
    <row r="9225" s="160" customFormat="1" x14ac:dyDescent="0.3"/>
    <row r="9226" s="160" customFormat="1" x14ac:dyDescent="0.3"/>
    <row r="9227" s="160" customFormat="1" x14ac:dyDescent="0.3"/>
    <row r="9228" s="160" customFormat="1" x14ac:dyDescent="0.3"/>
    <row r="9229" s="160" customFormat="1" x14ac:dyDescent="0.3"/>
    <row r="9230" s="160" customFormat="1" x14ac:dyDescent="0.3"/>
    <row r="9231" s="160" customFormat="1" x14ac:dyDescent="0.3"/>
    <row r="9232" s="160" customFormat="1" x14ac:dyDescent="0.3"/>
    <row r="9233" s="160" customFormat="1" x14ac:dyDescent="0.3"/>
    <row r="9234" s="160" customFormat="1" x14ac:dyDescent="0.3"/>
    <row r="9235" s="160" customFormat="1" x14ac:dyDescent="0.3"/>
    <row r="9236" s="160" customFormat="1" x14ac:dyDescent="0.3"/>
    <row r="9237" s="160" customFormat="1" x14ac:dyDescent="0.3"/>
    <row r="9238" s="160" customFormat="1" x14ac:dyDescent="0.3"/>
    <row r="9239" s="160" customFormat="1" x14ac:dyDescent="0.3"/>
    <row r="9240" s="160" customFormat="1" x14ac:dyDescent="0.3"/>
    <row r="9241" s="160" customFormat="1" x14ac:dyDescent="0.3"/>
    <row r="9242" s="160" customFormat="1" x14ac:dyDescent="0.3"/>
    <row r="9243" s="160" customFormat="1" x14ac:dyDescent="0.3"/>
    <row r="9244" s="160" customFormat="1" x14ac:dyDescent="0.3"/>
    <row r="9245" s="160" customFormat="1" x14ac:dyDescent="0.3"/>
    <row r="9246" s="160" customFormat="1" x14ac:dyDescent="0.3"/>
    <row r="9247" s="160" customFormat="1" x14ac:dyDescent="0.3"/>
    <row r="9248" s="160" customFormat="1" x14ac:dyDescent="0.3"/>
    <row r="9249" s="160" customFormat="1" x14ac:dyDescent="0.3"/>
    <row r="9250" s="160" customFormat="1" x14ac:dyDescent="0.3"/>
    <row r="9251" s="160" customFormat="1" x14ac:dyDescent="0.3"/>
    <row r="9252" s="160" customFormat="1" x14ac:dyDescent="0.3"/>
    <row r="9253" s="160" customFormat="1" x14ac:dyDescent="0.3"/>
    <row r="9254" s="160" customFormat="1" x14ac:dyDescent="0.3"/>
    <row r="9255" s="160" customFormat="1" x14ac:dyDescent="0.3"/>
    <row r="9256" s="160" customFormat="1" x14ac:dyDescent="0.3"/>
    <row r="9257" s="160" customFormat="1" x14ac:dyDescent="0.3"/>
    <row r="9258" s="160" customFormat="1" x14ac:dyDescent="0.3"/>
    <row r="9259" s="160" customFormat="1" x14ac:dyDescent="0.3"/>
    <row r="9260" s="160" customFormat="1" x14ac:dyDescent="0.3"/>
    <row r="9261" s="160" customFormat="1" x14ac:dyDescent="0.3"/>
    <row r="9262" s="160" customFormat="1" x14ac:dyDescent="0.3"/>
    <row r="9263" s="160" customFormat="1" x14ac:dyDescent="0.3"/>
    <row r="9264" s="160" customFormat="1" x14ac:dyDescent="0.3"/>
    <row r="9265" s="160" customFormat="1" x14ac:dyDescent="0.3"/>
    <row r="9266" s="160" customFormat="1" x14ac:dyDescent="0.3"/>
    <row r="9267" s="160" customFormat="1" x14ac:dyDescent="0.3"/>
    <row r="9268" s="160" customFormat="1" x14ac:dyDescent="0.3"/>
    <row r="9269" s="160" customFormat="1" x14ac:dyDescent="0.3"/>
    <row r="9270" s="160" customFormat="1" x14ac:dyDescent="0.3"/>
    <row r="9271" s="160" customFormat="1" x14ac:dyDescent="0.3"/>
    <row r="9272" s="160" customFormat="1" x14ac:dyDescent="0.3"/>
    <row r="9273" s="160" customFormat="1" x14ac:dyDescent="0.3"/>
    <row r="9274" s="160" customFormat="1" x14ac:dyDescent="0.3"/>
    <row r="9275" s="160" customFormat="1" x14ac:dyDescent="0.3"/>
    <row r="9276" s="160" customFormat="1" x14ac:dyDescent="0.3"/>
    <row r="9277" s="160" customFormat="1" x14ac:dyDescent="0.3"/>
    <row r="9278" s="160" customFormat="1" x14ac:dyDescent="0.3"/>
    <row r="9279" s="160" customFormat="1" x14ac:dyDescent="0.3"/>
    <row r="9280" s="160" customFormat="1" x14ac:dyDescent="0.3"/>
    <row r="9281" s="160" customFormat="1" x14ac:dyDescent="0.3"/>
    <row r="9282" s="160" customFormat="1" x14ac:dyDescent="0.3"/>
    <row r="9283" s="160" customFormat="1" x14ac:dyDescent="0.3"/>
    <row r="9284" s="160" customFormat="1" x14ac:dyDescent="0.3"/>
    <row r="9285" s="160" customFormat="1" x14ac:dyDescent="0.3"/>
    <row r="9286" s="160" customFormat="1" x14ac:dyDescent="0.3"/>
    <row r="9287" s="160" customFormat="1" x14ac:dyDescent="0.3"/>
    <row r="9288" s="160" customFormat="1" x14ac:dyDescent="0.3"/>
    <row r="9289" s="160" customFormat="1" x14ac:dyDescent="0.3"/>
    <row r="9290" s="160" customFormat="1" x14ac:dyDescent="0.3"/>
    <row r="9291" s="160" customFormat="1" x14ac:dyDescent="0.3"/>
    <row r="9292" s="160" customFormat="1" x14ac:dyDescent="0.3"/>
    <row r="9293" s="160" customFormat="1" x14ac:dyDescent="0.3"/>
    <row r="9294" s="160" customFormat="1" x14ac:dyDescent="0.3"/>
    <row r="9295" s="160" customFormat="1" x14ac:dyDescent="0.3"/>
    <row r="9296" s="160" customFormat="1" x14ac:dyDescent="0.3"/>
    <row r="9297" s="160" customFormat="1" x14ac:dyDescent="0.3"/>
    <row r="9298" s="160" customFormat="1" x14ac:dyDescent="0.3"/>
    <row r="9299" s="160" customFormat="1" x14ac:dyDescent="0.3"/>
    <row r="9300" s="160" customFormat="1" x14ac:dyDescent="0.3"/>
    <row r="9301" s="160" customFormat="1" x14ac:dyDescent="0.3"/>
    <row r="9302" s="160" customFormat="1" x14ac:dyDescent="0.3"/>
    <row r="9303" s="160" customFormat="1" x14ac:dyDescent="0.3"/>
    <row r="9304" s="160" customFormat="1" x14ac:dyDescent="0.3"/>
    <row r="9305" s="160" customFormat="1" x14ac:dyDescent="0.3"/>
    <row r="9306" s="160" customFormat="1" x14ac:dyDescent="0.3"/>
    <row r="9307" s="160" customFormat="1" x14ac:dyDescent="0.3"/>
    <row r="9308" s="160" customFormat="1" x14ac:dyDescent="0.3"/>
    <row r="9309" s="160" customFormat="1" x14ac:dyDescent="0.3"/>
    <row r="9310" s="160" customFormat="1" x14ac:dyDescent="0.3"/>
    <row r="9311" s="160" customFormat="1" x14ac:dyDescent="0.3"/>
    <row r="9312" s="160" customFormat="1" x14ac:dyDescent="0.3"/>
    <row r="9313" s="160" customFormat="1" x14ac:dyDescent="0.3"/>
    <row r="9314" s="160" customFormat="1" x14ac:dyDescent="0.3"/>
    <row r="9315" s="160" customFormat="1" x14ac:dyDescent="0.3"/>
    <row r="9316" s="160" customFormat="1" x14ac:dyDescent="0.3"/>
    <row r="9317" s="160" customFormat="1" x14ac:dyDescent="0.3"/>
    <row r="9318" s="160" customFormat="1" x14ac:dyDescent="0.3"/>
    <row r="9319" s="160" customFormat="1" x14ac:dyDescent="0.3"/>
    <row r="9320" s="160" customFormat="1" x14ac:dyDescent="0.3"/>
    <row r="9321" s="160" customFormat="1" x14ac:dyDescent="0.3"/>
    <row r="9322" s="160" customFormat="1" x14ac:dyDescent="0.3"/>
    <row r="9323" s="160" customFormat="1" x14ac:dyDescent="0.3"/>
    <row r="9324" s="160" customFormat="1" x14ac:dyDescent="0.3"/>
    <row r="9325" s="160" customFormat="1" x14ac:dyDescent="0.3"/>
    <row r="9326" s="160" customFormat="1" x14ac:dyDescent="0.3"/>
    <row r="9327" s="160" customFormat="1" x14ac:dyDescent="0.3"/>
    <row r="9328" s="160" customFormat="1" x14ac:dyDescent="0.3"/>
    <row r="9329" s="160" customFormat="1" x14ac:dyDescent="0.3"/>
    <row r="9330" s="160" customFormat="1" x14ac:dyDescent="0.3"/>
    <row r="9331" s="160" customFormat="1" x14ac:dyDescent="0.3"/>
    <row r="9332" s="160" customFormat="1" x14ac:dyDescent="0.3"/>
    <row r="9333" s="160" customFormat="1" x14ac:dyDescent="0.3"/>
    <row r="9334" s="160" customFormat="1" x14ac:dyDescent="0.3"/>
    <row r="9335" s="160" customFormat="1" x14ac:dyDescent="0.3"/>
    <row r="9336" s="160" customFormat="1" x14ac:dyDescent="0.3"/>
    <row r="9337" s="160" customFormat="1" x14ac:dyDescent="0.3"/>
    <row r="9338" s="160" customFormat="1" x14ac:dyDescent="0.3"/>
    <row r="9339" s="160" customFormat="1" x14ac:dyDescent="0.3"/>
    <row r="9340" s="160" customFormat="1" x14ac:dyDescent="0.3"/>
    <row r="9341" s="160" customFormat="1" x14ac:dyDescent="0.3"/>
    <row r="9342" s="160" customFormat="1" x14ac:dyDescent="0.3"/>
    <row r="9343" s="160" customFormat="1" x14ac:dyDescent="0.3"/>
    <row r="9344" s="160" customFormat="1" x14ac:dyDescent="0.3"/>
    <row r="9345" s="160" customFormat="1" x14ac:dyDescent="0.3"/>
    <row r="9346" s="160" customFormat="1" x14ac:dyDescent="0.3"/>
    <row r="9347" s="160" customFormat="1" x14ac:dyDescent="0.3"/>
    <row r="9348" s="160" customFormat="1" x14ac:dyDescent="0.3"/>
    <row r="9349" s="160" customFormat="1" x14ac:dyDescent="0.3"/>
    <row r="9350" s="160" customFormat="1" x14ac:dyDescent="0.3"/>
    <row r="9351" s="160" customFormat="1" x14ac:dyDescent="0.3"/>
    <row r="9352" s="160" customFormat="1" x14ac:dyDescent="0.3"/>
    <row r="9353" s="160" customFormat="1" x14ac:dyDescent="0.3"/>
    <row r="9354" s="160" customFormat="1" x14ac:dyDescent="0.3"/>
    <row r="9355" s="160" customFormat="1" x14ac:dyDescent="0.3"/>
    <row r="9356" s="160" customFormat="1" x14ac:dyDescent="0.3"/>
    <row r="9357" s="160" customFormat="1" x14ac:dyDescent="0.3"/>
    <row r="9358" s="160" customFormat="1" x14ac:dyDescent="0.3"/>
    <row r="9359" s="160" customFormat="1" x14ac:dyDescent="0.3"/>
    <row r="9360" s="160" customFormat="1" x14ac:dyDescent="0.3"/>
    <row r="9361" s="160" customFormat="1" x14ac:dyDescent="0.3"/>
    <row r="9362" s="160" customFormat="1" x14ac:dyDescent="0.3"/>
    <row r="9363" s="160" customFormat="1" x14ac:dyDescent="0.3"/>
    <row r="9364" s="160" customFormat="1" x14ac:dyDescent="0.3"/>
    <row r="9365" s="160" customFormat="1" x14ac:dyDescent="0.3"/>
    <row r="9366" s="160" customFormat="1" x14ac:dyDescent="0.3"/>
    <row r="9367" s="160" customFormat="1" x14ac:dyDescent="0.3"/>
    <row r="9368" s="160" customFormat="1" x14ac:dyDescent="0.3"/>
    <row r="9369" s="160" customFormat="1" x14ac:dyDescent="0.3"/>
    <row r="9370" s="160" customFormat="1" x14ac:dyDescent="0.3"/>
    <row r="9371" s="160" customFormat="1" x14ac:dyDescent="0.3"/>
    <row r="9372" s="160" customFormat="1" x14ac:dyDescent="0.3"/>
    <row r="9373" s="160" customFormat="1" x14ac:dyDescent="0.3"/>
    <row r="9374" s="160" customFormat="1" x14ac:dyDescent="0.3"/>
    <row r="9375" s="160" customFormat="1" x14ac:dyDescent="0.3"/>
    <row r="9376" s="160" customFormat="1" x14ac:dyDescent="0.3"/>
    <row r="9377" s="160" customFormat="1" x14ac:dyDescent="0.3"/>
    <row r="9378" s="160" customFormat="1" x14ac:dyDescent="0.3"/>
    <row r="9379" s="160" customFormat="1" x14ac:dyDescent="0.3"/>
    <row r="9380" s="160" customFormat="1" x14ac:dyDescent="0.3"/>
    <row r="9381" s="160" customFormat="1" x14ac:dyDescent="0.3"/>
    <row r="9382" s="160" customFormat="1" x14ac:dyDescent="0.3"/>
    <row r="9383" s="160" customFormat="1" x14ac:dyDescent="0.3"/>
    <row r="9384" s="160" customFormat="1" x14ac:dyDescent="0.3"/>
    <row r="9385" s="160" customFormat="1" x14ac:dyDescent="0.3"/>
    <row r="9386" s="160" customFormat="1" x14ac:dyDescent="0.3"/>
    <row r="9387" s="160" customFormat="1" x14ac:dyDescent="0.3"/>
    <row r="9388" s="160" customFormat="1" x14ac:dyDescent="0.3"/>
    <row r="9389" s="160" customFormat="1" x14ac:dyDescent="0.3"/>
    <row r="9390" s="160" customFormat="1" x14ac:dyDescent="0.3"/>
    <row r="9391" s="160" customFormat="1" x14ac:dyDescent="0.3"/>
    <row r="9392" s="160" customFormat="1" x14ac:dyDescent="0.3"/>
    <row r="9393" s="160" customFormat="1" x14ac:dyDescent="0.3"/>
    <row r="9394" s="160" customFormat="1" x14ac:dyDescent="0.3"/>
    <row r="9395" s="160" customFormat="1" x14ac:dyDescent="0.3"/>
    <row r="9396" s="160" customFormat="1" x14ac:dyDescent="0.3"/>
    <row r="9397" s="160" customFormat="1" x14ac:dyDescent="0.3"/>
    <row r="9398" s="160" customFormat="1" x14ac:dyDescent="0.3"/>
    <row r="9399" s="160" customFormat="1" x14ac:dyDescent="0.3"/>
    <row r="9400" s="160" customFormat="1" x14ac:dyDescent="0.3"/>
    <row r="9401" s="160" customFormat="1" x14ac:dyDescent="0.3"/>
    <row r="9402" s="160" customFormat="1" x14ac:dyDescent="0.3"/>
    <row r="9403" s="160" customFormat="1" x14ac:dyDescent="0.3"/>
    <row r="9404" s="160" customFormat="1" x14ac:dyDescent="0.3"/>
    <row r="9405" s="160" customFormat="1" x14ac:dyDescent="0.3"/>
    <row r="9406" s="160" customFormat="1" x14ac:dyDescent="0.3"/>
    <row r="9407" s="160" customFormat="1" x14ac:dyDescent="0.3"/>
    <row r="9408" s="160" customFormat="1" x14ac:dyDescent="0.3"/>
    <row r="9409" s="160" customFormat="1" x14ac:dyDescent="0.3"/>
    <row r="9410" s="160" customFormat="1" x14ac:dyDescent="0.3"/>
    <row r="9411" s="160" customFormat="1" x14ac:dyDescent="0.3"/>
    <row r="9412" s="160" customFormat="1" x14ac:dyDescent="0.3"/>
    <row r="9413" s="160" customFormat="1" x14ac:dyDescent="0.3"/>
    <row r="9414" s="160" customFormat="1" x14ac:dyDescent="0.3"/>
    <row r="9415" s="160" customFormat="1" x14ac:dyDescent="0.3"/>
    <row r="9416" s="160" customFormat="1" x14ac:dyDescent="0.3"/>
    <row r="9417" s="160" customFormat="1" x14ac:dyDescent="0.3"/>
    <row r="9418" s="160" customFormat="1" x14ac:dyDescent="0.3"/>
    <row r="9419" s="160" customFormat="1" x14ac:dyDescent="0.3"/>
    <row r="9420" s="160" customFormat="1" x14ac:dyDescent="0.3"/>
    <row r="9421" s="160" customFormat="1" x14ac:dyDescent="0.3"/>
    <row r="9422" s="160" customFormat="1" x14ac:dyDescent="0.3"/>
    <row r="9423" s="160" customFormat="1" x14ac:dyDescent="0.3"/>
    <row r="9424" s="160" customFormat="1" x14ac:dyDescent="0.3"/>
    <row r="9425" s="160" customFormat="1" x14ac:dyDescent="0.3"/>
    <row r="9426" s="160" customFormat="1" x14ac:dyDescent="0.3"/>
    <row r="9427" s="160" customFormat="1" x14ac:dyDescent="0.3"/>
    <row r="9428" s="160" customFormat="1" x14ac:dyDescent="0.3"/>
    <row r="9429" s="160" customFormat="1" x14ac:dyDescent="0.3"/>
    <row r="9430" s="160" customFormat="1" x14ac:dyDescent="0.3"/>
    <row r="9431" s="160" customFormat="1" x14ac:dyDescent="0.3"/>
    <row r="9432" s="160" customFormat="1" x14ac:dyDescent="0.3"/>
    <row r="9433" s="160" customFormat="1" x14ac:dyDescent="0.3"/>
    <row r="9434" s="160" customFormat="1" x14ac:dyDescent="0.3"/>
    <row r="9435" s="160" customFormat="1" x14ac:dyDescent="0.3"/>
    <row r="9436" s="160" customFormat="1" x14ac:dyDescent="0.3"/>
    <row r="9437" s="160" customFormat="1" x14ac:dyDescent="0.3"/>
    <row r="9438" s="160" customFormat="1" x14ac:dyDescent="0.3"/>
    <row r="9439" s="160" customFormat="1" x14ac:dyDescent="0.3"/>
    <row r="9440" s="160" customFormat="1" x14ac:dyDescent="0.3"/>
    <row r="9441" s="160" customFormat="1" x14ac:dyDescent="0.3"/>
    <row r="9442" s="160" customFormat="1" x14ac:dyDescent="0.3"/>
    <row r="9443" s="160" customFormat="1" x14ac:dyDescent="0.3"/>
    <row r="9444" s="160" customFormat="1" x14ac:dyDescent="0.3"/>
    <row r="9445" s="160" customFormat="1" x14ac:dyDescent="0.3"/>
    <row r="9446" s="160" customFormat="1" x14ac:dyDescent="0.3"/>
    <row r="9447" s="160" customFormat="1" x14ac:dyDescent="0.3"/>
    <row r="9448" s="160" customFormat="1" x14ac:dyDescent="0.3"/>
    <row r="9449" s="160" customFormat="1" x14ac:dyDescent="0.3"/>
    <row r="9450" s="160" customFormat="1" x14ac:dyDescent="0.3"/>
    <row r="9451" s="160" customFormat="1" x14ac:dyDescent="0.3"/>
    <row r="9452" s="160" customFormat="1" x14ac:dyDescent="0.3"/>
    <row r="9453" s="160" customFormat="1" x14ac:dyDescent="0.3"/>
    <row r="9454" s="160" customFormat="1" x14ac:dyDescent="0.3"/>
    <row r="9455" s="160" customFormat="1" x14ac:dyDescent="0.3"/>
    <row r="9456" s="160" customFormat="1" x14ac:dyDescent="0.3"/>
    <row r="9457" s="160" customFormat="1" x14ac:dyDescent="0.3"/>
    <row r="9458" s="160" customFormat="1" x14ac:dyDescent="0.3"/>
    <row r="9459" s="160" customFormat="1" x14ac:dyDescent="0.3"/>
    <row r="9460" s="160" customFormat="1" x14ac:dyDescent="0.3"/>
    <row r="9461" s="160" customFormat="1" x14ac:dyDescent="0.3"/>
    <row r="9462" s="160" customFormat="1" x14ac:dyDescent="0.3"/>
    <row r="9463" s="160" customFormat="1" x14ac:dyDescent="0.3"/>
    <row r="9464" s="160" customFormat="1" x14ac:dyDescent="0.3"/>
    <row r="9465" s="160" customFormat="1" x14ac:dyDescent="0.3"/>
    <row r="9466" s="160" customFormat="1" x14ac:dyDescent="0.3"/>
    <row r="9467" s="160" customFormat="1" x14ac:dyDescent="0.3"/>
    <row r="9468" s="160" customFormat="1" x14ac:dyDescent="0.3"/>
    <row r="9469" s="160" customFormat="1" x14ac:dyDescent="0.3"/>
    <row r="9470" s="160" customFormat="1" x14ac:dyDescent="0.3"/>
    <row r="9471" s="160" customFormat="1" x14ac:dyDescent="0.3"/>
    <row r="9472" s="160" customFormat="1" x14ac:dyDescent="0.3"/>
    <row r="9473" s="160" customFormat="1" x14ac:dyDescent="0.3"/>
    <row r="9474" s="160" customFormat="1" x14ac:dyDescent="0.3"/>
    <row r="9475" s="160" customFormat="1" x14ac:dyDescent="0.3"/>
    <row r="9476" s="160" customFormat="1" x14ac:dyDescent="0.3"/>
    <row r="9477" s="160" customFormat="1" x14ac:dyDescent="0.3"/>
    <row r="9478" s="160" customFormat="1" x14ac:dyDescent="0.3"/>
    <row r="9479" s="160" customFormat="1" x14ac:dyDescent="0.3"/>
    <row r="9480" s="160" customFormat="1" x14ac:dyDescent="0.3"/>
    <row r="9481" s="160" customFormat="1" x14ac:dyDescent="0.3"/>
    <row r="9482" s="160" customFormat="1" x14ac:dyDescent="0.3"/>
    <row r="9483" s="160" customFormat="1" x14ac:dyDescent="0.3"/>
    <row r="9484" s="160" customFormat="1" x14ac:dyDescent="0.3"/>
    <row r="9485" s="160" customFormat="1" x14ac:dyDescent="0.3"/>
    <row r="9486" s="160" customFormat="1" x14ac:dyDescent="0.3"/>
    <row r="9487" s="160" customFormat="1" x14ac:dyDescent="0.3"/>
    <row r="9488" s="160" customFormat="1" x14ac:dyDescent="0.3"/>
    <row r="9489" s="160" customFormat="1" x14ac:dyDescent="0.3"/>
    <row r="9490" s="160" customFormat="1" x14ac:dyDescent="0.3"/>
    <row r="9491" s="160" customFormat="1" x14ac:dyDescent="0.3"/>
    <row r="9492" s="160" customFormat="1" x14ac:dyDescent="0.3"/>
    <row r="9493" s="160" customFormat="1" x14ac:dyDescent="0.3"/>
    <row r="9494" s="160" customFormat="1" x14ac:dyDescent="0.3"/>
    <row r="9495" s="160" customFormat="1" x14ac:dyDescent="0.3"/>
    <row r="9496" s="160" customFormat="1" x14ac:dyDescent="0.3"/>
    <row r="9497" s="160" customFormat="1" x14ac:dyDescent="0.3"/>
    <row r="9498" s="160" customFormat="1" x14ac:dyDescent="0.3"/>
    <row r="9499" s="160" customFormat="1" x14ac:dyDescent="0.3"/>
    <row r="9500" s="160" customFormat="1" x14ac:dyDescent="0.3"/>
    <row r="9501" s="160" customFormat="1" x14ac:dyDescent="0.3"/>
    <row r="9502" s="160" customFormat="1" x14ac:dyDescent="0.3"/>
    <row r="9503" s="160" customFormat="1" x14ac:dyDescent="0.3"/>
    <row r="9504" s="160" customFormat="1" x14ac:dyDescent="0.3"/>
    <row r="9505" s="160" customFormat="1" x14ac:dyDescent="0.3"/>
    <row r="9506" s="160" customFormat="1" x14ac:dyDescent="0.3"/>
    <row r="9507" s="160" customFormat="1" x14ac:dyDescent="0.3"/>
    <row r="9508" s="160" customFormat="1" x14ac:dyDescent="0.3"/>
    <row r="9509" s="160" customFormat="1" x14ac:dyDescent="0.3"/>
    <row r="9510" s="160" customFormat="1" x14ac:dyDescent="0.3"/>
    <row r="9511" s="160" customFormat="1" x14ac:dyDescent="0.3"/>
    <row r="9512" s="160" customFormat="1" x14ac:dyDescent="0.3"/>
    <row r="9513" s="160" customFormat="1" x14ac:dyDescent="0.3"/>
    <row r="9514" s="160" customFormat="1" x14ac:dyDescent="0.3"/>
    <row r="9515" s="160" customFormat="1" x14ac:dyDescent="0.3"/>
    <row r="9516" s="160" customFormat="1" x14ac:dyDescent="0.3"/>
    <row r="9517" s="160" customFormat="1" x14ac:dyDescent="0.3"/>
    <row r="9518" s="160" customFormat="1" x14ac:dyDescent="0.3"/>
    <row r="9519" s="160" customFormat="1" x14ac:dyDescent="0.3"/>
    <row r="9520" s="160" customFormat="1" x14ac:dyDescent="0.3"/>
    <row r="9521" s="160" customFormat="1" x14ac:dyDescent="0.3"/>
    <row r="9522" s="160" customFormat="1" x14ac:dyDescent="0.3"/>
    <row r="9523" s="160" customFormat="1" x14ac:dyDescent="0.3"/>
    <row r="9524" s="160" customFormat="1" x14ac:dyDescent="0.3"/>
    <row r="9525" s="160" customFormat="1" x14ac:dyDescent="0.3"/>
    <row r="9526" s="160" customFormat="1" x14ac:dyDescent="0.3"/>
    <row r="9527" s="160" customFormat="1" x14ac:dyDescent="0.3"/>
    <row r="9528" s="160" customFormat="1" x14ac:dyDescent="0.3"/>
    <row r="9529" s="160" customFormat="1" x14ac:dyDescent="0.3"/>
    <row r="9530" s="160" customFormat="1" x14ac:dyDescent="0.3"/>
    <row r="9531" s="160" customFormat="1" x14ac:dyDescent="0.3"/>
    <row r="9532" s="160" customFormat="1" x14ac:dyDescent="0.3"/>
    <row r="9533" s="160" customFormat="1" x14ac:dyDescent="0.3"/>
    <row r="9534" s="160" customFormat="1" x14ac:dyDescent="0.3"/>
    <row r="9535" s="160" customFormat="1" x14ac:dyDescent="0.3"/>
    <row r="9536" s="160" customFormat="1" x14ac:dyDescent="0.3"/>
    <row r="9537" s="160" customFormat="1" x14ac:dyDescent="0.3"/>
    <row r="9538" s="160" customFormat="1" x14ac:dyDescent="0.3"/>
    <row r="9539" s="160" customFormat="1" x14ac:dyDescent="0.3"/>
    <row r="9540" s="160" customFormat="1" x14ac:dyDescent="0.3"/>
    <row r="9541" s="160" customFormat="1" x14ac:dyDescent="0.3"/>
    <row r="9542" s="160" customFormat="1" x14ac:dyDescent="0.3"/>
    <row r="9543" s="160" customFormat="1" x14ac:dyDescent="0.3"/>
    <row r="9544" s="160" customFormat="1" x14ac:dyDescent="0.3"/>
    <row r="9545" s="160" customFormat="1" x14ac:dyDescent="0.3"/>
    <row r="9546" s="160" customFormat="1" x14ac:dyDescent="0.3"/>
    <row r="9547" s="160" customFormat="1" x14ac:dyDescent="0.3"/>
    <row r="9548" s="160" customFormat="1" x14ac:dyDescent="0.3"/>
    <row r="9549" s="160" customFormat="1" x14ac:dyDescent="0.3"/>
    <row r="9550" s="160" customFormat="1" x14ac:dyDescent="0.3"/>
    <row r="9551" s="160" customFormat="1" x14ac:dyDescent="0.3"/>
    <row r="9552" s="160" customFormat="1" x14ac:dyDescent="0.3"/>
    <row r="9553" s="160" customFormat="1" x14ac:dyDescent="0.3"/>
    <row r="9554" s="160" customFormat="1" x14ac:dyDescent="0.3"/>
    <row r="9555" s="160" customFormat="1" x14ac:dyDescent="0.3"/>
    <row r="9556" s="160" customFormat="1" x14ac:dyDescent="0.3"/>
    <row r="9557" s="160" customFormat="1" x14ac:dyDescent="0.3"/>
    <row r="9558" s="160" customFormat="1" x14ac:dyDescent="0.3"/>
    <row r="9559" s="160" customFormat="1" x14ac:dyDescent="0.3"/>
    <row r="9560" s="160" customFormat="1" x14ac:dyDescent="0.3"/>
    <row r="9561" s="160" customFormat="1" x14ac:dyDescent="0.3"/>
    <row r="9562" s="160" customFormat="1" x14ac:dyDescent="0.3"/>
    <row r="9563" s="160" customFormat="1" x14ac:dyDescent="0.3"/>
    <row r="9564" s="160" customFormat="1" x14ac:dyDescent="0.3"/>
    <row r="9565" s="160" customFormat="1" x14ac:dyDescent="0.3"/>
    <row r="9566" s="160" customFormat="1" x14ac:dyDescent="0.3"/>
    <row r="9567" s="160" customFormat="1" x14ac:dyDescent="0.3"/>
    <row r="9568" s="160" customFormat="1" x14ac:dyDescent="0.3"/>
    <row r="9569" s="160" customFormat="1" x14ac:dyDescent="0.3"/>
    <row r="9570" s="160" customFormat="1" x14ac:dyDescent="0.3"/>
    <row r="9571" s="160" customFormat="1" x14ac:dyDescent="0.3"/>
    <row r="9572" s="160" customFormat="1" x14ac:dyDescent="0.3"/>
    <row r="9573" s="160" customFormat="1" x14ac:dyDescent="0.3"/>
    <row r="9574" s="160" customFormat="1" x14ac:dyDescent="0.3"/>
    <row r="9575" s="160" customFormat="1" x14ac:dyDescent="0.3"/>
    <row r="9576" s="160" customFormat="1" x14ac:dyDescent="0.3"/>
    <row r="9577" s="160" customFormat="1" x14ac:dyDescent="0.3"/>
    <row r="9578" s="160" customFormat="1" x14ac:dyDescent="0.3"/>
    <row r="9579" s="160" customFormat="1" x14ac:dyDescent="0.3"/>
    <row r="9580" s="160" customFormat="1" x14ac:dyDescent="0.3"/>
    <row r="9581" s="160" customFormat="1" x14ac:dyDescent="0.3"/>
    <row r="9582" s="160" customFormat="1" x14ac:dyDescent="0.3"/>
    <row r="9583" s="160" customFormat="1" x14ac:dyDescent="0.3"/>
    <row r="9584" s="160" customFormat="1" x14ac:dyDescent="0.3"/>
    <row r="9585" s="160" customFormat="1" x14ac:dyDescent="0.3"/>
    <row r="9586" s="160" customFormat="1" x14ac:dyDescent="0.3"/>
    <row r="9587" s="160" customFormat="1" x14ac:dyDescent="0.3"/>
    <row r="9588" s="160" customFormat="1" x14ac:dyDescent="0.3"/>
    <row r="9589" s="160" customFormat="1" x14ac:dyDescent="0.3"/>
    <row r="9590" s="160" customFormat="1" x14ac:dyDescent="0.3"/>
    <row r="9591" s="160" customFormat="1" x14ac:dyDescent="0.3"/>
    <row r="9592" s="160" customFormat="1" x14ac:dyDescent="0.3"/>
    <row r="9593" s="160" customFormat="1" x14ac:dyDescent="0.3"/>
    <row r="9594" s="160" customFormat="1" x14ac:dyDescent="0.3"/>
    <row r="9595" s="160" customFormat="1" x14ac:dyDescent="0.3"/>
    <row r="9596" s="160" customFormat="1" x14ac:dyDescent="0.3"/>
    <row r="9597" s="160" customFormat="1" x14ac:dyDescent="0.3"/>
    <row r="9598" s="160" customFormat="1" x14ac:dyDescent="0.3"/>
    <row r="9599" s="160" customFormat="1" x14ac:dyDescent="0.3"/>
    <row r="9600" s="160" customFormat="1" x14ac:dyDescent="0.3"/>
    <row r="9601" s="160" customFormat="1" x14ac:dyDescent="0.3"/>
    <row r="9602" s="160" customFormat="1" x14ac:dyDescent="0.3"/>
    <row r="9603" s="160" customFormat="1" x14ac:dyDescent="0.3"/>
    <row r="9604" s="160" customFormat="1" x14ac:dyDescent="0.3"/>
    <row r="9605" s="160" customFormat="1" x14ac:dyDescent="0.3"/>
    <row r="9606" s="160" customFormat="1" x14ac:dyDescent="0.3"/>
    <row r="9607" s="160" customFormat="1" x14ac:dyDescent="0.3"/>
    <row r="9608" s="160" customFormat="1" x14ac:dyDescent="0.3"/>
    <row r="9609" s="160" customFormat="1" x14ac:dyDescent="0.3"/>
    <row r="9610" s="160" customFormat="1" x14ac:dyDescent="0.3"/>
    <row r="9611" s="160" customFormat="1" x14ac:dyDescent="0.3"/>
    <row r="9612" s="160" customFormat="1" x14ac:dyDescent="0.3"/>
    <row r="9613" s="160" customFormat="1" x14ac:dyDescent="0.3"/>
    <row r="9614" s="160" customFormat="1" x14ac:dyDescent="0.3"/>
    <row r="9615" s="160" customFormat="1" x14ac:dyDescent="0.3"/>
    <row r="9616" s="160" customFormat="1" x14ac:dyDescent="0.3"/>
    <row r="9617" s="160" customFormat="1" x14ac:dyDescent="0.3"/>
    <row r="9618" s="160" customFormat="1" x14ac:dyDescent="0.3"/>
    <row r="9619" s="160" customFormat="1" x14ac:dyDescent="0.3"/>
    <row r="9620" s="160" customFormat="1" x14ac:dyDescent="0.3"/>
    <row r="9621" s="160" customFormat="1" x14ac:dyDescent="0.3"/>
    <row r="9622" s="160" customFormat="1" x14ac:dyDescent="0.3"/>
    <row r="9623" s="160" customFormat="1" x14ac:dyDescent="0.3"/>
    <row r="9624" s="160" customFormat="1" x14ac:dyDescent="0.3"/>
    <row r="9625" s="160" customFormat="1" x14ac:dyDescent="0.3"/>
    <row r="9626" s="160" customFormat="1" x14ac:dyDescent="0.3"/>
    <row r="9627" s="160" customFormat="1" x14ac:dyDescent="0.3"/>
    <row r="9628" s="160" customFormat="1" x14ac:dyDescent="0.3"/>
    <row r="9629" s="160" customFormat="1" x14ac:dyDescent="0.3"/>
    <row r="9630" s="160" customFormat="1" x14ac:dyDescent="0.3"/>
    <row r="9631" s="160" customFormat="1" x14ac:dyDescent="0.3"/>
    <row r="9632" s="160" customFormat="1" x14ac:dyDescent="0.3"/>
    <row r="9633" s="160" customFormat="1" x14ac:dyDescent="0.3"/>
    <row r="9634" s="160" customFormat="1" x14ac:dyDescent="0.3"/>
    <row r="9635" s="160" customFormat="1" x14ac:dyDescent="0.3"/>
    <row r="9636" s="160" customFormat="1" x14ac:dyDescent="0.3"/>
    <row r="9637" s="160" customFormat="1" x14ac:dyDescent="0.3"/>
    <row r="9638" s="160" customFormat="1" x14ac:dyDescent="0.3"/>
    <row r="9639" s="160" customFormat="1" x14ac:dyDescent="0.3"/>
    <row r="9640" s="160" customFormat="1" x14ac:dyDescent="0.3"/>
    <row r="9641" s="160" customFormat="1" x14ac:dyDescent="0.3"/>
    <row r="9642" s="160" customFormat="1" x14ac:dyDescent="0.3"/>
    <row r="9643" s="160" customFormat="1" x14ac:dyDescent="0.3"/>
    <row r="9644" s="160" customFormat="1" x14ac:dyDescent="0.3"/>
    <row r="9645" s="160" customFormat="1" x14ac:dyDescent="0.3"/>
    <row r="9646" s="160" customFormat="1" x14ac:dyDescent="0.3"/>
    <row r="9647" s="160" customFormat="1" x14ac:dyDescent="0.3"/>
    <row r="9648" s="160" customFormat="1" x14ac:dyDescent="0.3"/>
    <row r="9649" s="160" customFormat="1" x14ac:dyDescent="0.3"/>
    <row r="9650" s="160" customFormat="1" x14ac:dyDescent="0.3"/>
    <row r="9651" s="160" customFormat="1" x14ac:dyDescent="0.3"/>
    <row r="9652" s="160" customFormat="1" x14ac:dyDescent="0.3"/>
    <row r="9653" s="160" customFormat="1" x14ac:dyDescent="0.3"/>
    <row r="9654" s="160" customFormat="1" x14ac:dyDescent="0.3"/>
    <row r="9655" s="160" customFormat="1" x14ac:dyDescent="0.3"/>
    <row r="9656" s="160" customFormat="1" x14ac:dyDescent="0.3"/>
    <row r="9657" s="160" customFormat="1" x14ac:dyDescent="0.3"/>
    <row r="9658" s="160" customFormat="1" x14ac:dyDescent="0.3"/>
    <row r="9659" s="160" customFormat="1" x14ac:dyDescent="0.3"/>
    <row r="9660" s="160" customFormat="1" x14ac:dyDescent="0.3"/>
    <row r="9661" s="160" customFormat="1" x14ac:dyDescent="0.3"/>
    <row r="9662" s="160" customFormat="1" x14ac:dyDescent="0.3"/>
    <row r="9663" s="160" customFormat="1" x14ac:dyDescent="0.3"/>
    <row r="9664" s="160" customFormat="1" x14ac:dyDescent="0.3"/>
    <row r="9665" s="160" customFormat="1" x14ac:dyDescent="0.3"/>
    <row r="9666" s="160" customFormat="1" x14ac:dyDescent="0.3"/>
    <row r="9667" s="160" customFormat="1" x14ac:dyDescent="0.3"/>
    <row r="9668" s="160" customFormat="1" x14ac:dyDescent="0.3"/>
    <row r="9669" s="160" customFormat="1" x14ac:dyDescent="0.3"/>
    <row r="9670" s="160" customFormat="1" x14ac:dyDescent="0.3"/>
    <row r="9671" s="160" customFormat="1" x14ac:dyDescent="0.3"/>
    <row r="9672" s="160" customFormat="1" x14ac:dyDescent="0.3"/>
    <row r="9673" s="160" customFormat="1" x14ac:dyDescent="0.3"/>
    <row r="9674" s="160" customFormat="1" x14ac:dyDescent="0.3"/>
    <row r="9675" s="160" customFormat="1" x14ac:dyDescent="0.3"/>
    <row r="9676" s="160" customFormat="1" x14ac:dyDescent="0.3"/>
    <row r="9677" s="160" customFormat="1" x14ac:dyDescent="0.3"/>
    <row r="9678" s="160" customFormat="1" x14ac:dyDescent="0.3"/>
    <row r="9679" s="160" customFormat="1" x14ac:dyDescent="0.3"/>
    <row r="9680" s="160" customFormat="1" x14ac:dyDescent="0.3"/>
    <row r="9681" s="160" customFormat="1" x14ac:dyDescent="0.3"/>
    <row r="9682" s="160" customFormat="1" x14ac:dyDescent="0.3"/>
    <row r="9683" s="160" customFormat="1" x14ac:dyDescent="0.3"/>
    <row r="9684" s="160" customFormat="1" x14ac:dyDescent="0.3"/>
    <row r="9685" s="160" customFormat="1" x14ac:dyDescent="0.3"/>
    <row r="9686" s="160" customFormat="1" x14ac:dyDescent="0.3"/>
    <row r="9687" s="160" customFormat="1" x14ac:dyDescent="0.3"/>
    <row r="9688" s="160" customFormat="1" x14ac:dyDescent="0.3"/>
    <row r="9689" s="160" customFormat="1" x14ac:dyDescent="0.3"/>
    <row r="9690" s="160" customFormat="1" x14ac:dyDescent="0.3"/>
    <row r="9691" s="160" customFormat="1" x14ac:dyDescent="0.3"/>
    <row r="9692" s="160" customFormat="1" x14ac:dyDescent="0.3"/>
    <row r="9693" s="160" customFormat="1" x14ac:dyDescent="0.3"/>
    <row r="9694" s="160" customFormat="1" x14ac:dyDescent="0.3"/>
    <row r="9695" s="160" customFormat="1" x14ac:dyDescent="0.3"/>
    <row r="9696" s="160" customFormat="1" x14ac:dyDescent="0.3"/>
    <row r="9697" s="160" customFormat="1" x14ac:dyDescent="0.3"/>
    <row r="9698" s="160" customFormat="1" x14ac:dyDescent="0.3"/>
    <row r="9699" s="160" customFormat="1" x14ac:dyDescent="0.3"/>
    <row r="9700" s="160" customFormat="1" x14ac:dyDescent="0.3"/>
    <row r="9701" s="160" customFormat="1" x14ac:dyDescent="0.3"/>
    <row r="9702" s="160" customFormat="1" x14ac:dyDescent="0.3"/>
    <row r="9703" s="160" customFormat="1" x14ac:dyDescent="0.3"/>
    <row r="9704" s="160" customFormat="1" x14ac:dyDescent="0.3"/>
    <row r="9705" s="160" customFormat="1" x14ac:dyDescent="0.3"/>
    <row r="9706" s="160" customFormat="1" x14ac:dyDescent="0.3"/>
    <row r="9707" s="160" customFormat="1" x14ac:dyDescent="0.3"/>
    <row r="9708" s="160" customFormat="1" x14ac:dyDescent="0.3"/>
    <row r="9709" s="160" customFormat="1" x14ac:dyDescent="0.3"/>
    <row r="9710" s="160" customFormat="1" x14ac:dyDescent="0.3"/>
    <row r="9711" s="160" customFormat="1" x14ac:dyDescent="0.3"/>
    <row r="9712" s="160" customFormat="1" x14ac:dyDescent="0.3"/>
    <row r="9713" s="160" customFormat="1" x14ac:dyDescent="0.3"/>
    <row r="9714" s="160" customFormat="1" x14ac:dyDescent="0.3"/>
    <row r="9715" s="160" customFormat="1" x14ac:dyDescent="0.3"/>
    <row r="9716" s="160" customFormat="1" x14ac:dyDescent="0.3"/>
    <row r="9717" s="160" customFormat="1" x14ac:dyDescent="0.3"/>
    <row r="9718" s="160" customFormat="1" x14ac:dyDescent="0.3"/>
    <row r="9719" s="160" customFormat="1" x14ac:dyDescent="0.3"/>
    <row r="9720" s="160" customFormat="1" x14ac:dyDescent="0.3"/>
    <row r="9721" s="160" customFormat="1" x14ac:dyDescent="0.3"/>
    <row r="9722" s="160" customFormat="1" x14ac:dyDescent="0.3"/>
    <row r="9723" s="160" customFormat="1" x14ac:dyDescent="0.3"/>
    <row r="9724" s="160" customFormat="1" x14ac:dyDescent="0.3"/>
    <row r="9725" s="160" customFormat="1" x14ac:dyDescent="0.3"/>
    <row r="9726" s="160" customFormat="1" x14ac:dyDescent="0.3"/>
    <row r="9727" s="160" customFormat="1" x14ac:dyDescent="0.3"/>
    <row r="9728" s="160" customFormat="1" x14ac:dyDescent="0.3"/>
    <row r="9729" s="160" customFormat="1" x14ac:dyDescent="0.3"/>
    <row r="9730" s="160" customFormat="1" x14ac:dyDescent="0.3"/>
    <row r="9731" s="160" customFormat="1" x14ac:dyDescent="0.3"/>
    <row r="9732" s="160" customFormat="1" x14ac:dyDescent="0.3"/>
    <row r="9733" s="160" customFormat="1" x14ac:dyDescent="0.3"/>
    <row r="9734" s="160" customFormat="1" x14ac:dyDescent="0.3"/>
    <row r="9735" s="160" customFormat="1" x14ac:dyDescent="0.3"/>
    <row r="9736" s="160" customFormat="1" x14ac:dyDescent="0.3"/>
    <row r="9737" s="160" customFormat="1" x14ac:dyDescent="0.3"/>
    <row r="9738" s="160" customFormat="1" x14ac:dyDescent="0.3"/>
    <row r="9739" s="160" customFormat="1" x14ac:dyDescent="0.3"/>
    <row r="9740" s="160" customFormat="1" x14ac:dyDescent="0.3"/>
    <row r="9741" s="160" customFormat="1" x14ac:dyDescent="0.3"/>
    <row r="9742" s="160" customFormat="1" x14ac:dyDescent="0.3"/>
    <row r="9743" s="160" customFormat="1" x14ac:dyDescent="0.3"/>
    <row r="9744" s="160" customFormat="1" x14ac:dyDescent="0.3"/>
    <row r="9745" s="160" customFormat="1" x14ac:dyDescent="0.3"/>
    <row r="9746" s="160" customFormat="1" x14ac:dyDescent="0.3"/>
    <row r="9747" s="160" customFormat="1" x14ac:dyDescent="0.3"/>
    <row r="9748" s="160" customFormat="1" x14ac:dyDescent="0.3"/>
    <row r="9749" s="160" customFormat="1" x14ac:dyDescent="0.3"/>
    <row r="9750" s="160" customFormat="1" x14ac:dyDescent="0.3"/>
    <row r="9751" s="160" customFormat="1" x14ac:dyDescent="0.3"/>
    <row r="9752" s="160" customFormat="1" x14ac:dyDescent="0.3"/>
    <row r="9753" s="160" customFormat="1" x14ac:dyDescent="0.3"/>
    <row r="9754" s="160" customFormat="1" x14ac:dyDescent="0.3"/>
    <row r="9755" s="160" customFormat="1" x14ac:dyDescent="0.3"/>
    <row r="9756" s="160" customFormat="1" x14ac:dyDescent="0.3"/>
    <row r="9757" s="160" customFormat="1" x14ac:dyDescent="0.3"/>
    <row r="9758" s="160" customFormat="1" x14ac:dyDescent="0.3"/>
    <row r="9759" s="160" customFormat="1" x14ac:dyDescent="0.3"/>
    <row r="9760" s="160" customFormat="1" x14ac:dyDescent="0.3"/>
    <row r="9761" s="160" customFormat="1" x14ac:dyDescent="0.3"/>
    <row r="9762" s="160" customFormat="1" x14ac:dyDescent="0.3"/>
    <row r="9763" s="160" customFormat="1" x14ac:dyDescent="0.3"/>
    <row r="9764" s="160" customFormat="1" x14ac:dyDescent="0.3"/>
    <row r="9765" s="160" customFormat="1" x14ac:dyDescent="0.3"/>
    <row r="9766" s="160" customFormat="1" x14ac:dyDescent="0.3"/>
    <row r="9767" s="160" customFormat="1" x14ac:dyDescent="0.3"/>
    <row r="9768" s="160" customFormat="1" x14ac:dyDescent="0.3"/>
    <row r="9769" s="160" customFormat="1" x14ac:dyDescent="0.3"/>
    <row r="9770" s="160" customFormat="1" x14ac:dyDescent="0.3"/>
    <row r="9771" s="160" customFormat="1" x14ac:dyDescent="0.3"/>
    <row r="9772" s="160" customFormat="1" x14ac:dyDescent="0.3"/>
    <row r="9773" s="160" customFormat="1" x14ac:dyDescent="0.3"/>
    <row r="9774" s="160" customFormat="1" x14ac:dyDescent="0.3"/>
    <row r="9775" s="160" customFormat="1" x14ac:dyDescent="0.3"/>
    <row r="9776" s="160" customFormat="1" x14ac:dyDescent="0.3"/>
    <row r="9777" s="160" customFormat="1" x14ac:dyDescent="0.3"/>
    <row r="9778" s="160" customFormat="1" x14ac:dyDescent="0.3"/>
    <row r="9779" s="160" customFormat="1" x14ac:dyDescent="0.3"/>
    <row r="9780" s="160" customFormat="1" x14ac:dyDescent="0.3"/>
    <row r="9781" s="160" customFormat="1" x14ac:dyDescent="0.3"/>
    <row r="9782" s="160" customFormat="1" x14ac:dyDescent="0.3"/>
    <row r="9783" s="160" customFormat="1" x14ac:dyDescent="0.3"/>
    <row r="9784" s="160" customFormat="1" x14ac:dyDescent="0.3"/>
    <row r="9785" s="160" customFormat="1" x14ac:dyDescent="0.3"/>
    <row r="9786" s="160" customFormat="1" x14ac:dyDescent="0.3"/>
    <row r="9787" s="160" customFormat="1" x14ac:dyDescent="0.3"/>
    <row r="9788" s="160" customFormat="1" x14ac:dyDescent="0.3"/>
    <row r="9789" s="160" customFormat="1" x14ac:dyDescent="0.3"/>
    <row r="9790" s="160" customFormat="1" x14ac:dyDescent="0.3"/>
    <row r="9791" s="160" customFormat="1" x14ac:dyDescent="0.3"/>
    <row r="9792" s="160" customFormat="1" x14ac:dyDescent="0.3"/>
    <row r="9793" s="160" customFormat="1" x14ac:dyDescent="0.3"/>
    <row r="9794" s="160" customFormat="1" x14ac:dyDescent="0.3"/>
    <row r="9795" s="160" customFormat="1" x14ac:dyDescent="0.3"/>
    <row r="9796" s="160" customFormat="1" x14ac:dyDescent="0.3"/>
    <row r="9797" s="160" customFormat="1" x14ac:dyDescent="0.3"/>
    <row r="9798" s="160" customFormat="1" x14ac:dyDescent="0.3"/>
    <row r="9799" s="160" customFormat="1" x14ac:dyDescent="0.3"/>
    <row r="9800" s="160" customFormat="1" x14ac:dyDescent="0.3"/>
    <row r="9801" s="160" customFormat="1" x14ac:dyDescent="0.3"/>
    <row r="9802" s="160" customFormat="1" x14ac:dyDescent="0.3"/>
    <row r="9803" s="160" customFormat="1" x14ac:dyDescent="0.3"/>
    <row r="9804" s="160" customFormat="1" x14ac:dyDescent="0.3"/>
    <row r="9805" s="160" customFormat="1" x14ac:dyDescent="0.3"/>
    <row r="9806" s="160" customFormat="1" x14ac:dyDescent="0.3"/>
    <row r="9807" s="160" customFormat="1" x14ac:dyDescent="0.3"/>
    <row r="9808" s="160" customFormat="1" x14ac:dyDescent="0.3"/>
    <row r="9809" s="160" customFormat="1" x14ac:dyDescent="0.3"/>
    <row r="9810" s="160" customFormat="1" x14ac:dyDescent="0.3"/>
    <row r="9811" s="160" customFormat="1" x14ac:dyDescent="0.3"/>
    <row r="9812" s="160" customFormat="1" x14ac:dyDescent="0.3"/>
    <row r="9813" s="160" customFormat="1" x14ac:dyDescent="0.3"/>
    <row r="9814" s="160" customFormat="1" x14ac:dyDescent="0.3"/>
    <row r="9815" s="160" customFormat="1" x14ac:dyDescent="0.3"/>
    <row r="9816" s="160" customFormat="1" x14ac:dyDescent="0.3"/>
    <row r="9817" s="160" customFormat="1" x14ac:dyDescent="0.3"/>
    <row r="9818" s="160" customFormat="1" x14ac:dyDescent="0.3"/>
    <row r="9819" s="160" customFormat="1" x14ac:dyDescent="0.3"/>
    <row r="9820" s="160" customFormat="1" x14ac:dyDescent="0.3"/>
    <row r="9821" s="160" customFormat="1" x14ac:dyDescent="0.3"/>
    <row r="9822" s="160" customFormat="1" x14ac:dyDescent="0.3"/>
    <row r="9823" s="160" customFormat="1" x14ac:dyDescent="0.3"/>
    <row r="9824" s="160" customFormat="1" x14ac:dyDescent="0.3"/>
    <row r="9825" s="160" customFormat="1" x14ac:dyDescent="0.3"/>
    <row r="9826" s="160" customFormat="1" x14ac:dyDescent="0.3"/>
    <row r="9827" s="160" customFormat="1" x14ac:dyDescent="0.3"/>
    <row r="9828" s="160" customFormat="1" x14ac:dyDescent="0.3"/>
    <row r="9829" s="160" customFormat="1" x14ac:dyDescent="0.3"/>
    <row r="9830" s="160" customFormat="1" x14ac:dyDescent="0.3"/>
    <row r="9831" s="160" customFormat="1" x14ac:dyDescent="0.3"/>
    <row r="9832" s="160" customFormat="1" x14ac:dyDescent="0.3"/>
    <row r="9833" s="160" customFormat="1" x14ac:dyDescent="0.3"/>
    <row r="9834" s="160" customFormat="1" x14ac:dyDescent="0.3"/>
    <row r="9835" s="160" customFormat="1" x14ac:dyDescent="0.3"/>
    <row r="9836" s="160" customFormat="1" x14ac:dyDescent="0.3"/>
    <row r="9837" s="160" customFormat="1" x14ac:dyDescent="0.3"/>
    <row r="9838" s="160" customFormat="1" x14ac:dyDescent="0.3"/>
    <row r="9839" s="160" customFormat="1" x14ac:dyDescent="0.3"/>
    <row r="9840" s="160" customFormat="1" x14ac:dyDescent="0.3"/>
    <row r="9841" s="160" customFormat="1" x14ac:dyDescent="0.3"/>
    <row r="9842" s="160" customFormat="1" x14ac:dyDescent="0.3"/>
    <row r="9843" s="160" customFormat="1" x14ac:dyDescent="0.3"/>
    <row r="9844" s="160" customFormat="1" x14ac:dyDescent="0.3"/>
    <row r="9845" s="160" customFormat="1" x14ac:dyDescent="0.3"/>
    <row r="9846" s="160" customFormat="1" x14ac:dyDescent="0.3"/>
    <row r="9847" s="160" customFormat="1" x14ac:dyDescent="0.3"/>
    <row r="9848" s="160" customFormat="1" x14ac:dyDescent="0.3"/>
    <row r="9849" s="160" customFormat="1" x14ac:dyDescent="0.3"/>
    <row r="9850" s="160" customFormat="1" x14ac:dyDescent="0.3"/>
    <row r="9851" s="160" customFormat="1" x14ac:dyDescent="0.3"/>
    <row r="9852" s="160" customFormat="1" x14ac:dyDescent="0.3"/>
    <row r="9853" s="160" customFormat="1" x14ac:dyDescent="0.3"/>
    <row r="9854" s="160" customFormat="1" x14ac:dyDescent="0.3"/>
    <row r="9855" s="160" customFormat="1" x14ac:dyDescent="0.3"/>
    <row r="9856" s="160" customFormat="1" x14ac:dyDescent="0.3"/>
    <row r="9857" s="160" customFormat="1" x14ac:dyDescent="0.3"/>
    <row r="9858" s="160" customFormat="1" x14ac:dyDescent="0.3"/>
    <row r="9859" s="160" customFormat="1" x14ac:dyDescent="0.3"/>
    <row r="9860" s="160" customFormat="1" x14ac:dyDescent="0.3"/>
    <row r="9861" s="160" customFormat="1" x14ac:dyDescent="0.3"/>
    <row r="9862" s="160" customFormat="1" x14ac:dyDescent="0.3"/>
    <row r="9863" s="160" customFormat="1" x14ac:dyDescent="0.3"/>
    <row r="9864" s="160" customFormat="1" x14ac:dyDescent="0.3"/>
    <row r="9865" s="160" customFormat="1" x14ac:dyDescent="0.3"/>
    <row r="9866" s="160" customFormat="1" x14ac:dyDescent="0.3"/>
    <row r="9867" s="160" customFormat="1" x14ac:dyDescent="0.3"/>
    <row r="9868" s="160" customFormat="1" x14ac:dyDescent="0.3"/>
    <row r="9869" s="160" customFormat="1" x14ac:dyDescent="0.3"/>
    <row r="9870" s="160" customFormat="1" x14ac:dyDescent="0.3"/>
    <row r="9871" s="160" customFormat="1" x14ac:dyDescent="0.3"/>
    <row r="9872" s="160" customFormat="1" x14ac:dyDescent="0.3"/>
    <row r="9873" s="160" customFormat="1" x14ac:dyDescent="0.3"/>
    <row r="9874" s="160" customFormat="1" x14ac:dyDescent="0.3"/>
    <row r="9875" s="160" customFormat="1" x14ac:dyDescent="0.3"/>
    <row r="9876" s="160" customFormat="1" x14ac:dyDescent="0.3"/>
    <row r="9877" s="160" customFormat="1" x14ac:dyDescent="0.3"/>
    <row r="9878" s="160" customFormat="1" x14ac:dyDescent="0.3"/>
    <row r="9879" s="160" customFormat="1" x14ac:dyDescent="0.3"/>
    <row r="9880" s="160" customFormat="1" x14ac:dyDescent="0.3"/>
    <row r="9881" s="160" customFormat="1" x14ac:dyDescent="0.3"/>
    <row r="9882" s="160" customFormat="1" x14ac:dyDescent="0.3"/>
    <row r="9883" s="160" customFormat="1" x14ac:dyDescent="0.3"/>
    <row r="9884" s="160" customFormat="1" x14ac:dyDescent="0.3"/>
    <row r="9885" s="160" customFormat="1" x14ac:dyDescent="0.3"/>
    <row r="9886" s="160" customFormat="1" x14ac:dyDescent="0.3"/>
    <row r="9887" s="160" customFormat="1" x14ac:dyDescent="0.3"/>
    <row r="9888" s="160" customFormat="1" x14ac:dyDescent="0.3"/>
    <row r="9889" s="160" customFormat="1" x14ac:dyDescent="0.3"/>
    <row r="9890" s="160" customFormat="1" x14ac:dyDescent="0.3"/>
    <row r="9891" s="160" customFormat="1" x14ac:dyDescent="0.3"/>
    <row r="9892" s="160" customFormat="1" x14ac:dyDescent="0.3"/>
    <row r="9893" s="160" customFormat="1" x14ac:dyDescent="0.3"/>
    <row r="9894" s="160" customFormat="1" x14ac:dyDescent="0.3"/>
    <row r="9895" s="160" customFormat="1" x14ac:dyDescent="0.3"/>
    <row r="9896" s="160" customFormat="1" x14ac:dyDescent="0.3"/>
    <row r="9897" s="160" customFormat="1" x14ac:dyDescent="0.3"/>
    <row r="9898" s="160" customFormat="1" x14ac:dyDescent="0.3"/>
    <row r="9899" s="160" customFormat="1" x14ac:dyDescent="0.3"/>
    <row r="9900" s="160" customFormat="1" x14ac:dyDescent="0.3"/>
    <row r="9901" s="160" customFormat="1" x14ac:dyDescent="0.3"/>
    <row r="9902" s="160" customFormat="1" x14ac:dyDescent="0.3"/>
    <row r="9903" s="160" customFormat="1" x14ac:dyDescent="0.3"/>
    <row r="9904" s="160" customFormat="1" x14ac:dyDescent="0.3"/>
    <row r="9905" s="160" customFormat="1" x14ac:dyDescent="0.3"/>
    <row r="9906" s="160" customFormat="1" x14ac:dyDescent="0.3"/>
    <row r="9907" s="160" customFormat="1" x14ac:dyDescent="0.3"/>
    <row r="9908" s="160" customFormat="1" x14ac:dyDescent="0.3"/>
    <row r="9909" s="160" customFormat="1" x14ac:dyDescent="0.3"/>
    <row r="9910" s="160" customFormat="1" x14ac:dyDescent="0.3"/>
    <row r="9911" s="160" customFormat="1" x14ac:dyDescent="0.3"/>
    <row r="9912" s="160" customFormat="1" x14ac:dyDescent="0.3"/>
    <row r="9913" s="160" customFormat="1" x14ac:dyDescent="0.3"/>
    <row r="9914" s="160" customFormat="1" x14ac:dyDescent="0.3"/>
    <row r="9915" s="160" customFormat="1" x14ac:dyDescent="0.3"/>
    <row r="9916" s="160" customFormat="1" x14ac:dyDescent="0.3"/>
    <row r="9917" s="160" customFormat="1" x14ac:dyDescent="0.3"/>
    <row r="9918" s="160" customFormat="1" x14ac:dyDescent="0.3"/>
    <row r="9919" s="160" customFormat="1" x14ac:dyDescent="0.3"/>
    <row r="9920" s="160" customFormat="1" x14ac:dyDescent="0.3"/>
    <row r="9921" s="160" customFormat="1" x14ac:dyDescent="0.3"/>
    <row r="9922" s="160" customFormat="1" x14ac:dyDescent="0.3"/>
    <row r="9923" s="160" customFormat="1" x14ac:dyDescent="0.3"/>
    <row r="9924" s="160" customFormat="1" x14ac:dyDescent="0.3"/>
    <row r="9925" s="160" customFormat="1" x14ac:dyDescent="0.3"/>
    <row r="9926" s="160" customFormat="1" x14ac:dyDescent="0.3"/>
    <row r="9927" s="160" customFormat="1" x14ac:dyDescent="0.3"/>
    <row r="9928" s="160" customFormat="1" x14ac:dyDescent="0.3"/>
    <row r="9929" s="160" customFormat="1" x14ac:dyDescent="0.3"/>
    <row r="9930" s="160" customFormat="1" x14ac:dyDescent="0.3"/>
    <row r="9931" s="160" customFormat="1" x14ac:dyDescent="0.3"/>
    <row r="9932" s="160" customFormat="1" x14ac:dyDescent="0.3"/>
    <row r="9933" s="160" customFormat="1" x14ac:dyDescent="0.3"/>
    <row r="9934" s="160" customFormat="1" x14ac:dyDescent="0.3"/>
    <row r="9935" s="160" customFormat="1" x14ac:dyDescent="0.3"/>
    <row r="9936" s="160" customFormat="1" x14ac:dyDescent="0.3"/>
    <row r="9937" s="160" customFormat="1" x14ac:dyDescent="0.3"/>
    <row r="9938" s="160" customFormat="1" x14ac:dyDescent="0.3"/>
    <row r="9939" s="160" customFormat="1" x14ac:dyDescent="0.3"/>
    <row r="9940" s="160" customFormat="1" x14ac:dyDescent="0.3"/>
    <row r="9941" s="160" customFormat="1" x14ac:dyDescent="0.3"/>
    <row r="9942" s="160" customFormat="1" x14ac:dyDescent="0.3"/>
    <row r="9943" s="160" customFormat="1" x14ac:dyDescent="0.3"/>
    <row r="9944" s="160" customFormat="1" x14ac:dyDescent="0.3"/>
    <row r="9945" s="160" customFormat="1" x14ac:dyDescent="0.3"/>
    <row r="9946" s="160" customFormat="1" x14ac:dyDescent="0.3"/>
    <row r="9947" s="160" customFormat="1" x14ac:dyDescent="0.3"/>
    <row r="9948" s="160" customFormat="1" x14ac:dyDescent="0.3"/>
    <row r="9949" s="160" customFormat="1" x14ac:dyDescent="0.3"/>
    <row r="9950" s="160" customFormat="1" x14ac:dyDescent="0.3"/>
    <row r="9951" s="160" customFormat="1" x14ac:dyDescent="0.3"/>
    <row r="9952" s="160" customFormat="1" x14ac:dyDescent="0.3"/>
    <row r="9953" s="160" customFormat="1" x14ac:dyDescent="0.3"/>
    <row r="9954" s="160" customFormat="1" x14ac:dyDescent="0.3"/>
    <row r="9955" s="160" customFormat="1" x14ac:dyDescent="0.3"/>
    <row r="9956" s="160" customFormat="1" x14ac:dyDescent="0.3"/>
    <row r="9957" s="160" customFormat="1" x14ac:dyDescent="0.3"/>
    <row r="9958" s="160" customFormat="1" x14ac:dyDescent="0.3"/>
    <row r="9959" s="160" customFormat="1" x14ac:dyDescent="0.3"/>
    <row r="9960" s="160" customFormat="1" x14ac:dyDescent="0.3"/>
    <row r="9961" s="160" customFormat="1" x14ac:dyDescent="0.3"/>
    <row r="9962" s="160" customFormat="1" x14ac:dyDescent="0.3"/>
    <row r="9963" s="160" customFormat="1" x14ac:dyDescent="0.3"/>
    <row r="9964" s="160" customFormat="1" x14ac:dyDescent="0.3"/>
    <row r="9965" s="160" customFormat="1" x14ac:dyDescent="0.3"/>
    <row r="9966" s="160" customFormat="1" x14ac:dyDescent="0.3"/>
    <row r="9967" s="160" customFormat="1" x14ac:dyDescent="0.3"/>
    <row r="9968" s="160" customFormat="1" x14ac:dyDescent="0.3"/>
    <row r="9969" s="160" customFormat="1" x14ac:dyDescent="0.3"/>
    <row r="9970" s="160" customFormat="1" x14ac:dyDescent="0.3"/>
    <row r="9971" s="160" customFormat="1" x14ac:dyDescent="0.3"/>
    <row r="9972" s="160" customFormat="1" x14ac:dyDescent="0.3"/>
    <row r="9973" s="160" customFormat="1" x14ac:dyDescent="0.3"/>
    <row r="9974" s="160" customFormat="1" x14ac:dyDescent="0.3"/>
    <row r="9975" s="160" customFormat="1" x14ac:dyDescent="0.3"/>
    <row r="9976" s="160" customFormat="1" x14ac:dyDescent="0.3"/>
    <row r="9977" s="160" customFormat="1" x14ac:dyDescent="0.3"/>
    <row r="9978" s="160" customFormat="1" x14ac:dyDescent="0.3"/>
    <row r="9979" s="160" customFormat="1" x14ac:dyDescent="0.3"/>
    <row r="9980" s="160" customFormat="1" x14ac:dyDescent="0.3"/>
    <row r="9981" s="160" customFormat="1" x14ac:dyDescent="0.3"/>
    <row r="9982" s="160" customFormat="1" x14ac:dyDescent="0.3"/>
    <row r="9983" s="160" customFormat="1" x14ac:dyDescent="0.3"/>
    <row r="9984" s="160" customFormat="1" x14ac:dyDescent="0.3"/>
    <row r="9985" s="160" customFormat="1" x14ac:dyDescent="0.3"/>
    <row r="9986" s="160" customFormat="1" x14ac:dyDescent="0.3"/>
    <row r="9987" s="160" customFormat="1" x14ac:dyDescent="0.3"/>
    <row r="9988" s="160" customFormat="1" x14ac:dyDescent="0.3"/>
    <row r="9989" s="160" customFormat="1" x14ac:dyDescent="0.3"/>
    <row r="9990" s="160" customFormat="1" x14ac:dyDescent="0.3"/>
    <row r="9991" s="160" customFormat="1" x14ac:dyDescent="0.3"/>
    <row r="9992" s="160" customFormat="1" x14ac:dyDescent="0.3"/>
    <row r="9993" s="160" customFormat="1" x14ac:dyDescent="0.3"/>
    <row r="9994" s="160" customFormat="1" x14ac:dyDescent="0.3"/>
    <row r="9995" s="160" customFormat="1" x14ac:dyDescent="0.3"/>
    <row r="9996" s="160" customFormat="1" x14ac:dyDescent="0.3"/>
    <row r="9997" s="160" customFormat="1" x14ac:dyDescent="0.3"/>
    <row r="9998" s="160" customFormat="1" x14ac:dyDescent="0.3"/>
    <row r="9999" s="160" customFormat="1" x14ac:dyDescent="0.3"/>
    <row r="10000" s="160" customFormat="1" x14ac:dyDescent="0.3"/>
    <row r="10001" s="160" customFormat="1" x14ac:dyDescent="0.3"/>
    <row r="10002" s="160" customFormat="1" x14ac:dyDescent="0.3"/>
    <row r="10003" s="160" customFormat="1" x14ac:dyDescent="0.3"/>
    <row r="10004" s="160" customFormat="1" x14ac:dyDescent="0.3"/>
    <row r="10005" s="160" customFormat="1" x14ac:dyDescent="0.3"/>
    <row r="10006" s="160" customFormat="1" x14ac:dyDescent="0.3"/>
    <row r="10007" s="160" customFormat="1" x14ac:dyDescent="0.3"/>
    <row r="10008" s="160" customFormat="1" x14ac:dyDescent="0.3"/>
    <row r="10009" s="160" customFormat="1" x14ac:dyDescent="0.3"/>
    <row r="10010" s="160" customFormat="1" x14ac:dyDescent="0.3"/>
    <row r="10011" s="160" customFormat="1" x14ac:dyDescent="0.3"/>
    <row r="10012" s="160" customFormat="1" x14ac:dyDescent="0.3"/>
    <row r="10013" s="160" customFormat="1" x14ac:dyDescent="0.3"/>
    <row r="10014" s="160" customFormat="1" x14ac:dyDescent="0.3"/>
    <row r="10015" s="160" customFormat="1" x14ac:dyDescent="0.3"/>
    <row r="10016" s="160" customFormat="1" x14ac:dyDescent="0.3"/>
    <row r="10017" s="160" customFormat="1" x14ac:dyDescent="0.3"/>
    <row r="10018" s="160" customFormat="1" x14ac:dyDescent="0.3"/>
    <row r="10019" s="160" customFormat="1" x14ac:dyDescent="0.3"/>
    <row r="10020" s="160" customFormat="1" x14ac:dyDescent="0.3"/>
    <row r="10021" s="160" customFormat="1" x14ac:dyDescent="0.3"/>
    <row r="10022" s="160" customFormat="1" x14ac:dyDescent="0.3"/>
    <row r="10023" s="160" customFormat="1" x14ac:dyDescent="0.3"/>
    <row r="10024" s="160" customFormat="1" x14ac:dyDescent="0.3"/>
    <row r="10025" s="160" customFormat="1" x14ac:dyDescent="0.3"/>
    <row r="10026" s="160" customFormat="1" x14ac:dyDescent="0.3"/>
    <row r="10027" s="160" customFormat="1" x14ac:dyDescent="0.3"/>
    <row r="10028" s="160" customFormat="1" x14ac:dyDescent="0.3"/>
    <row r="10029" s="160" customFormat="1" x14ac:dyDescent="0.3"/>
    <row r="10030" s="160" customFormat="1" x14ac:dyDescent="0.3"/>
    <row r="10031" s="160" customFormat="1" x14ac:dyDescent="0.3"/>
    <row r="10032" s="160" customFormat="1" x14ac:dyDescent="0.3"/>
    <row r="10033" s="160" customFormat="1" x14ac:dyDescent="0.3"/>
    <row r="10034" s="160" customFormat="1" x14ac:dyDescent="0.3"/>
    <row r="10035" s="160" customFormat="1" x14ac:dyDescent="0.3"/>
    <row r="10036" s="160" customFormat="1" x14ac:dyDescent="0.3"/>
    <row r="10037" s="160" customFormat="1" x14ac:dyDescent="0.3"/>
    <row r="10038" s="160" customFormat="1" x14ac:dyDescent="0.3"/>
    <row r="10039" s="160" customFormat="1" x14ac:dyDescent="0.3"/>
    <row r="10040" s="160" customFormat="1" x14ac:dyDescent="0.3"/>
    <row r="10041" s="160" customFormat="1" x14ac:dyDescent="0.3"/>
    <row r="10042" s="160" customFormat="1" x14ac:dyDescent="0.3"/>
    <row r="10043" s="160" customFormat="1" x14ac:dyDescent="0.3"/>
    <row r="10044" s="160" customFormat="1" x14ac:dyDescent="0.3"/>
    <row r="10045" s="160" customFormat="1" x14ac:dyDescent="0.3"/>
    <row r="10046" s="160" customFormat="1" x14ac:dyDescent="0.3"/>
    <row r="10047" s="160" customFormat="1" x14ac:dyDescent="0.3"/>
    <row r="10048" s="160" customFormat="1" x14ac:dyDescent="0.3"/>
    <row r="10049" s="160" customFormat="1" x14ac:dyDescent="0.3"/>
    <row r="10050" s="160" customFormat="1" x14ac:dyDescent="0.3"/>
    <row r="10051" s="160" customFormat="1" x14ac:dyDescent="0.3"/>
    <row r="10052" s="160" customFormat="1" x14ac:dyDescent="0.3"/>
    <row r="10053" s="160" customFormat="1" x14ac:dyDescent="0.3"/>
    <row r="10054" s="160" customFormat="1" x14ac:dyDescent="0.3"/>
    <row r="10055" s="160" customFormat="1" x14ac:dyDescent="0.3"/>
    <row r="10056" s="160" customFormat="1" x14ac:dyDescent="0.3"/>
    <row r="10057" s="160" customFormat="1" x14ac:dyDescent="0.3"/>
    <row r="10058" s="160" customFormat="1" x14ac:dyDescent="0.3"/>
    <row r="10059" s="160" customFormat="1" x14ac:dyDescent="0.3"/>
    <row r="10060" s="160" customFormat="1" x14ac:dyDescent="0.3"/>
    <row r="10061" s="160" customFormat="1" x14ac:dyDescent="0.3"/>
    <row r="10062" s="160" customFormat="1" x14ac:dyDescent="0.3"/>
    <row r="10063" s="160" customFormat="1" x14ac:dyDescent="0.3"/>
    <row r="10064" s="160" customFormat="1" x14ac:dyDescent="0.3"/>
    <row r="10065" s="160" customFormat="1" x14ac:dyDescent="0.3"/>
    <row r="10066" s="160" customFormat="1" x14ac:dyDescent="0.3"/>
    <row r="10067" s="160" customFormat="1" x14ac:dyDescent="0.3"/>
    <row r="10068" s="160" customFormat="1" x14ac:dyDescent="0.3"/>
    <row r="10069" s="160" customFormat="1" x14ac:dyDescent="0.3"/>
    <row r="10070" s="160" customFormat="1" x14ac:dyDescent="0.3"/>
    <row r="10071" s="160" customFormat="1" x14ac:dyDescent="0.3"/>
    <row r="10072" s="160" customFormat="1" x14ac:dyDescent="0.3"/>
    <row r="10073" s="160" customFormat="1" x14ac:dyDescent="0.3"/>
    <row r="10074" s="160" customFormat="1" x14ac:dyDescent="0.3"/>
    <row r="10075" s="160" customFormat="1" x14ac:dyDescent="0.3"/>
    <row r="10076" s="160" customFormat="1" x14ac:dyDescent="0.3"/>
    <row r="10077" s="160" customFormat="1" x14ac:dyDescent="0.3"/>
    <row r="10078" s="160" customFormat="1" x14ac:dyDescent="0.3"/>
    <row r="10079" s="160" customFormat="1" x14ac:dyDescent="0.3"/>
    <row r="10080" s="160" customFormat="1" x14ac:dyDescent="0.3"/>
    <row r="10081" s="160" customFormat="1" x14ac:dyDescent="0.3"/>
    <row r="10082" s="160" customFormat="1" x14ac:dyDescent="0.3"/>
    <row r="10083" s="160" customFormat="1" x14ac:dyDescent="0.3"/>
    <row r="10084" s="160" customFormat="1" x14ac:dyDescent="0.3"/>
    <row r="10085" s="160" customFormat="1" x14ac:dyDescent="0.3"/>
    <row r="10086" s="160" customFormat="1" x14ac:dyDescent="0.3"/>
    <row r="10087" s="160" customFormat="1" x14ac:dyDescent="0.3"/>
    <row r="10088" s="160" customFormat="1" x14ac:dyDescent="0.3"/>
    <row r="10089" s="160" customFormat="1" x14ac:dyDescent="0.3"/>
    <row r="10090" s="160" customFormat="1" x14ac:dyDescent="0.3"/>
    <row r="10091" s="160" customFormat="1" x14ac:dyDescent="0.3"/>
    <row r="10092" s="160" customFormat="1" x14ac:dyDescent="0.3"/>
    <row r="10093" s="160" customFormat="1" x14ac:dyDescent="0.3"/>
    <row r="10094" s="160" customFormat="1" x14ac:dyDescent="0.3"/>
    <row r="10095" s="160" customFormat="1" x14ac:dyDescent="0.3"/>
    <row r="10096" s="160" customFormat="1" x14ac:dyDescent="0.3"/>
    <row r="10097" s="160" customFormat="1" x14ac:dyDescent="0.3"/>
    <row r="10098" s="160" customFormat="1" x14ac:dyDescent="0.3"/>
    <row r="10099" s="160" customFormat="1" x14ac:dyDescent="0.3"/>
    <row r="10100" s="160" customFormat="1" x14ac:dyDescent="0.3"/>
    <row r="10101" s="160" customFormat="1" x14ac:dyDescent="0.3"/>
    <row r="10102" s="160" customFormat="1" x14ac:dyDescent="0.3"/>
    <row r="10103" s="160" customFormat="1" x14ac:dyDescent="0.3"/>
    <row r="10104" s="160" customFormat="1" x14ac:dyDescent="0.3"/>
    <row r="10105" s="160" customFormat="1" x14ac:dyDescent="0.3"/>
    <row r="10106" s="160" customFormat="1" x14ac:dyDescent="0.3"/>
    <row r="10107" s="160" customFormat="1" x14ac:dyDescent="0.3"/>
    <row r="10108" s="160" customFormat="1" x14ac:dyDescent="0.3"/>
    <row r="10109" s="160" customFormat="1" x14ac:dyDescent="0.3"/>
    <row r="10110" s="160" customFormat="1" x14ac:dyDescent="0.3"/>
    <row r="10111" s="160" customFormat="1" x14ac:dyDescent="0.3"/>
    <row r="10112" s="160" customFormat="1" x14ac:dyDescent="0.3"/>
    <row r="10113" s="160" customFormat="1" x14ac:dyDescent="0.3"/>
    <row r="10114" s="160" customFormat="1" x14ac:dyDescent="0.3"/>
    <row r="10115" s="160" customFormat="1" x14ac:dyDescent="0.3"/>
    <row r="10116" s="160" customFormat="1" x14ac:dyDescent="0.3"/>
    <row r="10117" s="160" customFormat="1" x14ac:dyDescent="0.3"/>
    <row r="10118" s="160" customFormat="1" x14ac:dyDescent="0.3"/>
    <row r="10119" s="160" customFormat="1" x14ac:dyDescent="0.3"/>
    <row r="10120" s="160" customFormat="1" x14ac:dyDescent="0.3"/>
    <row r="10121" s="160" customFormat="1" x14ac:dyDescent="0.3"/>
    <row r="10122" s="160" customFormat="1" x14ac:dyDescent="0.3"/>
    <row r="10123" s="160" customFormat="1" x14ac:dyDescent="0.3"/>
    <row r="10124" s="160" customFormat="1" x14ac:dyDescent="0.3"/>
    <row r="10125" s="160" customFormat="1" x14ac:dyDescent="0.3"/>
    <row r="10126" s="160" customFormat="1" x14ac:dyDescent="0.3"/>
    <row r="10127" s="160" customFormat="1" x14ac:dyDescent="0.3"/>
    <row r="10128" s="160" customFormat="1" x14ac:dyDescent="0.3"/>
    <row r="10129" s="160" customFormat="1" x14ac:dyDescent="0.3"/>
    <row r="10130" s="160" customFormat="1" x14ac:dyDescent="0.3"/>
    <row r="10131" s="160" customFormat="1" x14ac:dyDescent="0.3"/>
    <row r="10132" s="160" customFormat="1" x14ac:dyDescent="0.3"/>
    <row r="10133" s="160" customFormat="1" x14ac:dyDescent="0.3"/>
    <row r="10134" s="160" customFormat="1" x14ac:dyDescent="0.3"/>
    <row r="10135" s="160" customFormat="1" x14ac:dyDescent="0.3"/>
    <row r="10136" s="160" customFormat="1" x14ac:dyDescent="0.3"/>
    <row r="10137" s="160" customFormat="1" x14ac:dyDescent="0.3"/>
    <row r="10138" s="160" customFormat="1" x14ac:dyDescent="0.3"/>
    <row r="10139" s="160" customFormat="1" x14ac:dyDescent="0.3"/>
    <row r="10140" s="160" customFormat="1" x14ac:dyDescent="0.3"/>
    <row r="10141" s="160" customFormat="1" x14ac:dyDescent="0.3"/>
    <row r="10142" s="160" customFormat="1" x14ac:dyDescent="0.3"/>
    <row r="10143" s="160" customFormat="1" x14ac:dyDescent="0.3"/>
    <row r="10144" s="160" customFormat="1" x14ac:dyDescent="0.3"/>
    <row r="10145" s="160" customFormat="1" x14ac:dyDescent="0.3"/>
    <row r="10146" s="160" customFormat="1" x14ac:dyDescent="0.3"/>
    <row r="10147" s="160" customFormat="1" x14ac:dyDescent="0.3"/>
    <row r="10148" s="160" customFormat="1" x14ac:dyDescent="0.3"/>
    <row r="10149" s="160" customFormat="1" x14ac:dyDescent="0.3"/>
    <row r="10150" s="160" customFormat="1" x14ac:dyDescent="0.3"/>
    <row r="10151" s="160" customFormat="1" x14ac:dyDescent="0.3"/>
    <row r="10152" s="160" customFormat="1" x14ac:dyDescent="0.3"/>
    <row r="10153" s="160" customFormat="1" x14ac:dyDescent="0.3"/>
    <row r="10154" s="160" customFormat="1" x14ac:dyDescent="0.3"/>
    <row r="10155" s="160" customFormat="1" x14ac:dyDescent="0.3"/>
    <row r="10156" s="160" customFormat="1" x14ac:dyDescent="0.3"/>
    <row r="10157" s="160" customFormat="1" x14ac:dyDescent="0.3"/>
    <row r="10158" s="160" customFormat="1" x14ac:dyDescent="0.3"/>
    <row r="10159" s="160" customFormat="1" x14ac:dyDescent="0.3"/>
    <row r="10160" s="160" customFormat="1" x14ac:dyDescent="0.3"/>
    <row r="10161" s="160" customFormat="1" x14ac:dyDescent="0.3"/>
    <row r="10162" s="160" customFormat="1" x14ac:dyDescent="0.3"/>
    <row r="10163" s="160" customFormat="1" x14ac:dyDescent="0.3"/>
    <row r="10164" s="160" customFormat="1" x14ac:dyDescent="0.3"/>
    <row r="10165" s="160" customFormat="1" x14ac:dyDescent="0.3"/>
    <row r="10166" s="160" customFormat="1" x14ac:dyDescent="0.3"/>
    <row r="10167" s="160" customFormat="1" x14ac:dyDescent="0.3"/>
    <row r="10168" s="160" customFormat="1" x14ac:dyDescent="0.3"/>
    <row r="10169" s="160" customFormat="1" x14ac:dyDescent="0.3"/>
    <row r="10170" s="160" customFormat="1" x14ac:dyDescent="0.3"/>
    <row r="10171" s="160" customFormat="1" x14ac:dyDescent="0.3"/>
    <row r="10172" s="160" customFormat="1" x14ac:dyDescent="0.3"/>
    <row r="10173" s="160" customFormat="1" x14ac:dyDescent="0.3"/>
    <row r="10174" s="160" customFormat="1" x14ac:dyDescent="0.3"/>
    <row r="10175" s="160" customFormat="1" x14ac:dyDescent="0.3"/>
    <row r="10176" s="160" customFormat="1" x14ac:dyDescent="0.3"/>
    <row r="10177" s="160" customFormat="1" x14ac:dyDescent="0.3"/>
    <row r="10178" s="160" customFormat="1" x14ac:dyDescent="0.3"/>
    <row r="10179" s="160" customFormat="1" x14ac:dyDescent="0.3"/>
    <row r="10180" s="160" customFormat="1" x14ac:dyDescent="0.3"/>
    <row r="10181" s="160" customFormat="1" x14ac:dyDescent="0.3"/>
    <row r="10182" s="160" customFormat="1" x14ac:dyDescent="0.3"/>
    <row r="10183" s="160" customFormat="1" x14ac:dyDescent="0.3"/>
    <row r="10184" s="160" customFormat="1" x14ac:dyDescent="0.3"/>
    <row r="10185" s="160" customFormat="1" x14ac:dyDescent="0.3"/>
    <row r="10186" s="160" customFormat="1" x14ac:dyDescent="0.3"/>
    <row r="10187" s="160" customFormat="1" x14ac:dyDescent="0.3"/>
    <row r="10188" s="160" customFormat="1" x14ac:dyDescent="0.3"/>
    <row r="10189" s="160" customFormat="1" x14ac:dyDescent="0.3"/>
    <row r="10190" s="160" customFormat="1" x14ac:dyDescent="0.3"/>
    <row r="10191" s="160" customFormat="1" x14ac:dyDescent="0.3"/>
    <row r="10192" s="160" customFormat="1" x14ac:dyDescent="0.3"/>
    <row r="10193" s="160" customFormat="1" x14ac:dyDescent="0.3"/>
    <row r="10194" s="160" customFormat="1" x14ac:dyDescent="0.3"/>
    <row r="10195" s="160" customFormat="1" x14ac:dyDescent="0.3"/>
    <row r="10196" s="160" customFormat="1" x14ac:dyDescent="0.3"/>
    <row r="10197" s="160" customFormat="1" x14ac:dyDescent="0.3"/>
    <row r="10198" s="160" customFormat="1" x14ac:dyDescent="0.3"/>
    <row r="10199" s="160" customFormat="1" x14ac:dyDescent="0.3"/>
    <row r="10200" s="160" customFormat="1" x14ac:dyDescent="0.3"/>
    <row r="10201" s="160" customFormat="1" x14ac:dyDescent="0.3"/>
    <row r="10202" s="160" customFormat="1" x14ac:dyDescent="0.3"/>
    <row r="10203" s="160" customFormat="1" x14ac:dyDescent="0.3"/>
    <row r="10204" s="160" customFormat="1" x14ac:dyDescent="0.3"/>
    <row r="10205" s="160" customFormat="1" x14ac:dyDescent="0.3"/>
    <row r="10206" s="160" customFormat="1" x14ac:dyDescent="0.3"/>
    <row r="10207" s="160" customFormat="1" x14ac:dyDescent="0.3"/>
    <row r="10208" s="160" customFormat="1" x14ac:dyDescent="0.3"/>
    <row r="10209" s="160" customFormat="1" x14ac:dyDescent="0.3"/>
    <row r="10210" s="160" customFormat="1" x14ac:dyDescent="0.3"/>
    <row r="10211" s="160" customFormat="1" x14ac:dyDescent="0.3"/>
    <row r="10212" s="160" customFormat="1" x14ac:dyDescent="0.3"/>
    <row r="10213" s="160" customFormat="1" x14ac:dyDescent="0.3"/>
    <row r="10214" s="160" customFormat="1" x14ac:dyDescent="0.3"/>
    <row r="10215" s="160" customFormat="1" x14ac:dyDescent="0.3"/>
    <row r="10216" s="160" customFormat="1" x14ac:dyDescent="0.3"/>
    <row r="10217" s="160" customFormat="1" x14ac:dyDescent="0.3"/>
    <row r="10218" s="160" customFormat="1" x14ac:dyDescent="0.3"/>
    <row r="10219" s="160" customFormat="1" x14ac:dyDescent="0.3"/>
    <row r="10220" s="160" customFormat="1" x14ac:dyDescent="0.3"/>
    <row r="10221" s="160" customFormat="1" x14ac:dyDescent="0.3"/>
    <row r="10222" s="160" customFormat="1" x14ac:dyDescent="0.3"/>
    <row r="10223" s="160" customFormat="1" x14ac:dyDescent="0.3"/>
    <row r="10224" s="160" customFormat="1" x14ac:dyDescent="0.3"/>
    <row r="10225" s="160" customFormat="1" x14ac:dyDescent="0.3"/>
    <row r="10226" s="160" customFormat="1" x14ac:dyDescent="0.3"/>
    <row r="10227" s="160" customFormat="1" x14ac:dyDescent="0.3"/>
    <row r="10228" s="160" customFormat="1" x14ac:dyDescent="0.3"/>
    <row r="10229" s="160" customFormat="1" x14ac:dyDescent="0.3"/>
    <row r="10230" s="160" customFormat="1" x14ac:dyDescent="0.3"/>
    <row r="10231" s="160" customFormat="1" x14ac:dyDescent="0.3"/>
    <row r="10232" s="160" customFormat="1" x14ac:dyDescent="0.3"/>
    <row r="10233" s="160" customFormat="1" x14ac:dyDescent="0.3"/>
    <row r="10234" s="160" customFormat="1" x14ac:dyDescent="0.3"/>
    <row r="10235" s="160" customFormat="1" x14ac:dyDescent="0.3"/>
    <row r="10236" s="160" customFormat="1" x14ac:dyDescent="0.3"/>
    <row r="10237" s="160" customFormat="1" x14ac:dyDescent="0.3"/>
    <row r="10238" s="160" customFormat="1" x14ac:dyDescent="0.3"/>
    <row r="10239" s="160" customFormat="1" x14ac:dyDescent="0.3"/>
    <row r="10240" s="160" customFormat="1" x14ac:dyDescent="0.3"/>
    <row r="10241" s="160" customFormat="1" x14ac:dyDescent="0.3"/>
    <row r="10242" s="160" customFormat="1" x14ac:dyDescent="0.3"/>
    <row r="10243" s="160" customFormat="1" x14ac:dyDescent="0.3"/>
    <row r="10244" s="160" customFormat="1" x14ac:dyDescent="0.3"/>
    <row r="10245" s="160" customFormat="1" x14ac:dyDescent="0.3"/>
    <row r="10246" s="160" customFormat="1" x14ac:dyDescent="0.3"/>
    <row r="10247" s="160" customFormat="1" x14ac:dyDescent="0.3"/>
    <row r="10248" s="160" customFormat="1" x14ac:dyDescent="0.3"/>
    <row r="10249" s="160" customFormat="1" x14ac:dyDescent="0.3"/>
    <row r="10250" s="160" customFormat="1" x14ac:dyDescent="0.3"/>
    <row r="10251" s="160" customFormat="1" x14ac:dyDescent="0.3"/>
    <row r="10252" s="160" customFormat="1" x14ac:dyDescent="0.3"/>
    <row r="10253" s="160" customFormat="1" x14ac:dyDescent="0.3"/>
    <row r="10254" s="160" customFormat="1" x14ac:dyDescent="0.3"/>
    <row r="10255" s="160" customFormat="1" x14ac:dyDescent="0.3"/>
    <row r="10256" s="160" customFormat="1" x14ac:dyDescent="0.3"/>
    <row r="10257" s="160" customFormat="1" x14ac:dyDescent="0.3"/>
    <row r="10258" s="160" customFormat="1" x14ac:dyDescent="0.3"/>
    <row r="10259" s="160" customFormat="1" x14ac:dyDescent="0.3"/>
    <row r="10260" s="160" customFormat="1" x14ac:dyDescent="0.3"/>
    <row r="10261" s="160" customFormat="1" x14ac:dyDescent="0.3"/>
    <row r="10262" s="160" customFormat="1" x14ac:dyDescent="0.3"/>
    <row r="10263" s="160" customFormat="1" x14ac:dyDescent="0.3"/>
    <row r="10264" s="160" customFormat="1" x14ac:dyDescent="0.3"/>
    <row r="10265" s="160" customFormat="1" x14ac:dyDescent="0.3"/>
    <row r="10266" s="160" customFormat="1" x14ac:dyDescent="0.3"/>
    <row r="10267" s="160" customFormat="1" x14ac:dyDescent="0.3"/>
    <row r="10268" s="160" customFormat="1" x14ac:dyDescent="0.3"/>
    <row r="10269" s="160" customFormat="1" x14ac:dyDescent="0.3"/>
    <row r="10270" s="160" customFormat="1" x14ac:dyDescent="0.3"/>
    <row r="10271" s="160" customFormat="1" x14ac:dyDescent="0.3"/>
    <row r="10272" s="160" customFormat="1" x14ac:dyDescent="0.3"/>
    <row r="10273" s="160" customFormat="1" x14ac:dyDescent="0.3"/>
    <row r="10274" s="160" customFormat="1" x14ac:dyDescent="0.3"/>
    <row r="10275" s="160" customFormat="1" x14ac:dyDescent="0.3"/>
    <row r="10276" s="160" customFormat="1" x14ac:dyDescent="0.3"/>
    <row r="10277" s="160" customFormat="1" x14ac:dyDescent="0.3"/>
    <row r="10278" s="160" customFormat="1" x14ac:dyDescent="0.3"/>
    <row r="10279" s="160" customFormat="1" x14ac:dyDescent="0.3"/>
    <row r="10280" s="160" customFormat="1" x14ac:dyDescent="0.3"/>
    <row r="10281" s="160" customFormat="1" x14ac:dyDescent="0.3"/>
    <row r="10282" s="160" customFormat="1" x14ac:dyDescent="0.3"/>
    <row r="10283" s="160" customFormat="1" x14ac:dyDescent="0.3"/>
    <row r="10284" s="160" customFormat="1" x14ac:dyDescent="0.3"/>
    <row r="10285" s="160" customFormat="1" x14ac:dyDescent="0.3"/>
    <row r="10286" s="160" customFormat="1" x14ac:dyDescent="0.3"/>
    <row r="10287" s="160" customFormat="1" x14ac:dyDescent="0.3"/>
    <row r="10288" s="160" customFormat="1" x14ac:dyDescent="0.3"/>
    <row r="10289" s="160" customFormat="1" x14ac:dyDescent="0.3"/>
    <row r="10290" s="160" customFormat="1" x14ac:dyDescent="0.3"/>
    <row r="10291" s="160" customFormat="1" x14ac:dyDescent="0.3"/>
    <row r="10292" s="160" customFormat="1" x14ac:dyDescent="0.3"/>
    <row r="10293" s="160" customFormat="1" x14ac:dyDescent="0.3"/>
    <row r="10294" s="160" customFormat="1" x14ac:dyDescent="0.3"/>
    <row r="10295" s="160" customFormat="1" x14ac:dyDescent="0.3"/>
    <row r="10296" s="160" customFormat="1" x14ac:dyDescent="0.3"/>
    <row r="10297" s="160" customFormat="1" x14ac:dyDescent="0.3"/>
    <row r="10298" s="160" customFormat="1" x14ac:dyDescent="0.3"/>
    <row r="10299" s="160" customFormat="1" x14ac:dyDescent="0.3"/>
    <row r="10300" s="160" customFormat="1" x14ac:dyDescent="0.3"/>
    <row r="10301" s="160" customFormat="1" x14ac:dyDescent="0.3"/>
    <row r="10302" s="160" customFormat="1" x14ac:dyDescent="0.3"/>
    <row r="10303" s="160" customFormat="1" x14ac:dyDescent="0.3"/>
    <row r="10304" s="160" customFormat="1" x14ac:dyDescent="0.3"/>
    <row r="10305" s="160" customFormat="1" x14ac:dyDescent="0.3"/>
    <row r="10306" s="160" customFormat="1" x14ac:dyDescent="0.3"/>
    <row r="10307" s="160" customFormat="1" x14ac:dyDescent="0.3"/>
    <row r="10308" s="160" customFormat="1" x14ac:dyDescent="0.3"/>
    <row r="10309" s="160" customFormat="1" x14ac:dyDescent="0.3"/>
    <row r="10310" s="160" customFormat="1" x14ac:dyDescent="0.3"/>
    <row r="10311" s="160" customFormat="1" x14ac:dyDescent="0.3"/>
    <row r="10312" s="160" customFormat="1" x14ac:dyDescent="0.3"/>
    <row r="10313" s="160" customFormat="1" x14ac:dyDescent="0.3"/>
    <row r="10314" s="160" customFormat="1" x14ac:dyDescent="0.3"/>
    <row r="10315" s="160" customFormat="1" x14ac:dyDescent="0.3"/>
    <row r="10316" s="160" customFormat="1" x14ac:dyDescent="0.3"/>
    <row r="10317" s="160" customFormat="1" x14ac:dyDescent="0.3"/>
    <row r="10318" s="160" customFormat="1" x14ac:dyDescent="0.3"/>
    <row r="10319" s="160" customFormat="1" x14ac:dyDescent="0.3"/>
    <row r="10320" s="160" customFormat="1" x14ac:dyDescent="0.3"/>
    <row r="10321" s="160" customFormat="1" x14ac:dyDescent="0.3"/>
    <row r="10322" s="160" customFormat="1" x14ac:dyDescent="0.3"/>
    <row r="10323" s="160" customFormat="1" x14ac:dyDescent="0.3"/>
    <row r="10324" s="160" customFormat="1" x14ac:dyDescent="0.3"/>
    <row r="10325" s="160" customFormat="1" x14ac:dyDescent="0.3"/>
    <row r="10326" s="160" customFormat="1" x14ac:dyDescent="0.3"/>
    <row r="10327" s="160" customFormat="1" x14ac:dyDescent="0.3"/>
    <row r="10328" s="160" customFormat="1" x14ac:dyDescent="0.3"/>
    <row r="10329" s="160" customFormat="1" x14ac:dyDescent="0.3"/>
    <row r="10330" s="160" customFormat="1" x14ac:dyDescent="0.3"/>
    <row r="10331" s="160" customFormat="1" x14ac:dyDescent="0.3"/>
    <row r="10332" s="160" customFormat="1" x14ac:dyDescent="0.3"/>
    <row r="10333" s="160" customFormat="1" x14ac:dyDescent="0.3"/>
    <row r="10334" s="160" customFormat="1" x14ac:dyDescent="0.3"/>
    <row r="10335" s="160" customFormat="1" x14ac:dyDescent="0.3"/>
    <row r="10336" s="160" customFormat="1" x14ac:dyDescent="0.3"/>
    <row r="10337" s="160" customFormat="1" x14ac:dyDescent="0.3"/>
    <row r="10338" s="160" customFormat="1" x14ac:dyDescent="0.3"/>
    <row r="10339" s="160" customFormat="1" x14ac:dyDescent="0.3"/>
    <row r="10340" s="160" customFormat="1" x14ac:dyDescent="0.3"/>
    <row r="10341" s="160" customFormat="1" x14ac:dyDescent="0.3"/>
    <row r="10342" s="160" customFormat="1" x14ac:dyDescent="0.3"/>
    <row r="10343" s="160" customFormat="1" x14ac:dyDescent="0.3"/>
    <row r="10344" s="160" customFormat="1" x14ac:dyDescent="0.3"/>
    <row r="10345" s="160" customFormat="1" x14ac:dyDescent="0.3"/>
    <row r="10346" s="160" customFormat="1" x14ac:dyDescent="0.3"/>
    <row r="10347" s="160" customFormat="1" x14ac:dyDescent="0.3"/>
    <row r="10348" s="160" customFormat="1" x14ac:dyDescent="0.3"/>
    <row r="10349" s="160" customFormat="1" x14ac:dyDescent="0.3"/>
    <row r="10350" s="160" customFormat="1" x14ac:dyDescent="0.3"/>
    <row r="10351" s="160" customFormat="1" x14ac:dyDescent="0.3"/>
    <row r="10352" s="160" customFormat="1" x14ac:dyDescent="0.3"/>
    <row r="10353" s="160" customFormat="1" x14ac:dyDescent="0.3"/>
    <row r="10354" s="160" customFormat="1" x14ac:dyDescent="0.3"/>
    <row r="10355" s="160" customFormat="1" x14ac:dyDescent="0.3"/>
    <row r="10356" s="160" customFormat="1" x14ac:dyDescent="0.3"/>
    <row r="10357" s="160" customFormat="1" x14ac:dyDescent="0.3"/>
    <row r="10358" s="160" customFormat="1" x14ac:dyDescent="0.3"/>
    <row r="10359" s="160" customFormat="1" x14ac:dyDescent="0.3"/>
    <row r="10360" s="160" customFormat="1" x14ac:dyDescent="0.3"/>
    <row r="10361" s="160" customFormat="1" x14ac:dyDescent="0.3"/>
    <row r="10362" s="160" customFormat="1" x14ac:dyDescent="0.3"/>
    <row r="10363" s="160" customFormat="1" x14ac:dyDescent="0.3"/>
    <row r="10364" s="160" customFormat="1" x14ac:dyDescent="0.3"/>
    <row r="10365" s="160" customFormat="1" x14ac:dyDescent="0.3"/>
    <row r="10366" s="160" customFormat="1" x14ac:dyDescent="0.3"/>
    <row r="10367" s="160" customFormat="1" x14ac:dyDescent="0.3"/>
    <row r="10368" s="160" customFormat="1" x14ac:dyDescent="0.3"/>
    <row r="10369" s="160" customFormat="1" x14ac:dyDescent="0.3"/>
    <row r="10370" s="160" customFormat="1" x14ac:dyDescent="0.3"/>
    <row r="10371" s="160" customFormat="1" x14ac:dyDescent="0.3"/>
    <row r="10372" s="160" customFormat="1" x14ac:dyDescent="0.3"/>
    <row r="10373" s="160" customFormat="1" x14ac:dyDescent="0.3"/>
    <row r="10374" s="160" customFormat="1" x14ac:dyDescent="0.3"/>
    <row r="10375" s="160" customFormat="1" x14ac:dyDescent="0.3"/>
    <row r="10376" s="160" customFormat="1" x14ac:dyDescent="0.3"/>
    <row r="10377" s="160" customFormat="1" x14ac:dyDescent="0.3"/>
    <row r="10378" s="160" customFormat="1" x14ac:dyDescent="0.3"/>
    <row r="10379" s="160" customFormat="1" x14ac:dyDescent="0.3"/>
    <row r="10380" s="160" customFormat="1" x14ac:dyDescent="0.3"/>
    <row r="10381" s="160" customFormat="1" x14ac:dyDescent="0.3"/>
    <row r="10382" s="160" customFormat="1" x14ac:dyDescent="0.3"/>
    <row r="10383" s="160" customFormat="1" x14ac:dyDescent="0.3"/>
    <row r="10384" s="160" customFormat="1" x14ac:dyDescent="0.3"/>
    <row r="10385" s="160" customFormat="1" x14ac:dyDescent="0.3"/>
    <row r="10386" s="160" customFormat="1" x14ac:dyDescent="0.3"/>
    <row r="10387" s="160" customFormat="1" x14ac:dyDescent="0.3"/>
    <row r="10388" s="160" customFormat="1" x14ac:dyDescent="0.3"/>
    <row r="10389" s="160" customFormat="1" x14ac:dyDescent="0.3"/>
    <row r="10390" s="160" customFormat="1" x14ac:dyDescent="0.3"/>
    <row r="10391" s="160" customFormat="1" x14ac:dyDescent="0.3"/>
    <row r="10392" s="160" customFormat="1" x14ac:dyDescent="0.3"/>
    <row r="10393" s="160" customFormat="1" x14ac:dyDescent="0.3"/>
    <row r="10394" s="160" customFormat="1" x14ac:dyDescent="0.3"/>
    <row r="10395" s="160" customFormat="1" x14ac:dyDescent="0.3"/>
    <row r="10396" s="160" customFormat="1" x14ac:dyDescent="0.3"/>
    <row r="10397" s="160" customFormat="1" x14ac:dyDescent="0.3"/>
    <row r="10398" s="160" customFormat="1" x14ac:dyDescent="0.3"/>
    <row r="10399" s="160" customFormat="1" x14ac:dyDescent="0.3"/>
    <row r="10400" s="160" customFormat="1" x14ac:dyDescent="0.3"/>
    <row r="10401" s="160" customFormat="1" x14ac:dyDescent="0.3"/>
    <row r="10402" s="160" customFormat="1" x14ac:dyDescent="0.3"/>
    <row r="10403" s="160" customFormat="1" x14ac:dyDescent="0.3"/>
    <row r="10404" s="160" customFormat="1" x14ac:dyDescent="0.3"/>
    <row r="10405" s="160" customFormat="1" x14ac:dyDescent="0.3"/>
    <row r="10406" s="160" customFormat="1" x14ac:dyDescent="0.3"/>
    <row r="10407" s="160" customFormat="1" x14ac:dyDescent="0.3"/>
    <row r="10408" s="160" customFormat="1" x14ac:dyDescent="0.3"/>
    <row r="10409" s="160" customFormat="1" x14ac:dyDescent="0.3"/>
    <row r="10410" s="160" customFormat="1" x14ac:dyDescent="0.3"/>
    <row r="10411" s="160" customFormat="1" x14ac:dyDescent="0.3"/>
    <row r="10412" s="160" customFormat="1" x14ac:dyDescent="0.3"/>
    <row r="10413" s="160" customFormat="1" x14ac:dyDescent="0.3"/>
    <row r="10414" s="160" customFormat="1" x14ac:dyDescent="0.3"/>
    <row r="10415" s="160" customFormat="1" x14ac:dyDescent="0.3"/>
    <row r="10416" s="160" customFormat="1" x14ac:dyDescent="0.3"/>
    <row r="10417" s="160" customFormat="1" x14ac:dyDescent="0.3"/>
    <row r="10418" s="160" customFormat="1" x14ac:dyDescent="0.3"/>
    <row r="10419" s="160" customFormat="1" x14ac:dyDescent="0.3"/>
    <row r="10420" s="160" customFormat="1" x14ac:dyDescent="0.3"/>
    <row r="10421" s="160" customFormat="1" x14ac:dyDescent="0.3"/>
    <row r="10422" s="160" customFormat="1" x14ac:dyDescent="0.3"/>
    <row r="10423" s="160" customFormat="1" x14ac:dyDescent="0.3"/>
    <row r="10424" s="160" customFormat="1" x14ac:dyDescent="0.3"/>
    <row r="10425" s="160" customFormat="1" x14ac:dyDescent="0.3"/>
    <row r="10426" s="160" customFormat="1" x14ac:dyDescent="0.3"/>
    <row r="10427" s="160" customFormat="1" x14ac:dyDescent="0.3"/>
    <row r="10428" s="160" customFormat="1" x14ac:dyDescent="0.3"/>
    <row r="10429" s="160" customFormat="1" x14ac:dyDescent="0.3"/>
    <row r="10430" s="160" customFormat="1" x14ac:dyDescent="0.3"/>
    <row r="10431" s="160" customFormat="1" x14ac:dyDescent="0.3"/>
    <row r="10432" s="160" customFormat="1" x14ac:dyDescent="0.3"/>
    <row r="10433" s="160" customFormat="1" x14ac:dyDescent="0.3"/>
    <row r="10434" s="160" customFormat="1" x14ac:dyDescent="0.3"/>
    <row r="10435" s="160" customFormat="1" x14ac:dyDescent="0.3"/>
    <row r="10436" s="160" customFormat="1" x14ac:dyDescent="0.3"/>
    <row r="10437" s="160" customFormat="1" x14ac:dyDescent="0.3"/>
    <row r="10438" s="160" customFormat="1" x14ac:dyDescent="0.3"/>
    <row r="10439" s="160" customFormat="1" x14ac:dyDescent="0.3"/>
    <row r="10440" s="160" customFormat="1" x14ac:dyDescent="0.3"/>
    <row r="10441" s="160" customFormat="1" x14ac:dyDescent="0.3"/>
    <row r="10442" s="160" customFormat="1" x14ac:dyDescent="0.3"/>
    <row r="10443" s="160" customFormat="1" x14ac:dyDescent="0.3"/>
    <row r="10444" s="160" customFormat="1" x14ac:dyDescent="0.3"/>
    <row r="10445" s="160" customFormat="1" x14ac:dyDescent="0.3"/>
    <row r="10446" s="160" customFormat="1" x14ac:dyDescent="0.3"/>
    <row r="10447" s="160" customFormat="1" x14ac:dyDescent="0.3"/>
    <row r="10448" s="160" customFormat="1" x14ac:dyDescent="0.3"/>
    <row r="10449" s="160" customFormat="1" x14ac:dyDescent="0.3"/>
    <row r="10450" s="160" customFormat="1" x14ac:dyDescent="0.3"/>
    <row r="10451" s="160" customFormat="1" x14ac:dyDescent="0.3"/>
    <row r="10452" s="160" customFormat="1" x14ac:dyDescent="0.3"/>
    <row r="10453" s="160" customFormat="1" x14ac:dyDescent="0.3"/>
    <row r="10454" s="160" customFormat="1" x14ac:dyDescent="0.3"/>
    <row r="10455" s="160" customFormat="1" x14ac:dyDescent="0.3"/>
    <row r="10456" s="160" customFormat="1" x14ac:dyDescent="0.3"/>
    <row r="10457" s="160" customFormat="1" x14ac:dyDescent="0.3"/>
    <row r="10458" s="160" customFormat="1" x14ac:dyDescent="0.3"/>
    <row r="10459" s="160" customFormat="1" x14ac:dyDescent="0.3"/>
    <row r="10460" s="160" customFormat="1" x14ac:dyDescent="0.3"/>
    <row r="10461" s="160" customFormat="1" x14ac:dyDescent="0.3"/>
    <row r="10462" s="160" customFormat="1" x14ac:dyDescent="0.3"/>
    <row r="10463" s="160" customFormat="1" x14ac:dyDescent="0.3"/>
    <row r="10464" s="160" customFormat="1" x14ac:dyDescent="0.3"/>
    <row r="10465" s="160" customFormat="1" x14ac:dyDescent="0.3"/>
    <row r="10466" s="160" customFormat="1" x14ac:dyDescent="0.3"/>
    <row r="10467" s="160" customFormat="1" x14ac:dyDescent="0.3"/>
    <row r="10468" s="160" customFormat="1" x14ac:dyDescent="0.3"/>
    <row r="10469" s="160" customFormat="1" x14ac:dyDescent="0.3"/>
    <row r="10470" s="160" customFormat="1" x14ac:dyDescent="0.3"/>
    <row r="10471" s="160" customFormat="1" x14ac:dyDescent="0.3"/>
    <row r="10472" s="160" customFormat="1" x14ac:dyDescent="0.3"/>
    <row r="10473" s="160" customFormat="1" x14ac:dyDescent="0.3"/>
    <row r="10474" s="160" customFormat="1" x14ac:dyDescent="0.3"/>
    <row r="10475" s="160" customFormat="1" x14ac:dyDescent="0.3"/>
    <row r="10476" s="160" customFormat="1" x14ac:dyDescent="0.3"/>
    <row r="10477" s="160" customFormat="1" x14ac:dyDescent="0.3"/>
    <row r="10478" s="160" customFormat="1" x14ac:dyDescent="0.3"/>
    <row r="10479" s="160" customFormat="1" x14ac:dyDescent="0.3"/>
    <row r="10480" s="160" customFormat="1" x14ac:dyDescent="0.3"/>
    <row r="10481" s="160" customFormat="1" x14ac:dyDescent="0.3"/>
    <row r="10482" s="160" customFormat="1" x14ac:dyDescent="0.3"/>
    <row r="10483" s="160" customFormat="1" x14ac:dyDescent="0.3"/>
    <row r="10484" s="160" customFormat="1" x14ac:dyDescent="0.3"/>
    <row r="10485" s="160" customFormat="1" x14ac:dyDescent="0.3"/>
    <row r="10486" s="160" customFormat="1" x14ac:dyDescent="0.3"/>
    <row r="10487" s="160" customFormat="1" x14ac:dyDescent="0.3"/>
    <row r="10488" s="160" customFormat="1" x14ac:dyDescent="0.3"/>
    <row r="10489" s="160" customFormat="1" x14ac:dyDescent="0.3"/>
    <row r="10490" s="160" customFormat="1" x14ac:dyDescent="0.3"/>
    <row r="10491" s="160" customFormat="1" x14ac:dyDescent="0.3"/>
    <row r="10492" s="160" customFormat="1" x14ac:dyDescent="0.3"/>
    <row r="10493" s="160" customFormat="1" x14ac:dyDescent="0.3"/>
    <row r="10494" s="160" customFormat="1" x14ac:dyDescent="0.3"/>
    <row r="10495" s="160" customFormat="1" x14ac:dyDescent="0.3"/>
    <row r="10496" s="160" customFormat="1" x14ac:dyDescent="0.3"/>
    <row r="10497" s="160" customFormat="1" x14ac:dyDescent="0.3"/>
    <row r="10498" s="160" customFormat="1" x14ac:dyDescent="0.3"/>
    <row r="10499" s="160" customFormat="1" x14ac:dyDescent="0.3"/>
    <row r="10500" s="160" customFormat="1" x14ac:dyDescent="0.3"/>
    <row r="10501" s="160" customFormat="1" x14ac:dyDescent="0.3"/>
    <row r="10502" s="160" customFormat="1" x14ac:dyDescent="0.3"/>
    <row r="10503" s="160" customFormat="1" x14ac:dyDescent="0.3"/>
    <row r="10504" s="160" customFormat="1" x14ac:dyDescent="0.3"/>
    <row r="10505" s="160" customFormat="1" x14ac:dyDescent="0.3"/>
    <row r="10506" s="160" customFormat="1" x14ac:dyDescent="0.3"/>
    <row r="10507" s="160" customFormat="1" x14ac:dyDescent="0.3"/>
    <row r="10508" s="160" customFormat="1" x14ac:dyDescent="0.3"/>
    <row r="10509" s="160" customFormat="1" x14ac:dyDescent="0.3"/>
    <row r="10510" s="160" customFormat="1" x14ac:dyDescent="0.3"/>
    <row r="10511" s="160" customFormat="1" x14ac:dyDescent="0.3"/>
    <row r="10512" s="160" customFormat="1" x14ac:dyDescent="0.3"/>
    <row r="10513" s="160" customFormat="1" x14ac:dyDescent="0.3"/>
    <row r="10514" s="160" customFormat="1" x14ac:dyDescent="0.3"/>
    <row r="10515" s="160" customFormat="1" x14ac:dyDescent="0.3"/>
    <row r="10516" s="160" customFormat="1" x14ac:dyDescent="0.3"/>
    <row r="10517" s="160" customFormat="1" x14ac:dyDescent="0.3"/>
    <row r="10518" s="160" customFormat="1" x14ac:dyDescent="0.3"/>
    <row r="10519" s="160" customFormat="1" x14ac:dyDescent="0.3"/>
    <row r="10520" s="160" customFormat="1" x14ac:dyDescent="0.3"/>
    <row r="10521" s="160" customFormat="1" x14ac:dyDescent="0.3"/>
    <row r="10522" s="160" customFormat="1" x14ac:dyDescent="0.3"/>
    <row r="10523" s="160" customFormat="1" x14ac:dyDescent="0.3"/>
    <row r="10524" s="160" customFormat="1" x14ac:dyDescent="0.3"/>
    <row r="10525" s="160" customFormat="1" x14ac:dyDescent="0.3"/>
    <row r="10526" s="160" customFormat="1" x14ac:dyDescent="0.3"/>
    <row r="10527" s="160" customFormat="1" x14ac:dyDescent="0.3"/>
    <row r="10528" s="160" customFormat="1" x14ac:dyDescent="0.3"/>
    <row r="10529" s="160" customFormat="1" x14ac:dyDescent="0.3"/>
    <row r="10530" s="160" customFormat="1" x14ac:dyDescent="0.3"/>
    <row r="10531" s="160" customFormat="1" x14ac:dyDescent="0.3"/>
    <row r="10532" s="160" customFormat="1" x14ac:dyDescent="0.3"/>
    <row r="10533" s="160" customFormat="1" x14ac:dyDescent="0.3"/>
    <row r="10534" s="160" customFormat="1" x14ac:dyDescent="0.3"/>
    <row r="10535" s="160" customFormat="1" x14ac:dyDescent="0.3"/>
    <row r="10536" s="160" customFormat="1" x14ac:dyDescent="0.3"/>
    <row r="10537" s="160" customFormat="1" x14ac:dyDescent="0.3"/>
    <row r="10538" s="160" customFormat="1" x14ac:dyDescent="0.3"/>
    <row r="10539" s="160" customFormat="1" x14ac:dyDescent="0.3"/>
    <row r="10540" s="160" customFormat="1" x14ac:dyDescent="0.3"/>
    <row r="10541" s="160" customFormat="1" x14ac:dyDescent="0.3"/>
    <row r="10542" s="160" customFormat="1" x14ac:dyDescent="0.3"/>
    <row r="10543" s="160" customFormat="1" x14ac:dyDescent="0.3"/>
    <row r="10544" s="160" customFormat="1" x14ac:dyDescent="0.3"/>
    <row r="10545" s="160" customFormat="1" x14ac:dyDescent="0.3"/>
    <row r="10546" s="160" customFormat="1" x14ac:dyDescent="0.3"/>
    <row r="10547" s="160" customFormat="1" x14ac:dyDescent="0.3"/>
    <row r="10548" s="160" customFormat="1" x14ac:dyDescent="0.3"/>
    <row r="10549" s="160" customFormat="1" x14ac:dyDescent="0.3"/>
    <row r="10550" s="160" customFormat="1" x14ac:dyDescent="0.3"/>
    <row r="10551" s="160" customFormat="1" x14ac:dyDescent="0.3"/>
    <row r="10552" s="160" customFormat="1" x14ac:dyDescent="0.3"/>
    <row r="10553" s="160" customFormat="1" x14ac:dyDescent="0.3"/>
    <row r="10554" s="160" customFormat="1" x14ac:dyDescent="0.3"/>
    <row r="10555" s="160" customFormat="1" x14ac:dyDescent="0.3"/>
    <row r="10556" s="160" customFormat="1" x14ac:dyDescent="0.3"/>
    <row r="10557" s="160" customFormat="1" x14ac:dyDescent="0.3"/>
    <row r="10558" s="160" customFormat="1" x14ac:dyDescent="0.3"/>
    <row r="10559" s="160" customFormat="1" x14ac:dyDescent="0.3"/>
    <row r="10560" s="160" customFormat="1" x14ac:dyDescent="0.3"/>
    <row r="10561" s="160" customFormat="1" x14ac:dyDescent="0.3"/>
    <row r="10562" s="160" customFormat="1" x14ac:dyDescent="0.3"/>
    <row r="10563" s="160" customFormat="1" x14ac:dyDescent="0.3"/>
    <row r="10564" s="160" customFormat="1" x14ac:dyDescent="0.3"/>
    <row r="10565" s="160" customFormat="1" x14ac:dyDescent="0.3"/>
    <row r="10566" s="160" customFormat="1" x14ac:dyDescent="0.3"/>
    <row r="10567" s="160" customFormat="1" x14ac:dyDescent="0.3"/>
    <row r="10568" s="160" customFormat="1" x14ac:dyDescent="0.3"/>
    <row r="10569" s="160" customFormat="1" x14ac:dyDescent="0.3"/>
    <row r="10570" s="160" customFormat="1" x14ac:dyDescent="0.3"/>
    <row r="10571" s="160" customFormat="1" x14ac:dyDescent="0.3"/>
    <row r="10572" s="160" customFormat="1" x14ac:dyDescent="0.3"/>
    <row r="10573" s="160" customFormat="1" x14ac:dyDescent="0.3"/>
    <row r="10574" s="160" customFormat="1" x14ac:dyDescent="0.3"/>
    <row r="10575" s="160" customFormat="1" x14ac:dyDescent="0.3"/>
    <row r="10576" s="160" customFormat="1" x14ac:dyDescent="0.3"/>
    <row r="10577" s="160" customFormat="1" x14ac:dyDescent="0.3"/>
    <row r="10578" s="160" customFormat="1" x14ac:dyDescent="0.3"/>
    <row r="10579" s="160" customFormat="1" x14ac:dyDescent="0.3"/>
    <row r="10580" s="160" customFormat="1" x14ac:dyDescent="0.3"/>
    <row r="10581" s="160" customFormat="1" x14ac:dyDescent="0.3"/>
    <row r="10582" s="160" customFormat="1" x14ac:dyDescent="0.3"/>
    <row r="10583" s="160" customFormat="1" x14ac:dyDescent="0.3"/>
    <row r="10584" s="160" customFormat="1" x14ac:dyDescent="0.3"/>
    <row r="10585" s="160" customFormat="1" x14ac:dyDescent="0.3"/>
    <row r="10586" s="160" customFormat="1" x14ac:dyDescent="0.3"/>
    <row r="10587" s="160" customFormat="1" x14ac:dyDescent="0.3"/>
    <row r="10588" s="160" customFormat="1" x14ac:dyDescent="0.3"/>
    <row r="10589" s="160" customFormat="1" x14ac:dyDescent="0.3"/>
    <row r="10590" s="160" customFormat="1" x14ac:dyDescent="0.3"/>
    <row r="10591" s="160" customFormat="1" x14ac:dyDescent="0.3"/>
    <row r="10592" s="160" customFormat="1" x14ac:dyDescent="0.3"/>
    <row r="10593" s="160" customFormat="1" x14ac:dyDescent="0.3"/>
    <row r="10594" s="160" customFormat="1" x14ac:dyDescent="0.3"/>
    <row r="10595" s="160" customFormat="1" x14ac:dyDescent="0.3"/>
    <row r="10596" s="160" customFormat="1" x14ac:dyDescent="0.3"/>
    <row r="10597" s="160" customFormat="1" x14ac:dyDescent="0.3"/>
    <row r="10598" s="160" customFormat="1" x14ac:dyDescent="0.3"/>
    <row r="10599" s="160" customFormat="1" x14ac:dyDescent="0.3"/>
    <row r="10600" s="160" customFormat="1" x14ac:dyDescent="0.3"/>
    <row r="10601" s="160" customFormat="1" x14ac:dyDescent="0.3"/>
    <row r="10602" s="160" customFormat="1" x14ac:dyDescent="0.3"/>
    <row r="10603" s="160" customFormat="1" x14ac:dyDescent="0.3"/>
    <row r="10604" s="160" customFormat="1" x14ac:dyDescent="0.3"/>
    <row r="10605" s="160" customFormat="1" x14ac:dyDescent="0.3"/>
    <row r="10606" s="160" customFormat="1" x14ac:dyDescent="0.3"/>
    <row r="10607" s="160" customFormat="1" x14ac:dyDescent="0.3"/>
    <row r="10608" s="160" customFormat="1" x14ac:dyDescent="0.3"/>
    <row r="10609" s="160" customFormat="1" x14ac:dyDescent="0.3"/>
    <row r="10610" s="160" customFormat="1" x14ac:dyDescent="0.3"/>
    <row r="10611" s="160" customFormat="1" x14ac:dyDescent="0.3"/>
    <row r="10612" s="160" customFormat="1" x14ac:dyDescent="0.3"/>
    <row r="10613" s="160" customFormat="1" x14ac:dyDescent="0.3"/>
    <row r="10614" s="160" customFormat="1" x14ac:dyDescent="0.3"/>
    <row r="10615" s="160" customFormat="1" x14ac:dyDescent="0.3"/>
    <row r="10616" s="160" customFormat="1" x14ac:dyDescent="0.3"/>
    <row r="10617" s="160" customFormat="1" x14ac:dyDescent="0.3"/>
    <row r="10618" s="160" customFormat="1" x14ac:dyDescent="0.3"/>
    <row r="10619" s="160" customFormat="1" x14ac:dyDescent="0.3"/>
    <row r="10620" s="160" customFormat="1" x14ac:dyDescent="0.3"/>
    <row r="10621" s="160" customFormat="1" x14ac:dyDescent="0.3"/>
    <row r="10622" s="160" customFormat="1" x14ac:dyDescent="0.3"/>
    <row r="10623" s="160" customFormat="1" x14ac:dyDescent="0.3"/>
    <row r="10624" s="160" customFormat="1" x14ac:dyDescent="0.3"/>
    <row r="10625" s="160" customFormat="1" x14ac:dyDescent="0.3"/>
    <row r="10626" s="160" customFormat="1" x14ac:dyDescent="0.3"/>
    <row r="10627" s="160" customFormat="1" x14ac:dyDescent="0.3"/>
    <row r="10628" s="160" customFormat="1" x14ac:dyDescent="0.3"/>
    <row r="10629" s="160" customFormat="1" x14ac:dyDescent="0.3"/>
    <row r="10630" s="160" customFormat="1" x14ac:dyDescent="0.3"/>
    <row r="10631" s="160" customFormat="1" x14ac:dyDescent="0.3"/>
    <row r="10632" s="160" customFormat="1" x14ac:dyDescent="0.3"/>
    <row r="10633" s="160" customFormat="1" x14ac:dyDescent="0.3"/>
    <row r="10634" s="160" customFormat="1" x14ac:dyDescent="0.3"/>
    <row r="10635" s="160" customFormat="1" x14ac:dyDescent="0.3"/>
    <row r="10636" s="160" customFormat="1" x14ac:dyDescent="0.3"/>
    <row r="10637" s="160" customFormat="1" x14ac:dyDescent="0.3"/>
    <row r="10638" s="160" customFormat="1" x14ac:dyDescent="0.3"/>
    <row r="10639" s="160" customFormat="1" x14ac:dyDescent="0.3"/>
    <row r="10640" s="160" customFormat="1" x14ac:dyDescent="0.3"/>
    <row r="10641" s="160" customFormat="1" x14ac:dyDescent="0.3"/>
    <row r="10642" s="160" customFormat="1" x14ac:dyDescent="0.3"/>
    <row r="10643" s="160" customFormat="1" x14ac:dyDescent="0.3"/>
    <row r="10644" s="160" customFormat="1" x14ac:dyDescent="0.3"/>
    <row r="10645" s="160" customFormat="1" x14ac:dyDescent="0.3"/>
    <row r="10646" s="160" customFormat="1" x14ac:dyDescent="0.3"/>
    <row r="10647" s="160" customFormat="1" x14ac:dyDescent="0.3"/>
    <row r="10648" s="160" customFormat="1" x14ac:dyDescent="0.3"/>
    <row r="10649" s="160" customFormat="1" x14ac:dyDescent="0.3"/>
    <row r="10650" s="160" customFormat="1" x14ac:dyDescent="0.3"/>
    <row r="10651" s="160" customFormat="1" x14ac:dyDescent="0.3"/>
    <row r="10652" s="160" customFormat="1" x14ac:dyDescent="0.3"/>
    <row r="10653" s="160" customFormat="1" x14ac:dyDescent="0.3"/>
    <row r="10654" s="160" customFormat="1" x14ac:dyDescent="0.3"/>
    <row r="10655" s="160" customFormat="1" x14ac:dyDescent="0.3"/>
    <row r="10656" s="160" customFormat="1" x14ac:dyDescent="0.3"/>
    <row r="10657" s="160" customFormat="1" x14ac:dyDescent="0.3"/>
    <row r="10658" s="160" customFormat="1" x14ac:dyDescent="0.3"/>
    <row r="10659" s="160" customFormat="1" x14ac:dyDescent="0.3"/>
    <row r="10660" s="160" customFormat="1" x14ac:dyDescent="0.3"/>
    <row r="10661" s="160" customFormat="1" x14ac:dyDescent="0.3"/>
    <row r="10662" s="160" customFormat="1" x14ac:dyDescent="0.3"/>
    <row r="10663" s="160" customFormat="1" x14ac:dyDescent="0.3"/>
    <row r="10664" s="160" customFormat="1" x14ac:dyDescent="0.3"/>
    <row r="10665" s="160" customFormat="1" x14ac:dyDescent="0.3"/>
    <row r="10666" s="160" customFormat="1" x14ac:dyDescent="0.3"/>
    <row r="10667" s="160" customFormat="1" x14ac:dyDescent="0.3"/>
    <row r="10668" s="160" customFormat="1" x14ac:dyDescent="0.3"/>
    <row r="10669" s="160" customFormat="1" x14ac:dyDescent="0.3"/>
    <row r="10670" s="160" customFormat="1" x14ac:dyDescent="0.3"/>
    <row r="10671" s="160" customFormat="1" x14ac:dyDescent="0.3"/>
    <row r="10672" s="160" customFormat="1" x14ac:dyDescent="0.3"/>
    <row r="10673" s="160" customFormat="1" x14ac:dyDescent="0.3"/>
    <row r="10674" s="160" customFormat="1" x14ac:dyDescent="0.3"/>
    <row r="10675" s="160" customFormat="1" x14ac:dyDescent="0.3"/>
    <row r="10676" s="160" customFormat="1" x14ac:dyDescent="0.3"/>
    <row r="10677" s="160" customFormat="1" x14ac:dyDescent="0.3"/>
    <row r="10678" s="160" customFormat="1" x14ac:dyDescent="0.3"/>
    <row r="10679" s="160" customFormat="1" x14ac:dyDescent="0.3"/>
    <row r="10680" s="160" customFormat="1" x14ac:dyDescent="0.3"/>
    <row r="10681" s="160" customFormat="1" x14ac:dyDescent="0.3"/>
    <row r="10682" s="160" customFormat="1" x14ac:dyDescent="0.3"/>
    <row r="10683" s="160" customFormat="1" x14ac:dyDescent="0.3"/>
    <row r="10684" s="160" customFormat="1" x14ac:dyDescent="0.3"/>
    <row r="10685" s="160" customFormat="1" x14ac:dyDescent="0.3"/>
    <row r="10686" s="160" customFormat="1" x14ac:dyDescent="0.3"/>
    <row r="10687" s="160" customFormat="1" x14ac:dyDescent="0.3"/>
    <row r="10688" s="160" customFormat="1" x14ac:dyDescent="0.3"/>
    <row r="10689" s="160" customFormat="1" x14ac:dyDescent="0.3"/>
    <row r="10690" s="160" customFormat="1" x14ac:dyDescent="0.3"/>
    <row r="10691" s="160" customFormat="1" x14ac:dyDescent="0.3"/>
    <row r="10692" s="160" customFormat="1" x14ac:dyDescent="0.3"/>
    <row r="10693" s="160" customFormat="1" x14ac:dyDescent="0.3"/>
    <row r="10694" s="160" customFormat="1" x14ac:dyDescent="0.3"/>
    <row r="10695" s="160" customFormat="1" x14ac:dyDescent="0.3"/>
    <row r="10696" s="160" customFormat="1" x14ac:dyDescent="0.3"/>
    <row r="10697" s="160" customFormat="1" x14ac:dyDescent="0.3"/>
    <row r="10698" s="160" customFormat="1" x14ac:dyDescent="0.3"/>
    <row r="10699" s="160" customFormat="1" x14ac:dyDescent="0.3"/>
    <row r="10700" s="160" customFormat="1" x14ac:dyDescent="0.3"/>
    <row r="10701" s="160" customFormat="1" x14ac:dyDescent="0.3"/>
    <row r="10702" s="160" customFormat="1" x14ac:dyDescent="0.3"/>
    <row r="10703" s="160" customFormat="1" x14ac:dyDescent="0.3"/>
    <row r="10704" s="160" customFormat="1" x14ac:dyDescent="0.3"/>
    <row r="10705" s="160" customFormat="1" x14ac:dyDescent="0.3"/>
    <row r="10706" s="160" customFormat="1" x14ac:dyDescent="0.3"/>
    <row r="10707" s="160" customFormat="1" x14ac:dyDescent="0.3"/>
    <row r="10708" s="160" customFormat="1" x14ac:dyDescent="0.3"/>
    <row r="10709" s="160" customFormat="1" x14ac:dyDescent="0.3"/>
    <row r="10710" s="160" customFormat="1" x14ac:dyDescent="0.3"/>
    <row r="10711" s="160" customFormat="1" x14ac:dyDescent="0.3"/>
    <row r="10712" s="160" customFormat="1" x14ac:dyDescent="0.3"/>
    <row r="10713" s="160" customFormat="1" x14ac:dyDescent="0.3"/>
    <row r="10714" s="160" customFormat="1" x14ac:dyDescent="0.3"/>
    <row r="10715" s="160" customFormat="1" x14ac:dyDescent="0.3"/>
    <row r="10716" s="160" customFormat="1" x14ac:dyDescent="0.3"/>
    <row r="10717" s="160" customFormat="1" x14ac:dyDescent="0.3"/>
    <row r="10718" s="160" customFormat="1" x14ac:dyDescent="0.3"/>
    <row r="10719" s="160" customFormat="1" x14ac:dyDescent="0.3"/>
    <row r="10720" s="160" customFormat="1" x14ac:dyDescent="0.3"/>
    <row r="10721" s="160" customFormat="1" x14ac:dyDescent="0.3"/>
    <row r="10722" s="160" customFormat="1" x14ac:dyDescent="0.3"/>
    <row r="10723" s="160" customFormat="1" x14ac:dyDescent="0.3"/>
    <row r="10724" s="160" customFormat="1" x14ac:dyDescent="0.3"/>
    <row r="10725" s="160" customFormat="1" x14ac:dyDescent="0.3"/>
    <row r="10726" s="160" customFormat="1" x14ac:dyDescent="0.3"/>
    <row r="10727" s="160" customFormat="1" x14ac:dyDescent="0.3"/>
    <row r="10728" s="160" customFormat="1" x14ac:dyDescent="0.3"/>
    <row r="10729" s="160" customFormat="1" x14ac:dyDescent="0.3"/>
    <row r="10730" s="160" customFormat="1" x14ac:dyDescent="0.3"/>
    <row r="10731" s="160" customFormat="1" x14ac:dyDescent="0.3"/>
    <row r="10732" s="160" customFormat="1" x14ac:dyDescent="0.3"/>
    <row r="10733" s="160" customFormat="1" x14ac:dyDescent="0.3"/>
    <row r="10734" s="160" customFormat="1" x14ac:dyDescent="0.3"/>
    <row r="10735" s="160" customFormat="1" x14ac:dyDescent="0.3"/>
    <row r="10736" s="160" customFormat="1" x14ac:dyDescent="0.3"/>
    <row r="10737" s="160" customFormat="1" x14ac:dyDescent="0.3"/>
    <row r="10738" s="160" customFormat="1" x14ac:dyDescent="0.3"/>
    <row r="10739" s="160" customFormat="1" x14ac:dyDescent="0.3"/>
    <row r="10740" s="160" customFormat="1" x14ac:dyDescent="0.3"/>
    <row r="10741" s="160" customFormat="1" x14ac:dyDescent="0.3"/>
    <row r="10742" s="160" customFormat="1" x14ac:dyDescent="0.3"/>
    <row r="10743" s="160" customFormat="1" x14ac:dyDescent="0.3"/>
    <row r="10744" s="160" customFormat="1" x14ac:dyDescent="0.3"/>
    <row r="10745" s="160" customFormat="1" x14ac:dyDescent="0.3"/>
    <row r="10746" s="160" customFormat="1" x14ac:dyDescent="0.3"/>
    <row r="10747" s="160" customFormat="1" x14ac:dyDescent="0.3"/>
    <row r="10748" s="160" customFormat="1" x14ac:dyDescent="0.3"/>
    <row r="10749" s="160" customFormat="1" x14ac:dyDescent="0.3"/>
    <row r="10750" s="160" customFormat="1" x14ac:dyDescent="0.3"/>
    <row r="10751" s="160" customFormat="1" x14ac:dyDescent="0.3"/>
    <row r="10752" s="160" customFormat="1" x14ac:dyDescent="0.3"/>
    <row r="10753" s="160" customFormat="1" x14ac:dyDescent="0.3"/>
    <row r="10754" s="160" customFormat="1" x14ac:dyDescent="0.3"/>
    <row r="10755" s="160" customFormat="1" x14ac:dyDescent="0.3"/>
    <row r="10756" s="160" customFormat="1" x14ac:dyDescent="0.3"/>
    <row r="10757" s="160" customFormat="1" x14ac:dyDescent="0.3"/>
    <row r="10758" s="160" customFormat="1" x14ac:dyDescent="0.3"/>
    <row r="10759" s="160" customFormat="1" x14ac:dyDescent="0.3"/>
    <row r="10760" s="160" customFormat="1" x14ac:dyDescent="0.3"/>
    <row r="10761" s="160" customFormat="1" x14ac:dyDescent="0.3"/>
    <row r="10762" s="160" customFormat="1" x14ac:dyDescent="0.3"/>
    <row r="10763" s="160" customFormat="1" x14ac:dyDescent="0.3"/>
    <row r="10764" s="160" customFormat="1" x14ac:dyDescent="0.3"/>
    <row r="10765" s="160" customFormat="1" x14ac:dyDescent="0.3"/>
    <row r="10766" s="160" customFormat="1" x14ac:dyDescent="0.3"/>
    <row r="10767" s="160" customFormat="1" x14ac:dyDescent="0.3"/>
    <row r="10768" s="160" customFormat="1" x14ac:dyDescent="0.3"/>
    <row r="10769" s="160" customFormat="1" x14ac:dyDescent="0.3"/>
    <row r="10770" s="160" customFormat="1" x14ac:dyDescent="0.3"/>
    <row r="10771" s="160" customFormat="1" x14ac:dyDescent="0.3"/>
    <row r="10772" s="160" customFormat="1" x14ac:dyDescent="0.3"/>
    <row r="10773" s="160" customFormat="1" x14ac:dyDescent="0.3"/>
    <row r="10774" s="160" customFormat="1" x14ac:dyDescent="0.3"/>
    <row r="10775" s="160" customFormat="1" x14ac:dyDescent="0.3"/>
    <row r="10776" s="160" customFormat="1" x14ac:dyDescent="0.3"/>
    <row r="10777" s="160" customFormat="1" x14ac:dyDescent="0.3"/>
    <row r="10778" s="160" customFormat="1" x14ac:dyDescent="0.3"/>
    <row r="10779" s="160" customFormat="1" x14ac:dyDescent="0.3"/>
    <row r="10780" s="160" customFormat="1" x14ac:dyDescent="0.3"/>
    <row r="10781" s="160" customFormat="1" x14ac:dyDescent="0.3"/>
    <row r="10782" s="160" customFormat="1" x14ac:dyDescent="0.3"/>
    <row r="10783" s="160" customFormat="1" x14ac:dyDescent="0.3"/>
    <row r="10784" s="160" customFormat="1" x14ac:dyDescent="0.3"/>
    <row r="10785" s="160" customFormat="1" x14ac:dyDescent="0.3"/>
    <row r="10786" s="160" customFormat="1" x14ac:dyDescent="0.3"/>
    <row r="10787" s="160" customFormat="1" x14ac:dyDescent="0.3"/>
    <row r="10788" s="160" customFormat="1" x14ac:dyDescent="0.3"/>
    <row r="10789" s="160" customFormat="1" x14ac:dyDescent="0.3"/>
    <row r="10790" s="160" customFormat="1" x14ac:dyDescent="0.3"/>
    <row r="10791" s="160" customFormat="1" x14ac:dyDescent="0.3"/>
    <row r="10792" s="160" customFormat="1" x14ac:dyDescent="0.3"/>
    <row r="10793" s="160" customFormat="1" x14ac:dyDescent="0.3"/>
    <row r="10794" s="160" customFormat="1" x14ac:dyDescent="0.3"/>
    <row r="10795" s="160" customFormat="1" x14ac:dyDescent="0.3"/>
    <row r="10796" s="160" customFormat="1" x14ac:dyDescent="0.3"/>
    <row r="10797" s="160" customFormat="1" x14ac:dyDescent="0.3"/>
    <row r="10798" s="160" customFormat="1" x14ac:dyDescent="0.3"/>
    <row r="10799" s="160" customFormat="1" x14ac:dyDescent="0.3"/>
    <row r="10800" s="160" customFormat="1" x14ac:dyDescent="0.3"/>
    <row r="10801" s="160" customFormat="1" x14ac:dyDescent="0.3"/>
    <row r="10802" s="160" customFormat="1" x14ac:dyDescent="0.3"/>
    <row r="10803" s="160" customFormat="1" x14ac:dyDescent="0.3"/>
    <row r="10804" s="160" customFormat="1" x14ac:dyDescent="0.3"/>
    <row r="10805" s="160" customFormat="1" x14ac:dyDescent="0.3"/>
    <row r="10806" s="160" customFormat="1" x14ac:dyDescent="0.3"/>
    <row r="10807" s="160" customFormat="1" x14ac:dyDescent="0.3"/>
    <row r="10808" s="160" customFormat="1" x14ac:dyDescent="0.3"/>
    <row r="10809" s="160" customFormat="1" x14ac:dyDescent="0.3"/>
    <row r="10810" s="160" customFormat="1" x14ac:dyDescent="0.3"/>
    <row r="10811" s="160" customFormat="1" x14ac:dyDescent="0.3"/>
    <row r="10812" s="160" customFormat="1" x14ac:dyDescent="0.3"/>
    <row r="10813" s="160" customFormat="1" x14ac:dyDescent="0.3"/>
    <row r="10814" s="160" customFormat="1" x14ac:dyDescent="0.3"/>
    <row r="10815" s="160" customFormat="1" x14ac:dyDescent="0.3"/>
    <row r="10816" s="160" customFormat="1" x14ac:dyDescent="0.3"/>
    <row r="10817" s="160" customFormat="1" x14ac:dyDescent="0.3"/>
    <row r="10818" s="160" customFormat="1" x14ac:dyDescent="0.3"/>
    <row r="10819" s="160" customFormat="1" x14ac:dyDescent="0.3"/>
    <row r="10820" s="160" customFormat="1" x14ac:dyDescent="0.3"/>
    <row r="10821" s="160" customFormat="1" x14ac:dyDescent="0.3"/>
    <row r="10822" s="160" customFormat="1" x14ac:dyDescent="0.3"/>
    <row r="10823" s="160" customFormat="1" x14ac:dyDescent="0.3"/>
    <row r="10824" s="160" customFormat="1" x14ac:dyDescent="0.3"/>
    <row r="10825" s="160" customFormat="1" x14ac:dyDescent="0.3"/>
    <row r="10826" s="160" customFormat="1" x14ac:dyDescent="0.3"/>
    <row r="10827" s="160" customFormat="1" x14ac:dyDescent="0.3"/>
    <row r="10828" s="160" customFormat="1" x14ac:dyDescent="0.3"/>
    <row r="10829" s="160" customFormat="1" x14ac:dyDescent="0.3"/>
    <row r="10830" s="160" customFormat="1" x14ac:dyDescent="0.3"/>
    <row r="10831" s="160" customFormat="1" x14ac:dyDescent="0.3"/>
    <row r="10832" s="160" customFormat="1" x14ac:dyDescent="0.3"/>
    <row r="10833" s="160" customFormat="1" x14ac:dyDescent="0.3"/>
    <row r="10834" s="160" customFormat="1" x14ac:dyDescent="0.3"/>
    <row r="10835" s="160" customFormat="1" x14ac:dyDescent="0.3"/>
    <row r="10836" s="160" customFormat="1" x14ac:dyDescent="0.3"/>
    <row r="10837" s="160" customFormat="1" x14ac:dyDescent="0.3"/>
    <row r="10838" s="160" customFormat="1" x14ac:dyDescent="0.3"/>
    <row r="10839" s="160" customFormat="1" x14ac:dyDescent="0.3"/>
    <row r="10840" s="160" customFormat="1" x14ac:dyDescent="0.3"/>
    <row r="10841" s="160" customFormat="1" x14ac:dyDescent="0.3"/>
    <row r="10842" s="160" customFormat="1" x14ac:dyDescent="0.3"/>
    <row r="10843" s="160" customFormat="1" x14ac:dyDescent="0.3"/>
    <row r="10844" s="160" customFormat="1" x14ac:dyDescent="0.3"/>
    <row r="10845" s="160" customFormat="1" x14ac:dyDescent="0.3"/>
    <row r="10846" s="160" customFormat="1" x14ac:dyDescent="0.3"/>
    <row r="10847" s="160" customFormat="1" x14ac:dyDescent="0.3"/>
    <row r="10848" s="160" customFormat="1" x14ac:dyDescent="0.3"/>
    <row r="10849" s="160" customFormat="1" x14ac:dyDescent="0.3"/>
    <row r="10850" s="160" customFormat="1" x14ac:dyDescent="0.3"/>
    <row r="10851" s="160" customFormat="1" x14ac:dyDescent="0.3"/>
    <row r="10852" s="160" customFormat="1" x14ac:dyDescent="0.3"/>
    <row r="10853" s="160" customFormat="1" x14ac:dyDescent="0.3"/>
    <row r="10854" s="160" customFormat="1" x14ac:dyDescent="0.3"/>
    <row r="10855" s="160" customFormat="1" x14ac:dyDescent="0.3"/>
    <row r="10856" s="160" customFormat="1" x14ac:dyDescent="0.3"/>
    <row r="10857" s="160" customFormat="1" x14ac:dyDescent="0.3"/>
    <row r="10858" s="160" customFormat="1" x14ac:dyDescent="0.3"/>
    <row r="10859" s="160" customFormat="1" x14ac:dyDescent="0.3"/>
    <row r="10860" s="160" customFormat="1" x14ac:dyDescent="0.3"/>
    <row r="10861" s="160" customFormat="1" x14ac:dyDescent="0.3"/>
    <row r="10862" s="160" customFormat="1" x14ac:dyDescent="0.3"/>
    <row r="10863" s="160" customFormat="1" x14ac:dyDescent="0.3"/>
    <row r="10864" s="160" customFormat="1" x14ac:dyDescent="0.3"/>
    <row r="10865" s="160" customFormat="1" x14ac:dyDescent="0.3"/>
    <row r="10866" s="160" customFormat="1" x14ac:dyDescent="0.3"/>
    <row r="10867" s="160" customFormat="1" x14ac:dyDescent="0.3"/>
    <row r="10868" s="160" customFormat="1" x14ac:dyDescent="0.3"/>
    <row r="10869" s="160" customFormat="1" x14ac:dyDescent="0.3"/>
    <row r="10870" s="160" customFormat="1" x14ac:dyDescent="0.3"/>
    <row r="10871" s="160" customFormat="1" x14ac:dyDescent="0.3"/>
    <row r="10872" s="160" customFormat="1" x14ac:dyDescent="0.3"/>
    <row r="10873" s="160" customFormat="1" x14ac:dyDescent="0.3"/>
    <row r="10874" s="160" customFormat="1" x14ac:dyDescent="0.3"/>
    <row r="10875" s="160" customFormat="1" x14ac:dyDescent="0.3"/>
    <row r="10876" s="160" customFormat="1" x14ac:dyDescent="0.3"/>
    <row r="10877" s="160" customFormat="1" x14ac:dyDescent="0.3"/>
    <row r="10878" s="160" customFormat="1" x14ac:dyDescent="0.3"/>
    <row r="10879" s="160" customFormat="1" x14ac:dyDescent="0.3"/>
    <row r="10880" s="160" customFormat="1" x14ac:dyDescent="0.3"/>
    <row r="10881" s="160" customFormat="1" x14ac:dyDescent="0.3"/>
    <row r="10882" s="160" customFormat="1" x14ac:dyDescent="0.3"/>
    <row r="10883" s="160" customFormat="1" x14ac:dyDescent="0.3"/>
    <row r="10884" s="160" customFormat="1" x14ac:dyDescent="0.3"/>
    <row r="10885" s="160" customFormat="1" x14ac:dyDescent="0.3"/>
    <row r="10886" s="160" customFormat="1" x14ac:dyDescent="0.3"/>
    <row r="10887" s="160" customFormat="1" x14ac:dyDescent="0.3"/>
    <row r="10888" s="160" customFormat="1" x14ac:dyDescent="0.3"/>
    <row r="10889" s="160" customFormat="1" x14ac:dyDescent="0.3"/>
    <row r="10890" s="160" customFormat="1" x14ac:dyDescent="0.3"/>
    <row r="10891" s="160" customFormat="1" x14ac:dyDescent="0.3"/>
    <row r="10892" s="160" customFormat="1" x14ac:dyDescent="0.3"/>
    <row r="10893" s="160" customFormat="1" x14ac:dyDescent="0.3"/>
    <row r="10894" s="160" customFormat="1" x14ac:dyDescent="0.3"/>
    <row r="10895" s="160" customFormat="1" x14ac:dyDescent="0.3"/>
    <row r="10896" s="160" customFormat="1" x14ac:dyDescent="0.3"/>
    <row r="10897" s="160" customFormat="1" x14ac:dyDescent="0.3"/>
    <row r="10898" s="160" customFormat="1" x14ac:dyDescent="0.3"/>
    <row r="10899" s="160" customFormat="1" x14ac:dyDescent="0.3"/>
    <row r="10900" s="160" customFormat="1" x14ac:dyDescent="0.3"/>
    <row r="10901" s="160" customFormat="1" x14ac:dyDescent="0.3"/>
    <row r="10902" s="160" customFormat="1" x14ac:dyDescent="0.3"/>
    <row r="10903" s="160" customFormat="1" x14ac:dyDescent="0.3"/>
    <row r="10904" s="160" customFormat="1" x14ac:dyDescent="0.3"/>
    <row r="10905" s="160" customFormat="1" x14ac:dyDescent="0.3"/>
    <row r="10906" s="160" customFormat="1" x14ac:dyDescent="0.3"/>
    <row r="10907" s="160" customFormat="1" x14ac:dyDescent="0.3"/>
    <row r="10908" s="160" customFormat="1" x14ac:dyDescent="0.3"/>
    <row r="10909" s="160" customFormat="1" x14ac:dyDescent="0.3"/>
    <row r="10910" s="160" customFormat="1" x14ac:dyDescent="0.3"/>
    <row r="10911" s="160" customFormat="1" x14ac:dyDescent="0.3"/>
    <row r="10912" s="160" customFormat="1" x14ac:dyDescent="0.3"/>
    <row r="10913" s="160" customFormat="1" x14ac:dyDescent="0.3"/>
    <row r="10914" s="160" customFormat="1" x14ac:dyDescent="0.3"/>
    <row r="10915" s="160" customFormat="1" x14ac:dyDescent="0.3"/>
    <row r="10916" s="160" customFormat="1" x14ac:dyDescent="0.3"/>
    <row r="10917" s="160" customFormat="1" x14ac:dyDescent="0.3"/>
    <row r="10918" s="160" customFormat="1" x14ac:dyDescent="0.3"/>
    <row r="10919" s="160" customFormat="1" x14ac:dyDescent="0.3"/>
    <row r="10920" s="160" customFormat="1" x14ac:dyDescent="0.3"/>
    <row r="10921" s="160" customFormat="1" x14ac:dyDescent="0.3"/>
    <row r="10922" s="160" customFormat="1" x14ac:dyDescent="0.3"/>
    <row r="10923" s="160" customFormat="1" x14ac:dyDescent="0.3"/>
    <row r="10924" s="160" customFormat="1" x14ac:dyDescent="0.3"/>
    <row r="10925" s="160" customFormat="1" x14ac:dyDescent="0.3"/>
    <row r="10926" s="160" customFormat="1" x14ac:dyDescent="0.3"/>
    <row r="10927" s="160" customFormat="1" x14ac:dyDescent="0.3"/>
    <row r="10928" s="160" customFormat="1" x14ac:dyDescent="0.3"/>
    <row r="10929" s="160" customFormat="1" x14ac:dyDescent="0.3"/>
    <row r="10930" s="160" customFormat="1" x14ac:dyDescent="0.3"/>
    <row r="10931" s="160" customFormat="1" x14ac:dyDescent="0.3"/>
    <row r="10932" s="160" customFormat="1" x14ac:dyDescent="0.3"/>
    <row r="10933" s="160" customFormat="1" x14ac:dyDescent="0.3"/>
    <row r="10934" s="160" customFormat="1" x14ac:dyDescent="0.3"/>
    <row r="10935" s="160" customFormat="1" x14ac:dyDescent="0.3"/>
    <row r="10936" s="160" customFormat="1" x14ac:dyDescent="0.3"/>
    <row r="10937" s="160" customFormat="1" x14ac:dyDescent="0.3"/>
    <row r="10938" s="160" customFormat="1" x14ac:dyDescent="0.3"/>
    <row r="10939" s="160" customFormat="1" x14ac:dyDescent="0.3"/>
    <row r="10940" s="160" customFormat="1" x14ac:dyDescent="0.3"/>
    <row r="10941" s="160" customFormat="1" x14ac:dyDescent="0.3"/>
    <row r="10942" s="160" customFormat="1" x14ac:dyDescent="0.3"/>
    <row r="10943" s="160" customFormat="1" x14ac:dyDescent="0.3"/>
    <row r="10944" s="160" customFormat="1" x14ac:dyDescent="0.3"/>
    <row r="10945" s="160" customFormat="1" x14ac:dyDescent="0.3"/>
    <row r="10946" s="160" customFormat="1" x14ac:dyDescent="0.3"/>
    <row r="10947" s="160" customFormat="1" x14ac:dyDescent="0.3"/>
    <row r="10948" s="160" customFormat="1" x14ac:dyDescent="0.3"/>
    <row r="10949" s="160" customFormat="1" x14ac:dyDescent="0.3"/>
    <row r="10950" s="160" customFormat="1" x14ac:dyDescent="0.3"/>
    <row r="10951" s="160" customFormat="1" x14ac:dyDescent="0.3"/>
    <row r="10952" s="160" customFormat="1" x14ac:dyDescent="0.3"/>
    <row r="10953" s="160" customFormat="1" x14ac:dyDescent="0.3"/>
    <row r="10954" s="160" customFormat="1" x14ac:dyDescent="0.3"/>
    <row r="10955" s="160" customFormat="1" x14ac:dyDescent="0.3"/>
    <row r="10956" s="160" customFormat="1" x14ac:dyDescent="0.3"/>
    <row r="10957" s="160" customFormat="1" x14ac:dyDescent="0.3"/>
    <row r="10958" s="160" customFormat="1" x14ac:dyDescent="0.3"/>
    <row r="10959" s="160" customFormat="1" x14ac:dyDescent="0.3"/>
    <row r="10960" s="160" customFormat="1" x14ac:dyDescent="0.3"/>
    <row r="10961" s="160" customFormat="1" x14ac:dyDescent="0.3"/>
    <row r="10962" s="160" customFormat="1" x14ac:dyDescent="0.3"/>
    <row r="10963" s="160" customFormat="1" x14ac:dyDescent="0.3"/>
    <row r="10964" s="160" customFormat="1" x14ac:dyDescent="0.3"/>
    <row r="10965" s="160" customFormat="1" x14ac:dyDescent="0.3"/>
    <row r="10966" s="160" customFormat="1" x14ac:dyDescent="0.3"/>
    <row r="10967" s="160" customFormat="1" x14ac:dyDescent="0.3"/>
    <row r="10968" s="160" customFormat="1" x14ac:dyDescent="0.3"/>
    <row r="10969" s="160" customFormat="1" x14ac:dyDescent="0.3"/>
    <row r="10970" s="160" customFormat="1" x14ac:dyDescent="0.3"/>
    <row r="10971" s="160" customFormat="1" x14ac:dyDescent="0.3"/>
    <row r="10972" s="160" customFormat="1" x14ac:dyDescent="0.3"/>
    <row r="10973" s="160" customFormat="1" x14ac:dyDescent="0.3"/>
    <row r="10974" s="160" customFormat="1" x14ac:dyDescent="0.3"/>
    <row r="10975" s="160" customFormat="1" x14ac:dyDescent="0.3"/>
    <row r="10976" s="160" customFormat="1" x14ac:dyDescent="0.3"/>
    <row r="10977" s="160" customFormat="1" x14ac:dyDescent="0.3"/>
    <row r="10978" s="160" customFormat="1" x14ac:dyDescent="0.3"/>
    <row r="10979" s="160" customFormat="1" x14ac:dyDescent="0.3"/>
    <row r="10980" s="160" customFormat="1" x14ac:dyDescent="0.3"/>
    <row r="10981" s="160" customFormat="1" x14ac:dyDescent="0.3"/>
    <row r="10982" s="160" customFormat="1" x14ac:dyDescent="0.3"/>
    <row r="10983" s="160" customFormat="1" x14ac:dyDescent="0.3"/>
    <row r="10984" s="160" customFormat="1" x14ac:dyDescent="0.3"/>
    <row r="10985" s="160" customFormat="1" x14ac:dyDescent="0.3"/>
    <row r="10986" s="160" customFormat="1" x14ac:dyDescent="0.3"/>
    <row r="10987" s="160" customFormat="1" x14ac:dyDescent="0.3"/>
    <row r="10988" s="160" customFormat="1" x14ac:dyDescent="0.3"/>
    <row r="10989" s="160" customFormat="1" x14ac:dyDescent="0.3"/>
    <row r="10990" s="160" customFormat="1" x14ac:dyDescent="0.3"/>
    <row r="10991" s="160" customFormat="1" x14ac:dyDescent="0.3"/>
    <row r="10992" s="160" customFormat="1" x14ac:dyDescent="0.3"/>
    <row r="10993" s="160" customFormat="1" x14ac:dyDescent="0.3"/>
    <row r="10994" s="160" customFormat="1" x14ac:dyDescent="0.3"/>
    <row r="10995" s="160" customFormat="1" x14ac:dyDescent="0.3"/>
    <row r="10996" s="160" customFormat="1" x14ac:dyDescent="0.3"/>
    <row r="10997" s="160" customFormat="1" x14ac:dyDescent="0.3"/>
    <row r="10998" s="160" customFormat="1" x14ac:dyDescent="0.3"/>
    <row r="10999" s="160" customFormat="1" x14ac:dyDescent="0.3"/>
    <row r="11000" s="160" customFormat="1" x14ac:dyDescent="0.3"/>
    <row r="11001" s="160" customFormat="1" x14ac:dyDescent="0.3"/>
    <row r="11002" s="160" customFormat="1" x14ac:dyDescent="0.3"/>
    <row r="11003" s="160" customFormat="1" x14ac:dyDescent="0.3"/>
    <row r="11004" s="160" customFormat="1" x14ac:dyDescent="0.3"/>
    <row r="11005" s="160" customFormat="1" x14ac:dyDescent="0.3"/>
    <row r="11006" s="160" customFormat="1" x14ac:dyDescent="0.3"/>
    <row r="11007" s="160" customFormat="1" x14ac:dyDescent="0.3"/>
    <row r="11008" s="160" customFormat="1" x14ac:dyDescent="0.3"/>
    <row r="11009" s="160" customFormat="1" x14ac:dyDescent="0.3"/>
    <row r="11010" s="160" customFormat="1" x14ac:dyDescent="0.3"/>
    <row r="11011" s="160" customFormat="1" x14ac:dyDescent="0.3"/>
    <row r="11012" s="160" customFormat="1" x14ac:dyDescent="0.3"/>
    <row r="11013" s="160" customFormat="1" x14ac:dyDescent="0.3"/>
    <row r="11014" s="160" customFormat="1" x14ac:dyDescent="0.3"/>
    <row r="11015" s="160" customFormat="1" x14ac:dyDescent="0.3"/>
    <row r="11016" s="160" customFormat="1" x14ac:dyDescent="0.3"/>
    <row r="11017" s="160" customFormat="1" x14ac:dyDescent="0.3"/>
    <row r="11018" s="160" customFormat="1" x14ac:dyDescent="0.3"/>
    <row r="11019" s="160" customFormat="1" x14ac:dyDescent="0.3"/>
    <row r="11020" s="160" customFormat="1" x14ac:dyDescent="0.3"/>
    <row r="11021" s="160" customFormat="1" x14ac:dyDescent="0.3"/>
    <row r="11022" s="160" customFormat="1" x14ac:dyDescent="0.3"/>
    <row r="11023" s="160" customFormat="1" x14ac:dyDescent="0.3"/>
    <row r="11024" s="160" customFormat="1" x14ac:dyDescent="0.3"/>
    <row r="11025" s="160" customFormat="1" x14ac:dyDescent="0.3"/>
    <row r="11026" s="160" customFormat="1" x14ac:dyDescent="0.3"/>
    <row r="11027" s="160" customFormat="1" x14ac:dyDescent="0.3"/>
    <row r="11028" s="160" customFormat="1" x14ac:dyDescent="0.3"/>
    <row r="11029" s="160" customFormat="1" x14ac:dyDescent="0.3"/>
    <row r="11030" s="160" customFormat="1" x14ac:dyDescent="0.3"/>
    <row r="11031" s="160" customFormat="1" x14ac:dyDescent="0.3"/>
    <row r="11032" s="160" customFormat="1" x14ac:dyDescent="0.3"/>
    <row r="11033" s="160" customFormat="1" x14ac:dyDescent="0.3"/>
    <row r="11034" s="160" customFormat="1" x14ac:dyDescent="0.3"/>
    <row r="11035" s="160" customFormat="1" x14ac:dyDescent="0.3"/>
    <row r="11036" s="160" customFormat="1" x14ac:dyDescent="0.3"/>
    <row r="11037" s="160" customFormat="1" x14ac:dyDescent="0.3"/>
    <row r="11038" s="160" customFormat="1" x14ac:dyDescent="0.3"/>
    <row r="11039" s="160" customFormat="1" x14ac:dyDescent="0.3"/>
    <row r="11040" s="160" customFormat="1" x14ac:dyDescent="0.3"/>
    <row r="11041" s="160" customFormat="1" x14ac:dyDescent="0.3"/>
    <row r="11042" s="160" customFormat="1" x14ac:dyDescent="0.3"/>
    <row r="11043" s="160" customFormat="1" x14ac:dyDescent="0.3"/>
    <row r="11044" s="160" customFormat="1" x14ac:dyDescent="0.3"/>
    <row r="11045" s="160" customFormat="1" x14ac:dyDescent="0.3"/>
    <row r="11046" s="160" customFormat="1" x14ac:dyDescent="0.3"/>
    <row r="11047" s="160" customFormat="1" x14ac:dyDescent="0.3"/>
    <row r="11048" s="160" customFormat="1" x14ac:dyDescent="0.3"/>
    <row r="11049" s="160" customFormat="1" x14ac:dyDescent="0.3"/>
    <row r="11050" s="160" customFormat="1" x14ac:dyDescent="0.3"/>
    <row r="11051" s="160" customFormat="1" x14ac:dyDescent="0.3"/>
    <row r="11052" s="160" customFormat="1" x14ac:dyDescent="0.3"/>
    <row r="11053" s="160" customFormat="1" x14ac:dyDescent="0.3"/>
    <row r="11054" s="160" customFormat="1" x14ac:dyDescent="0.3"/>
    <row r="11055" s="160" customFormat="1" x14ac:dyDescent="0.3"/>
    <row r="11056" s="160" customFormat="1" x14ac:dyDescent="0.3"/>
    <row r="11057" s="160" customFormat="1" x14ac:dyDescent="0.3"/>
    <row r="11058" s="160" customFormat="1" x14ac:dyDescent="0.3"/>
    <row r="11059" s="160" customFormat="1" x14ac:dyDescent="0.3"/>
    <row r="11060" s="160" customFormat="1" x14ac:dyDescent="0.3"/>
    <row r="11061" s="160" customFormat="1" x14ac:dyDescent="0.3"/>
    <row r="11062" s="160" customFormat="1" x14ac:dyDescent="0.3"/>
    <row r="11063" s="160" customFormat="1" x14ac:dyDescent="0.3"/>
    <row r="11064" s="160" customFormat="1" x14ac:dyDescent="0.3"/>
    <row r="11065" s="160" customFormat="1" x14ac:dyDescent="0.3"/>
    <row r="11066" s="160" customFormat="1" x14ac:dyDescent="0.3"/>
    <row r="11067" s="160" customFormat="1" x14ac:dyDescent="0.3"/>
    <row r="11068" s="160" customFormat="1" x14ac:dyDescent="0.3"/>
    <row r="11069" s="160" customFormat="1" x14ac:dyDescent="0.3"/>
    <row r="11070" s="160" customFormat="1" x14ac:dyDescent="0.3"/>
    <row r="11071" s="160" customFormat="1" x14ac:dyDescent="0.3"/>
    <row r="11072" s="160" customFormat="1" x14ac:dyDescent="0.3"/>
    <row r="11073" s="160" customFormat="1" x14ac:dyDescent="0.3"/>
    <row r="11074" s="160" customFormat="1" x14ac:dyDescent="0.3"/>
    <row r="11075" s="160" customFormat="1" x14ac:dyDescent="0.3"/>
    <row r="11076" s="160" customFormat="1" x14ac:dyDescent="0.3"/>
    <row r="11077" s="160" customFormat="1" x14ac:dyDescent="0.3"/>
    <row r="11078" s="160" customFormat="1" x14ac:dyDescent="0.3"/>
    <row r="11079" s="160" customFormat="1" x14ac:dyDescent="0.3"/>
    <row r="11080" s="160" customFormat="1" x14ac:dyDescent="0.3"/>
    <row r="11081" s="160" customFormat="1" x14ac:dyDescent="0.3"/>
    <row r="11082" s="160" customFormat="1" x14ac:dyDescent="0.3"/>
    <row r="11083" s="160" customFormat="1" x14ac:dyDescent="0.3"/>
    <row r="11084" s="160" customFormat="1" x14ac:dyDescent="0.3"/>
    <row r="11085" s="160" customFormat="1" x14ac:dyDescent="0.3"/>
    <row r="11086" s="160" customFormat="1" x14ac:dyDescent="0.3"/>
    <row r="11087" s="160" customFormat="1" x14ac:dyDescent="0.3"/>
    <row r="11088" s="160" customFormat="1" x14ac:dyDescent="0.3"/>
    <row r="11089" s="160" customFormat="1" x14ac:dyDescent="0.3"/>
    <row r="11090" s="160" customFormat="1" x14ac:dyDescent="0.3"/>
    <row r="11091" s="160" customFormat="1" x14ac:dyDescent="0.3"/>
    <row r="11092" s="160" customFormat="1" x14ac:dyDescent="0.3"/>
    <row r="11093" s="160" customFormat="1" x14ac:dyDescent="0.3"/>
    <row r="11094" s="160" customFormat="1" x14ac:dyDescent="0.3"/>
    <row r="11095" s="160" customFormat="1" x14ac:dyDescent="0.3"/>
    <row r="11096" s="160" customFormat="1" x14ac:dyDescent="0.3"/>
    <row r="11097" s="160" customFormat="1" x14ac:dyDescent="0.3"/>
    <row r="11098" s="160" customFormat="1" x14ac:dyDescent="0.3"/>
    <row r="11099" s="160" customFormat="1" x14ac:dyDescent="0.3"/>
    <row r="11100" s="160" customFormat="1" x14ac:dyDescent="0.3"/>
    <row r="11101" s="160" customFormat="1" x14ac:dyDescent="0.3"/>
    <row r="11102" s="160" customFormat="1" x14ac:dyDescent="0.3"/>
    <row r="11103" s="160" customFormat="1" x14ac:dyDescent="0.3"/>
    <row r="11104" s="160" customFormat="1" x14ac:dyDescent="0.3"/>
    <row r="11105" s="160" customFormat="1" x14ac:dyDescent="0.3"/>
    <row r="11106" s="160" customFormat="1" x14ac:dyDescent="0.3"/>
    <row r="11107" s="160" customFormat="1" x14ac:dyDescent="0.3"/>
    <row r="11108" s="160" customFormat="1" x14ac:dyDescent="0.3"/>
    <row r="11109" s="160" customFormat="1" x14ac:dyDescent="0.3"/>
    <row r="11110" s="160" customFormat="1" x14ac:dyDescent="0.3"/>
    <row r="11111" s="160" customFormat="1" x14ac:dyDescent="0.3"/>
    <row r="11112" s="160" customFormat="1" x14ac:dyDescent="0.3"/>
    <row r="11113" s="160" customFormat="1" x14ac:dyDescent="0.3"/>
    <row r="11114" s="160" customFormat="1" x14ac:dyDescent="0.3"/>
    <row r="11115" s="160" customFormat="1" x14ac:dyDescent="0.3"/>
    <row r="11116" s="160" customFormat="1" x14ac:dyDescent="0.3"/>
    <row r="11117" s="160" customFormat="1" x14ac:dyDescent="0.3"/>
    <row r="11118" s="160" customFormat="1" x14ac:dyDescent="0.3"/>
    <row r="11119" s="160" customFormat="1" x14ac:dyDescent="0.3"/>
    <row r="11120" s="160" customFormat="1" x14ac:dyDescent="0.3"/>
    <row r="11121" s="160" customFormat="1" x14ac:dyDescent="0.3"/>
    <row r="11122" s="160" customFormat="1" x14ac:dyDescent="0.3"/>
    <row r="11123" s="160" customFormat="1" x14ac:dyDescent="0.3"/>
    <row r="11124" s="160" customFormat="1" x14ac:dyDescent="0.3"/>
    <row r="11125" s="160" customFormat="1" x14ac:dyDescent="0.3"/>
    <row r="11126" s="160" customFormat="1" x14ac:dyDescent="0.3"/>
    <row r="11127" s="160" customFormat="1" x14ac:dyDescent="0.3"/>
    <row r="11128" s="160" customFormat="1" x14ac:dyDescent="0.3"/>
    <row r="11129" s="160" customFormat="1" x14ac:dyDescent="0.3"/>
    <row r="11130" s="160" customFormat="1" x14ac:dyDescent="0.3"/>
    <row r="11131" s="160" customFormat="1" x14ac:dyDescent="0.3"/>
    <row r="11132" s="160" customFormat="1" x14ac:dyDescent="0.3"/>
    <row r="11133" s="160" customFormat="1" x14ac:dyDescent="0.3"/>
    <row r="11134" s="160" customFormat="1" x14ac:dyDescent="0.3"/>
    <row r="11135" s="160" customFormat="1" x14ac:dyDescent="0.3"/>
    <row r="11136" s="160" customFormat="1" x14ac:dyDescent="0.3"/>
    <row r="11137" s="160" customFormat="1" x14ac:dyDescent="0.3"/>
    <row r="11138" s="160" customFormat="1" x14ac:dyDescent="0.3"/>
    <row r="11139" s="160" customFormat="1" x14ac:dyDescent="0.3"/>
    <row r="11140" s="160" customFormat="1" x14ac:dyDescent="0.3"/>
    <row r="11141" s="160" customFormat="1" x14ac:dyDescent="0.3"/>
    <row r="11142" s="160" customFormat="1" x14ac:dyDescent="0.3"/>
    <row r="11143" s="160" customFormat="1" x14ac:dyDescent="0.3"/>
    <row r="11144" s="160" customFormat="1" x14ac:dyDescent="0.3"/>
    <row r="11145" s="160" customFormat="1" x14ac:dyDescent="0.3"/>
    <row r="11146" s="160" customFormat="1" x14ac:dyDescent="0.3"/>
    <row r="11147" s="160" customFormat="1" x14ac:dyDescent="0.3"/>
    <row r="11148" s="160" customFormat="1" x14ac:dyDescent="0.3"/>
    <row r="11149" s="160" customFormat="1" x14ac:dyDescent="0.3"/>
    <row r="11150" s="160" customFormat="1" x14ac:dyDescent="0.3"/>
    <row r="11151" s="160" customFormat="1" x14ac:dyDescent="0.3"/>
    <row r="11152" s="160" customFormat="1" x14ac:dyDescent="0.3"/>
    <row r="11153" s="160" customFormat="1" x14ac:dyDescent="0.3"/>
    <row r="11154" s="160" customFormat="1" x14ac:dyDescent="0.3"/>
    <row r="11155" s="160" customFormat="1" x14ac:dyDescent="0.3"/>
    <row r="11156" s="160" customFormat="1" x14ac:dyDescent="0.3"/>
    <row r="11157" s="160" customFormat="1" x14ac:dyDescent="0.3"/>
    <row r="11158" s="160" customFormat="1" x14ac:dyDescent="0.3"/>
    <row r="11159" s="160" customFormat="1" x14ac:dyDescent="0.3"/>
    <row r="11160" s="160" customFormat="1" x14ac:dyDescent="0.3"/>
    <row r="11161" s="160" customFormat="1" x14ac:dyDescent="0.3"/>
    <row r="11162" s="160" customFormat="1" x14ac:dyDescent="0.3"/>
    <row r="11163" s="160" customFormat="1" x14ac:dyDescent="0.3"/>
    <row r="11164" s="160" customFormat="1" x14ac:dyDescent="0.3"/>
    <row r="11165" s="160" customFormat="1" x14ac:dyDescent="0.3"/>
    <row r="11166" s="160" customFormat="1" x14ac:dyDescent="0.3"/>
    <row r="11167" s="160" customFormat="1" x14ac:dyDescent="0.3"/>
    <row r="11168" s="160" customFormat="1" x14ac:dyDescent="0.3"/>
    <row r="11169" s="160" customFormat="1" x14ac:dyDescent="0.3"/>
    <row r="11170" s="160" customFormat="1" x14ac:dyDescent="0.3"/>
    <row r="11171" s="160" customFormat="1" x14ac:dyDescent="0.3"/>
    <row r="11172" s="160" customFormat="1" x14ac:dyDescent="0.3"/>
    <row r="11173" s="160" customFormat="1" x14ac:dyDescent="0.3"/>
    <row r="11174" s="160" customFormat="1" x14ac:dyDescent="0.3"/>
    <row r="11175" s="160" customFormat="1" x14ac:dyDescent="0.3"/>
    <row r="11176" s="160" customFormat="1" x14ac:dyDescent="0.3"/>
    <row r="11177" s="160" customFormat="1" x14ac:dyDescent="0.3"/>
    <row r="11178" s="160" customFormat="1" x14ac:dyDescent="0.3"/>
    <row r="11179" s="160" customFormat="1" x14ac:dyDescent="0.3"/>
    <row r="11180" s="160" customFormat="1" x14ac:dyDescent="0.3"/>
    <row r="11181" s="160" customFormat="1" x14ac:dyDescent="0.3"/>
    <row r="11182" s="160" customFormat="1" x14ac:dyDescent="0.3"/>
    <row r="11183" s="160" customFormat="1" x14ac:dyDescent="0.3"/>
    <row r="11184" s="160" customFormat="1" x14ac:dyDescent="0.3"/>
    <row r="11185" s="160" customFormat="1" x14ac:dyDescent="0.3"/>
    <row r="11186" s="160" customFormat="1" x14ac:dyDescent="0.3"/>
    <row r="11187" s="160" customFormat="1" x14ac:dyDescent="0.3"/>
    <row r="11188" s="160" customFormat="1" x14ac:dyDescent="0.3"/>
    <row r="11189" s="160" customFormat="1" x14ac:dyDescent="0.3"/>
    <row r="11190" s="160" customFormat="1" x14ac:dyDescent="0.3"/>
    <row r="11191" s="160" customFormat="1" x14ac:dyDescent="0.3"/>
    <row r="11192" s="160" customFormat="1" x14ac:dyDescent="0.3"/>
    <row r="11193" s="160" customFormat="1" x14ac:dyDescent="0.3"/>
    <row r="11194" s="160" customFormat="1" x14ac:dyDescent="0.3"/>
    <row r="11195" s="160" customFormat="1" x14ac:dyDescent="0.3"/>
    <row r="11196" s="160" customFormat="1" x14ac:dyDescent="0.3"/>
    <row r="11197" s="160" customFormat="1" x14ac:dyDescent="0.3"/>
    <row r="11198" s="160" customFormat="1" x14ac:dyDescent="0.3"/>
    <row r="11199" s="160" customFormat="1" x14ac:dyDescent="0.3"/>
    <row r="11200" s="160" customFormat="1" x14ac:dyDescent="0.3"/>
    <row r="11201" s="160" customFormat="1" x14ac:dyDescent="0.3"/>
    <row r="11202" s="160" customFormat="1" x14ac:dyDescent="0.3"/>
    <row r="11203" s="160" customFormat="1" x14ac:dyDescent="0.3"/>
    <row r="11204" s="160" customFormat="1" x14ac:dyDescent="0.3"/>
    <row r="11205" s="160" customFormat="1" x14ac:dyDescent="0.3"/>
    <row r="11206" s="160" customFormat="1" x14ac:dyDescent="0.3"/>
    <row r="11207" s="160" customFormat="1" x14ac:dyDescent="0.3"/>
    <row r="11208" s="160" customFormat="1" x14ac:dyDescent="0.3"/>
    <row r="11209" s="160" customFormat="1" x14ac:dyDescent="0.3"/>
    <row r="11210" s="160" customFormat="1" x14ac:dyDescent="0.3"/>
    <row r="11211" s="160" customFormat="1" x14ac:dyDescent="0.3"/>
    <row r="11212" s="160" customFormat="1" x14ac:dyDescent="0.3"/>
    <row r="11213" s="160" customFormat="1" x14ac:dyDescent="0.3"/>
    <row r="11214" s="160" customFormat="1" x14ac:dyDescent="0.3"/>
    <row r="11215" s="160" customFormat="1" x14ac:dyDescent="0.3"/>
    <row r="11216" s="160" customFormat="1" x14ac:dyDescent="0.3"/>
    <row r="11217" s="160" customFormat="1" x14ac:dyDescent="0.3"/>
    <row r="11218" s="160" customFormat="1" x14ac:dyDescent="0.3"/>
    <row r="11219" s="160" customFormat="1" x14ac:dyDescent="0.3"/>
    <row r="11220" s="160" customFormat="1" x14ac:dyDescent="0.3"/>
    <row r="11221" s="160" customFormat="1" x14ac:dyDescent="0.3"/>
    <row r="11222" s="160" customFormat="1" x14ac:dyDescent="0.3"/>
    <row r="11223" s="160" customFormat="1" x14ac:dyDescent="0.3"/>
    <row r="11224" s="160" customFormat="1" x14ac:dyDescent="0.3"/>
    <row r="11225" s="160" customFormat="1" x14ac:dyDescent="0.3"/>
    <row r="11226" s="160" customFormat="1" x14ac:dyDescent="0.3"/>
    <row r="11227" s="160" customFormat="1" x14ac:dyDescent="0.3"/>
    <row r="11228" s="160" customFormat="1" x14ac:dyDescent="0.3"/>
    <row r="11229" s="160" customFormat="1" x14ac:dyDescent="0.3"/>
    <row r="11230" s="160" customFormat="1" x14ac:dyDescent="0.3"/>
    <row r="11231" s="160" customFormat="1" x14ac:dyDescent="0.3"/>
    <row r="11232" s="160" customFormat="1" x14ac:dyDescent="0.3"/>
    <row r="11233" s="160" customFormat="1" x14ac:dyDescent="0.3"/>
    <row r="11234" s="160" customFormat="1" x14ac:dyDescent="0.3"/>
    <row r="11235" s="160" customFormat="1" x14ac:dyDescent="0.3"/>
    <row r="11236" s="160" customFormat="1" x14ac:dyDescent="0.3"/>
    <row r="11237" s="160" customFormat="1" x14ac:dyDescent="0.3"/>
    <row r="11238" s="160" customFormat="1" x14ac:dyDescent="0.3"/>
    <row r="11239" s="160" customFormat="1" x14ac:dyDescent="0.3"/>
    <row r="11240" s="160" customFormat="1" x14ac:dyDescent="0.3"/>
    <row r="11241" s="160" customFormat="1" x14ac:dyDescent="0.3"/>
    <row r="11242" s="160" customFormat="1" x14ac:dyDescent="0.3"/>
    <row r="11243" s="160" customFormat="1" x14ac:dyDescent="0.3"/>
    <row r="11244" s="160" customFormat="1" x14ac:dyDescent="0.3"/>
    <row r="11245" s="160" customFormat="1" x14ac:dyDescent="0.3"/>
    <row r="11246" s="160" customFormat="1" x14ac:dyDescent="0.3"/>
    <row r="11247" s="160" customFormat="1" x14ac:dyDescent="0.3"/>
    <row r="11248" s="160" customFormat="1" x14ac:dyDescent="0.3"/>
    <row r="11249" s="160" customFormat="1" x14ac:dyDescent="0.3"/>
    <row r="11250" s="160" customFormat="1" x14ac:dyDescent="0.3"/>
    <row r="11251" s="160" customFormat="1" x14ac:dyDescent="0.3"/>
    <row r="11252" s="160" customFormat="1" x14ac:dyDescent="0.3"/>
    <row r="11253" s="160" customFormat="1" x14ac:dyDescent="0.3"/>
    <row r="11254" s="160" customFormat="1" x14ac:dyDescent="0.3"/>
    <row r="11255" s="160" customFormat="1" x14ac:dyDescent="0.3"/>
    <row r="11256" s="160" customFormat="1" x14ac:dyDescent="0.3"/>
    <row r="11257" s="160" customFormat="1" x14ac:dyDescent="0.3"/>
    <row r="11258" s="160" customFormat="1" x14ac:dyDescent="0.3"/>
    <row r="11259" s="160" customFormat="1" x14ac:dyDescent="0.3"/>
    <row r="11260" s="160" customFormat="1" x14ac:dyDescent="0.3"/>
    <row r="11261" s="160" customFormat="1" x14ac:dyDescent="0.3"/>
    <row r="11262" s="160" customFormat="1" x14ac:dyDescent="0.3"/>
    <row r="11263" s="160" customFormat="1" x14ac:dyDescent="0.3"/>
    <row r="11264" s="160" customFormat="1" x14ac:dyDescent="0.3"/>
    <row r="11265" s="160" customFormat="1" x14ac:dyDescent="0.3"/>
    <row r="11266" s="160" customFormat="1" x14ac:dyDescent="0.3"/>
    <row r="11267" s="160" customFormat="1" x14ac:dyDescent="0.3"/>
    <row r="11268" s="160" customFormat="1" x14ac:dyDescent="0.3"/>
    <row r="11269" s="160" customFormat="1" x14ac:dyDescent="0.3"/>
    <row r="11270" s="160" customFormat="1" x14ac:dyDescent="0.3"/>
    <row r="11271" s="160" customFormat="1" x14ac:dyDescent="0.3"/>
    <row r="11272" s="160" customFormat="1" x14ac:dyDescent="0.3"/>
    <row r="11273" s="160" customFormat="1" x14ac:dyDescent="0.3"/>
    <row r="11274" s="160" customFormat="1" x14ac:dyDescent="0.3"/>
    <row r="11275" s="160" customFormat="1" x14ac:dyDescent="0.3"/>
    <row r="11276" s="160" customFormat="1" x14ac:dyDescent="0.3"/>
    <row r="11277" s="160" customFormat="1" x14ac:dyDescent="0.3"/>
    <row r="11278" s="160" customFormat="1" x14ac:dyDescent="0.3"/>
    <row r="11279" s="160" customFormat="1" x14ac:dyDescent="0.3"/>
    <row r="11280" s="160" customFormat="1" x14ac:dyDescent="0.3"/>
    <row r="11281" s="160" customFormat="1" x14ac:dyDescent="0.3"/>
    <row r="11282" s="160" customFormat="1" x14ac:dyDescent="0.3"/>
    <row r="11283" s="160" customFormat="1" x14ac:dyDescent="0.3"/>
    <row r="11284" s="160" customFormat="1" x14ac:dyDescent="0.3"/>
    <row r="11285" s="160" customFormat="1" x14ac:dyDescent="0.3"/>
    <row r="11286" s="160" customFormat="1" x14ac:dyDescent="0.3"/>
    <row r="11287" s="160" customFormat="1" x14ac:dyDescent="0.3"/>
    <row r="11288" s="160" customFormat="1" x14ac:dyDescent="0.3"/>
    <row r="11289" s="160" customFormat="1" x14ac:dyDescent="0.3"/>
    <row r="11290" s="160" customFormat="1" x14ac:dyDescent="0.3"/>
    <row r="11291" s="160" customFormat="1" x14ac:dyDescent="0.3"/>
    <row r="11292" s="160" customFormat="1" x14ac:dyDescent="0.3"/>
    <row r="11293" s="160" customFormat="1" x14ac:dyDescent="0.3"/>
    <row r="11294" s="160" customFormat="1" x14ac:dyDescent="0.3"/>
    <row r="11295" s="160" customFormat="1" x14ac:dyDescent="0.3"/>
    <row r="11296" s="160" customFormat="1" x14ac:dyDescent="0.3"/>
    <row r="11297" s="160" customFormat="1" x14ac:dyDescent="0.3"/>
    <row r="11298" s="160" customFormat="1" x14ac:dyDescent="0.3"/>
    <row r="11299" s="160" customFormat="1" x14ac:dyDescent="0.3"/>
    <row r="11300" s="160" customFormat="1" x14ac:dyDescent="0.3"/>
    <row r="11301" s="160" customFormat="1" x14ac:dyDescent="0.3"/>
    <row r="11302" s="160" customFormat="1" x14ac:dyDescent="0.3"/>
    <row r="11303" s="160" customFormat="1" x14ac:dyDescent="0.3"/>
    <row r="11304" s="160" customFormat="1" x14ac:dyDescent="0.3"/>
    <row r="11305" s="160" customFormat="1" x14ac:dyDescent="0.3"/>
    <row r="11306" s="160" customFormat="1" x14ac:dyDescent="0.3"/>
    <row r="11307" s="160" customFormat="1" x14ac:dyDescent="0.3"/>
    <row r="11308" s="160" customFormat="1" x14ac:dyDescent="0.3"/>
    <row r="11309" s="160" customFormat="1" x14ac:dyDescent="0.3"/>
    <row r="11310" s="160" customFormat="1" x14ac:dyDescent="0.3"/>
    <row r="11311" s="160" customFormat="1" x14ac:dyDescent="0.3"/>
    <row r="11312" s="160" customFormat="1" x14ac:dyDescent="0.3"/>
    <row r="11313" s="160" customFormat="1" x14ac:dyDescent="0.3"/>
    <row r="11314" s="160" customFormat="1" x14ac:dyDescent="0.3"/>
    <row r="11315" s="160" customFormat="1" x14ac:dyDescent="0.3"/>
    <row r="11316" s="160" customFormat="1" x14ac:dyDescent="0.3"/>
    <row r="11317" s="160" customFormat="1" x14ac:dyDescent="0.3"/>
    <row r="11318" s="160" customFormat="1" x14ac:dyDescent="0.3"/>
    <row r="11319" s="160" customFormat="1" x14ac:dyDescent="0.3"/>
    <row r="11320" s="160" customFormat="1" x14ac:dyDescent="0.3"/>
    <row r="11321" s="160" customFormat="1" x14ac:dyDescent="0.3"/>
    <row r="11322" s="160" customFormat="1" x14ac:dyDescent="0.3"/>
    <row r="11323" s="160" customFormat="1" x14ac:dyDescent="0.3"/>
    <row r="11324" s="160" customFormat="1" x14ac:dyDescent="0.3"/>
    <row r="11325" s="160" customFormat="1" x14ac:dyDescent="0.3"/>
    <row r="11326" s="160" customFormat="1" x14ac:dyDescent="0.3"/>
    <row r="11327" s="160" customFormat="1" x14ac:dyDescent="0.3"/>
    <row r="11328" s="160" customFormat="1" x14ac:dyDescent="0.3"/>
    <row r="11329" s="160" customFormat="1" x14ac:dyDescent="0.3"/>
    <row r="11330" s="160" customFormat="1" x14ac:dyDescent="0.3"/>
    <row r="11331" s="160" customFormat="1" x14ac:dyDescent="0.3"/>
    <row r="11332" s="160" customFormat="1" x14ac:dyDescent="0.3"/>
    <row r="11333" s="160" customFormat="1" x14ac:dyDescent="0.3"/>
    <row r="11334" s="160" customFormat="1" x14ac:dyDescent="0.3"/>
    <row r="11335" s="160" customFormat="1" x14ac:dyDescent="0.3"/>
    <row r="11336" s="160" customFormat="1" x14ac:dyDescent="0.3"/>
    <row r="11337" s="160" customFormat="1" x14ac:dyDescent="0.3"/>
    <row r="11338" s="160" customFormat="1" x14ac:dyDescent="0.3"/>
    <row r="11339" s="160" customFormat="1" x14ac:dyDescent="0.3"/>
    <row r="11340" s="160" customFormat="1" x14ac:dyDescent="0.3"/>
    <row r="11341" s="160" customFormat="1" x14ac:dyDescent="0.3"/>
    <row r="11342" s="160" customFormat="1" x14ac:dyDescent="0.3"/>
    <row r="11343" s="160" customFormat="1" x14ac:dyDescent="0.3"/>
    <row r="11344" s="160" customFormat="1" x14ac:dyDescent="0.3"/>
    <row r="11345" s="160" customFormat="1" x14ac:dyDescent="0.3"/>
    <row r="11346" s="160" customFormat="1" x14ac:dyDescent="0.3"/>
    <row r="11347" s="160" customFormat="1" x14ac:dyDescent="0.3"/>
    <row r="11348" s="160" customFormat="1" x14ac:dyDescent="0.3"/>
    <row r="11349" s="160" customFormat="1" x14ac:dyDescent="0.3"/>
    <row r="11350" s="160" customFormat="1" x14ac:dyDescent="0.3"/>
    <row r="11351" s="160" customFormat="1" x14ac:dyDescent="0.3"/>
    <row r="11352" s="160" customFormat="1" x14ac:dyDescent="0.3"/>
    <row r="11353" s="160" customFormat="1" x14ac:dyDescent="0.3"/>
    <row r="11354" s="160" customFormat="1" x14ac:dyDescent="0.3"/>
    <row r="11355" s="160" customFormat="1" x14ac:dyDescent="0.3"/>
    <row r="11356" s="160" customFormat="1" x14ac:dyDescent="0.3"/>
    <row r="11357" s="160" customFormat="1" x14ac:dyDescent="0.3"/>
    <row r="11358" s="160" customFormat="1" x14ac:dyDescent="0.3"/>
    <row r="11359" s="160" customFormat="1" x14ac:dyDescent="0.3"/>
    <row r="11360" s="160" customFormat="1" x14ac:dyDescent="0.3"/>
    <row r="11361" s="160" customFormat="1" x14ac:dyDescent="0.3"/>
    <row r="11362" s="160" customFormat="1" x14ac:dyDescent="0.3"/>
    <row r="11363" s="160" customFormat="1" x14ac:dyDescent="0.3"/>
    <row r="11364" s="160" customFormat="1" x14ac:dyDescent="0.3"/>
    <row r="11365" s="160" customFormat="1" x14ac:dyDescent="0.3"/>
    <row r="11366" s="160" customFormat="1" x14ac:dyDescent="0.3"/>
    <row r="11367" s="160" customFormat="1" x14ac:dyDescent="0.3"/>
    <row r="11368" s="160" customFormat="1" x14ac:dyDescent="0.3"/>
    <row r="11369" s="160" customFormat="1" x14ac:dyDescent="0.3"/>
    <row r="11370" s="160" customFormat="1" x14ac:dyDescent="0.3"/>
    <row r="11371" s="160" customFormat="1" x14ac:dyDescent="0.3"/>
    <row r="11372" s="160" customFormat="1" x14ac:dyDescent="0.3"/>
    <row r="11373" s="160" customFormat="1" x14ac:dyDescent="0.3"/>
    <row r="11374" s="160" customFormat="1" x14ac:dyDescent="0.3"/>
    <row r="11375" s="160" customFormat="1" x14ac:dyDescent="0.3"/>
    <row r="11376" s="160" customFormat="1" x14ac:dyDescent="0.3"/>
    <row r="11377" s="160" customFormat="1" x14ac:dyDescent="0.3"/>
    <row r="11378" s="160" customFormat="1" x14ac:dyDescent="0.3"/>
    <row r="11379" s="160" customFormat="1" x14ac:dyDescent="0.3"/>
    <row r="11380" s="160" customFormat="1" x14ac:dyDescent="0.3"/>
    <row r="11381" s="160" customFormat="1" x14ac:dyDescent="0.3"/>
    <row r="11382" s="160" customFormat="1" x14ac:dyDescent="0.3"/>
    <row r="11383" s="160" customFormat="1" x14ac:dyDescent="0.3"/>
    <row r="11384" s="160" customFormat="1" x14ac:dyDescent="0.3"/>
    <row r="11385" s="160" customFormat="1" x14ac:dyDescent="0.3"/>
    <row r="11386" s="160" customFormat="1" x14ac:dyDescent="0.3"/>
    <row r="11387" s="160" customFormat="1" x14ac:dyDescent="0.3"/>
    <row r="11388" s="160" customFormat="1" x14ac:dyDescent="0.3"/>
    <row r="11389" s="160" customFormat="1" x14ac:dyDescent="0.3"/>
    <row r="11390" s="160" customFormat="1" x14ac:dyDescent="0.3"/>
    <row r="11391" s="160" customFormat="1" x14ac:dyDescent="0.3"/>
    <row r="11392" s="160" customFormat="1" x14ac:dyDescent="0.3"/>
    <row r="11393" s="160" customFormat="1" x14ac:dyDescent="0.3"/>
    <row r="11394" s="160" customFormat="1" x14ac:dyDescent="0.3"/>
    <row r="11395" s="160" customFormat="1" x14ac:dyDescent="0.3"/>
    <row r="11396" s="160" customFormat="1" x14ac:dyDescent="0.3"/>
    <row r="11397" s="160" customFormat="1" x14ac:dyDescent="0.3"/>
    <row r="11398" s="160" customFormat="1" x14ac:dyDescent="0.3"/>
    <row r="11399" s="160" customFormat="1" x14ac:dyDescent="0.3"/>
    <row r="11400" s="160" customFormat="1" x14ac:dyDescent="0.3"/>
    <row r="11401" s="160" customFormat="1" x14ac:dyDescent="0.3"/>
    <row r="11402" s="160" customFormat="1" x14ac:dyDescent="0.3"/>
    <row r="11403" s="160" customFormat="1" x14ac:dyDescent="0.3"/>
    <row r="11404" s="160" customFormat="1" x14ac:dyDescent="0.3"/>
    <row r="11405" s="160" customFormat="1" x14ac:dyDescent="0.3"/>
    <row r="11406" s="160" customFormat="1" x14ac:dyDescent="0.3"/>
    <row r="11407" s="160" customFormat="1" x14ac:dyDescent="0.3"/>
    <row r="11408" s="160" customFormat="1" x14ac:dyDescent="0.3"/>
    <row r="11409" s="160" customFormat="1" x14ac:dyDescent="0.3"/>
    <row r="11410" s="160" customFormat="1" x14ac:dyDescent="0.3"/>
    <row r="11411" s="160" customFormat="1" x14ac:dyDescent="0.3"/>
    <row r="11412" s="160" customFormat="1" x14ac:dyDescent="0.3"/>
    <row r="11413" s="160" customFormat="1" x14ac:dyDescent="0.3"/>
    <row r="11414" s="160" customFormat="1" x14ac:dyDescent="0.3"/>
    <row r="11415" s="160" customFormat="1" x14ac:dyDescent="0.3"/>
    <row r="11416" s="160" customFormat="1" x14ac:dyDescent="0.3"/>
    <row r="11417" s="160" customFormat="1" x14ac:dyDescent="0.3"/>
    <row r="11418" s="160" customFormat="1" x14ac:dyDescent="0.3"/>
    <row r="11419" s="160" customFormat="1" x14ac:dyDescent="0.3"/>
    <row r="11420" s="160" customFormat="1" x14ac:dyDescent="0.3"/>
    <row r="11421" s="160" customFormat="1" x14ac:dyDescent="0.3"/>
    <row r="11422" s="160" customFormat="1" x14ac:dyDescent="0.3"/>
    <row r="11423" s="160" customFormat="1" x14ac:dyDescent="0.3"/>
    <row r="11424" s="160" customFormat="1" x14ac:dyDescent="0.3"/>
    <row r="11425" s="160" customFormat="1" x14ac:dyDescent="0.3"/>
    <row r="11426" s="160" customFormat="1" x14ac:dyDescent="0.3"/>
    <row r="11427" s="160" customFormat="1" x14ac:dyDescent="0.3"/>
    <row r="11428" s="160" customFormat="1" x14ac:dyDescent="0.3"/>
    <row r="11429" s="160" customFormat="1" x14ac:dyDescent="0.3"/>
    <row r="11430" s="160" customFormat="1" x14ac:dyDescent="0.3"/>
    <row r="11431" s="160" customFormat="1" x14ac:dyDescent="0.3"/>
    <row r="11432" s="160" customFormat="1" x14ac:dyDescent="0.3"/>
    <row r="11433" s="160" customFormat="1" x14ac:dyDescent="0.3"/>
    <row r="11434" s="160" customFormat="1" x14ac:dyDescent="0.3"/>
    <row r="11435" s="160" customFormat="1" x14ac:dyDescent="0.3"/>
    <row r="11436" s="160" customFormat="1" x14ac:dyDescent="0.3"/>
    <row r="11437" s="160" customFormat="1" x14ac:dyDescent="0.3"/>
    <row r="11438" s="160" customFormat="1" x14ac:dyDescent="0.3"/>
    <row r="11439" s="160" customFormat="1" x14ac:dyDescent="0.3"/>
    <row r="11440" s="160" customFormat="1" x14ac:dyDescent="0.3"/>
    <row r="11441" s="160" customFormat="1" x14ac:dyDescent="0.3"/>
    <row r="11442" s="160" customFormat="1" x14ac:dyDescent="0.3"/>
    <row r="11443" s="160" customFormat="1" x14ac:dyDescent="0.3"/>
    <row r="11444" s="160" customFormat="1" x14ac:dyDescent="0.3"/>
    <row r="11445" s="160" customFormat="1" x14ac:dyDescent="0.3"/>
    <row r="11446" s="160" customFormat="1" x14ac:dyDescent="0.3"/>
    <row r="11447" s="160" customFormat="1" x14ac:dyDescent="0.3"/>
    <row r="11448" s="160" customFormat="1" x14ac:dyDescent="0.3"/>
    <row r="11449" s="160" customFormat="1" x14ac:dyDescent="0.3"/>
    <row r="11450" s="160" customFormat="1" x14ac:dyDescent="0.3"/>
    <row r="11451" s="160" customFormat="1" x14ac:dyDescent="0.3"/>
    <row r="11452" s="160" customFormat="1" x14ac:dyDescent="0.3"/>
    <row r="11453" s="160" customFormat="1" x14ac:dyDescent="0.3"/>
    <row r="11454" s="160" customFormat="1" x14ac:dyDescent="0.3"/>
    <row r="11455" s="160" customFormat="1" x14ac:dyDescent="0.3"/>
    <row r="11456" s="160" customFormat="1" x14ac:dyDescent="0.3"/>
    <row r="11457" s="160" customFormat="1" x14ac:dyDescent="0.3"/>
    <row r="11458" s="160" customFormat="1" x14ac:dyDescent="0.3"/>
    <row r="11459" s="160" customFormat="1" x14ac:dyDescent="0.3"/>
    <row r="11460" s="160" customFormat="1" x14ac:dyDescent="0.3"/>
    <row r="11461" s="160" customFormat="1" x14ac:dyDescent="0.3"/>
    <row r="11462" s="160" customFormat="1" x14ac:dyDescent="0.3"/>
    <row r="11463" s="160" customFormat="1" x14ac:dyDescent="0.3"/>
    <row r="11464" s="160" customFormat="1" x14ac:dyDescent="0.3"/>
    <row r="11465" s="160" customFormat="1" x14ac:dyDescent="0.3"/>
    <row r="11466" s="160" customFormat="1" x14ac:dyDescent="0.3"/>
    <row r="11467" s="160" customFormat="1" x14ac:dyDescent="0.3"/>
    <row r="11468" s="160" customFormat="1" x14ac:dyDescent="0.3"/>
    <row r="11469" s="160" customFormat="1" x14ac:dyDescent="0.3"/>
    <row r="11470" s="160" customFormat="1" x14ac:dyDescent="0.3"/>
    <row r="11471" s="160" customFormat="1" x14ac:dyDescent="0.3"/>
    <row r="11472" s="160" customFormat="1" x14ac:dyDescent="0.3"/>
    <row r="11473" s="160" customFormat="1" x14ac:dyDescent="0.3"/>
    <row r="11474" s="160" customFormat="1" x14ac:dyDescent="0.3"/>
    <row r="11475" s="160" customFormat="1" x14ac:dyDescent="0.3"/>
    <row r="11476" s="160" customFormat="1" x14ac:dyDescent="0.3"/>
    <row r="11477" s="160" customFormat="1" x14ac:dyDescent="0.3"/>
    <row r="11478" s="160" customFormat="1" x14ac:dyDescent="0.3"/>
    <row r="11479" s="160" customFormat="1" x14ac:dyDescent="0.3"/>
    <row r="11480" s="160" customFormat="1" x14ac:dyDescent="0.3"/>
    <row r="11481" s="160" customFormat="1" x14ac:dyDescent="0.3"/>
    <row r="11482" s="160" customFormat="1" x14ac:dyDescent="0.3"/>
    <row r="11483" s="160" customFormat="1" x14ac:dyDescent="0.3"/>
    <row r="11484" s="160" customFormat="1" x14ac:dyDescent="0.3"/>
    <row r="11485" s="160" customFormat="1" x14ac:dyDescent="0.3"/>
    <row r="11486" s="160" customFormat="1" x14ac:dyDescent="0.3"/>
    <row r="11487" s="160" customFormat="1" x14ac:dyDescent="0.3"/>
    <row r="11488" s="160" customFormat="1" x14ac:dyDescent="0.3"/>
    <row r="11489" s="160" customFormat="1" x14ac:dyDescent="0.3"/>
    <row r="11490" s="160" customFormat="1" x14ac:dyDescent="0.3"/>
    <row r="11491" s="160" customFormat="1" x14ac:dyDescent="0.3"/>
    <row r="11492" s="160" customFormat="1" x14ac:dyDescent="0.3"/>
    <row r="11493" s="160" customFormat="1" x14ac:dyDescent="0.3"/>
    <row r="11494" s="160" customFormat="1" x14ac:dyDescent="0.3"/>
    <row r="11495" s="160" customFormat="1" x14ac:dyDescent="0.3"/>
    <row r="11496" s="160" customFormat="1" x14ac:dyDescent="0.3"/>
    <row r="11497" s="160" customFormat="1" x14ac:dyDescent="0.3"/>
    <row r="11498" s="160" customFormat="1" x14ac:dyDescent="0.3"/>
    <row r="11499" s="160" customFormat="1" x14ac:dyDescent="0.3"/>
    <row r="11500" s="160" customFormat="1" x14ac:dyDescent="0.3"/>
    <row r="11501" s="160" customFormat="1" x14ac:dyDescent="0.3"/>
    <row r="11502" s="160" customFormat="1" x14ac:dyDescent="0.3"/>
    <row r="11503" s="160" customFormat="1" x14ac:dyDescent="0.3"/>
    <row r="11504" s="160" customFormat="1" x14ac:dyDescent="0.3"/>
    <row r="11505" s="160" customFormat="1" x14ac:dyDescent="0.3"/>
    <row r="11506" s="160" customFormat="1" x14ac:dyDescent="0.3"/>
    <row r="11507" s="160" customFormat="1" x14ac:dyDescent="0.3"/>
    <row r="11508" s="160" customFormat="1" x14ac:dyDescent="0.3"/>
    <row r="11509" s="160" customFormat="1" x14ac:dyDescent="0.3"/>
    <row r="11510" s="160" customFormat="1" x14ac:dyDescent="0.3"/>
    <row r="11511" s="160" customFormat="1" x14ac:dyDescent="0.3"/>
    <row r="11512" s="160" customFormat="1" x14ac:dyDescent="0.3"/>
    <row r="11513" s="160" customFormat="1" x14ac:dyDescent="0.3"/>
    <row r="11514" s="160" customFormat="1" x14ac:dyDescent="0.3"/>
    <row r="11515" s="160" customFormat="1" x14ac:dyDescent="0.3"/>
    <row r="11516" s="160" customFormat="1" x14ac:dyDescent="0.3"/>
    <row r="11517" s="160" customFormat="1" x14ac:dyDescent="0.3"/>
    <row r="11518" s="160" customFormat="1" x14ac:dyDescent="0.3"/>
    <row r="11519" s="160" customFormat="1" x14ac:dyDescent="0.3"/>
    <row r="11520" s="160" customFormat="1" x14ac:dyDescent="0.3"/>
    <row r="11521" s="160" customFormat="1" x14ac:dyDescent="0.3"/>
    <row r="11522" s="160" customFormat="1" x14ac:dyDescent="0.3"/>
    <row r="11523" s="160" customFormat="1" x14ac:dyDescent="0.3"/>
    <row r="11524" s="160" customFormat="1" x14ac:dyDescent="0.3"/>
    <row r="11525" s="160" customFormat="1" x14ac:dyDescent="0.3"/>
    <row r="11526" s="160" customFormat="1" x14ac:dyDescent="0.3"/>
    <row r="11527" s="160" customFormat="1" x14ac:dyDescent="0.3"/>
    <row r="11528" s="160" customFormat="1" x14ac:dyDescent="0.3"/>
    <row r="11529" s="160" customFormat="1" x14ac:dyDescent="0.3"/>
    <row r="11530" s="160" customFormat="1" x14ac:dyDescent="0.3"/>
    <row r="11531" s="160" customFormat="1" x14ac:dyDescent="0.3"/>
    <row r="11532" s="160" customFormat="1" x14ac:dyDescent="0.3"/>
    <row r="11533" s="160" customFormat="1" x14ac:dyDescent="0.3"/>
    <row r="11534" s="160" customFormat="1" x14ac:dyDescent="0.3"/>
    <row r="11535" s="160" customFormat="1" x14ac:dyDescent="0.3"/>
    <row r="11536" s="160" customFormat="1" x14ac:dyDescent="0.3"/>
    <row r="11537" s="160" customFormat="1" x14ac:dyDescent="0.3"/>
    <row r="11538" s="160" customFormat="1" x14ac:dyDescent="0.3"/>
    <row r="11539" s="160" customFormat="1" x14ac:dyDescent="0.3"/>
    <row r="11540" s="160" customFormat="1" x14ac:dyDescent="0.3"/>
    <row r="11541" s="160" customFormat="1" x14ac:dyDescent="0.3"/>
    <row r="11542" s="160" customFormat="1" x14ac:dyDescent="0.3"/>
    <row r="11543" s="160" customFormat="1" x14ac:dyDescent="0.3"/>
    <row r="11544" s="160" customFormat="1" x14ac:dyDescent="0.3"/>
    <row r="11545" s="160" customFormat="1" x14ac:dyDescent="0.3"/>
    <row r="11546" s="160" customFormat="1" x14ac:dyDescent="0.3"/>
    <row r="11547" s="160" customFormat="1" x14ac:dyDescent="0.3"/>
    <row r="11548" s="160" customFormat="1" x14ac:dyDescent="0.3"/>
    <row r="11549" s="160" customFormat="1" x14ac:dyDescent="0.3"/>
    <row r="11550" s="160" customFormat="1" x14ac:dyDescent="0.3"/>
    <row r="11551" s="160" customFormat="1" x14ac:dyDescent="0.3"/>
    <row r="11552" s="160" customFormat="1" x14ac:dyDescent="0.3"/>
    <row r="11553" s="160" customFormat="1" x14ac:dyDescent="0.3"/>
    <row r="11554" s="160" customFormat="1" x14ac:dyDescent="0.3"/>
    <row r="11555" s="160" customFormat="1" x14ac:dyDescent="0.3"/>
    <row r="11556" s="160" customFormat="1" x14ac:dyDescent="0.3"/>
    <row r="11557" s="160" customFormat="1" x14ac:dyDescent="0.3"/>
    <row r="11558" s="160" customFormat="1" x14ac:dyDescent="0.3"/>
    <row r="11559" s="160" customFormat="1" x14ac:dyDescent="0.3"/>
    <row r="11560" s="160" customFormat="1" x14ac:dyDescent="0.3"/>
    <row r="11561" s="160" customFormat="1" x14ac:dyDescent="0.3"/>
    <row r="11562" s="160" customFormat="1" x14ac:dyDescent="0.3"/>
    <row r="11563" s="160" customFormat="1" x14ac:dyDescent="0.3"/>
    <row r="11564" s="160" customFormat="1" x14ac:dyDescent="0.3"/>
    <row r="11565" s="160" customFormat="1" x14ac:dyDescent="0.3"/>
    <row r="11566" s="160" customFormat="1" x14ac:dyDescent="0.3"/>
    <row r="11567" s="160" customFormat="1" x14ac:dyDescent="0.3"/>
    <row r="11568" s="160" customFormat="1" x14ac:dyDescent="0.3"/>
    <row r="11569" s="160" customFormat="1" x14ac:dyDescent="0.3"/>
    <row r="11570" s="160" customFormat="1" x14ac:dyDescent="0.3"/>
    <row r="11571" s="160" customFormat="1" x14ac:dyDescent="0.3"/>
    <row r="11572" s="160" customFormat="1" x14ac:dyDescent="0.3"/>
    <row r="11573" s="160" customFormat="1" x14ac:dyDescent="0.3"/>
    <row r="11574" s="160" customFormat="1" x14ac:dyDescent="0.3"/>
    <row r="11575" s="160" customFormat="1" x14ac:dyDescent="0.3"/>
    <row r="11576" s="160" customFormat="1" x14ac:dyDescent="0.3"/>
    <row r="11577" s="160" customFormat="1" x14ac:dyDescent="0.3"/>
    <row r="11578" s="160" customFormat="1" x14ac:dyDescent="0.3"/>
    <row r="11579" s="160" customFormat="1" x14ac:dyDescent="0.3"/>
    <row r="11580" s="160" customFormat="1" x14ac:dyDescent="0.3"/>
    <row r="11581" s="160" customFormat="1" x14ac:dyDescent="0.3"/>
    <row r="11582" s="160" customFormat="1" x14ac:dyDescent="0.3"/>
    <row r="11583" s="160" customFormat="1" x14ac:dyDescent="0.3"/>
    <row r="11584" s="160" customFormat="1" x14ac:dyDescent="0.3"/>
    <row r="11585" s="160" customFormat="1" x14ac:dyDescent="0.3"/>
    <row r="11586" s="160" customFormat="1" x14ac:dyDescent="0.3"/>
    <row r="11587" s="160" customFormat="1" x14ac:dyDescent="0.3"/>
    <row r="11588" s="160" customFormat="1" x14ac:dyDescent="0.3"/>
    <row r="11589" s="160" customFormat="1" x14ac:dyDescent="0.3"/>
    <row r="11590" s="160" customFormat="1" x14ac:dyDescent="0.3"/>
    <row r="11591" s="160" customFormat="1" x14ac:dyDescent="0.3"/>
    <row r="11592" s="160" customFormat="1" x14ac:dyDescent="0.3"/>
    <row r="11593" s="160" customFormat="1" x14ac:dyDescent="0.3"/>
    <row r="11594" s="160" customFormat="1" x14ac:dyDescent="0.3"/>
    <row r="11595" s="160" customFormat="1" x14ac:dyDescent="0.3"/>
    <row r="11596" s="160" customFormat="1" x14ac:dyDescent="0.3"/>
    <row r="11597" s="160" customFormat="1" x14ac:dyDescent="0.3"/>
    <row r="11598" s="160" customFormat="1" x14ac:dyDescent="0.3"/>
    <row r="11599" s="160" customFormat="1" x14ac:dyDescent="0.3"/>
    <row r="11600" s="160" customFormat="1" x14ac:dyDescent="0.3"/>
    <row r="11601" s="160" customFormat="1" x14ac:dyDescent="0.3"/>
    <row r="11602" s="160" customFormat="1" x14ac:dyDescent="0.3"/>
    <row r="11603" s="160" customFormat="1" x14ac:dyDescent="0.3"/>
    <row r="11604" s="160" customFormat="1" x14ac:dyDescent="0.3"/>
    <row r="11605" s="160" customFormat="1" x14ac:dyDescent="0.3"/>
    <row r="11606" s="160" customFormat="1" x14ac:dyDescent="0.3"/>
    <row r="11607" s="160" customFormat="1" x14ac:dyDescent="0.3"/>
    <row r="11608" s="160" customFormat="1" x14ac:dyDescent="0.3"/>
    <row r="11609" s="160" customFormat="1" x14ac:dyDescent="0.3"/>
    <row r="11610" s="160" customFormat="1" x14ac:dyDescent="0.3"/>
    <row r="11611" s="160" customFormat="1" x14ac:dyDescent="0.3"/>
    <row r="11612" s="160" customFormat="1" x14ac:dyDescent="0.3"/>
    <row r="11613" s="160" customFormat="1" x14ac:dyDescent="0.3"/>
    <row r="11614" s="160" customFormat="1" x14ac:dyDescent="0.3"/>
    <row r="11615" s="160" customFormat="1" x14ac:dyDescent="0.3"/>
    <row r="11616" s="160" customFormat="1" x14ac:dyDescent="0.3"/>
    <row r="11617" s="160" customFormat="1" x14ac:dyDescent="0.3"/>
    <row r="11618" s="160" customFormat="1" x14ac:dyDescent="0.3"/>
    <row r="11619" s="160" customFormat="1" x14ac:dyDescent="0.3"/>
    <row r="11620" s="160" customFormat="1" x14ac:dyDescent="0.3"/>
    <row r="11621" s="160" customFormat="1" x14ac:dyDescent="0.3"/>
    <row r="11622" s="160" customFormat="1" x14ac:dyDescent="0.3"/>
    <row r="11623" s="160" customFormat="1" x14ac:dyDescent="0.3"/>
    <row r="11624" s="160" customFormat="1" x14ac:dyDescent="0.3"/>
    <row r="11625" s="160" customFormat="1" x14ac:dyDescent="0.3"/>
    <row r="11626" s="160" customFormat="1" x14ac:dyDescent="0.3"/>
    <row r="11627" s="160" customFormat="1" x14ac:dyDescent="0.3"/>
    <row r="11628" s="160" customFormat="1" x14ac:dyDescent="0.3"/>
    <row r="11629" s="160" customFormat="1" x14ac:dyDescent="0.3"/>
    <row r="11630" s="160" customFormat="1" x14ac:dyDescent="0.3"/>
    <row r="11631" s="160" customFormat="1" x14ac:dyDescent="0.3"/>
    <row r="11632" s="160" customFormat="1" x14ac:dyDescent="0.3"/>
    <row r="11633" s="160" customFormat="1" x14ac:dyDescent="0.3"/>
    <row r="11634" s="160" customFormat="1" x14ac:dyDescent="0.3"/>
    <row r="11635" s="160" customFormat="1" x14ac:dyDescent="0.3"/>
    <row r="11636" s="160" customFormat="1" x14ac:dyDescent="0.3"/>
    <row r="11637" s="160" customFormat="1" x14ac:dyDescent="0.3"/>
    <row r="11638" s="160" customFormat="1" x14ac:dyDescent="0.3"/>
    <row r="11639" s="160" customFormat="1" x14ac:dyDescent="0.3"/>
    <row r="11640" s="160" customFormat="1" x14ac:dyDescent="0.3"/>
    <row r="11641" s="160" customFormat="1" x14ac:dyDescent="0.3"/>
    <row r="11642" s="160" customFormat="1" x14ac:dyDescent="0.3"/>
    <row r="11643" s="160" customFormat="1" x14ac:dyDescent="0.3"/>
    <row r="11644" s="160" customFormat="1" x14ac:dyDescent="0.3"/>
    <row r="11645" s="160" customFormat="1" x14ac:dyDescent="0.3"/>
    <row r="11646" s="160" customFormat="1" x14ac:dyDescent="0.3"/>
    <row r="11647" s="160" customFormat="1" x14ac:dyDescent="0.3"/>
    <row r="11648" s="160" customFormat="1" x14ac:dyDescent="0.3"/>
    <row r="11649" s="160" customFormat="1" x14ac:dyDescent="0.3"/>
    <row r="11650" s="160" customFormat="1" x14ac:dyDescent="0.3"/>
    <row r="11651" s="160" customFormat="1" x14ac:dyDescent="0.3"/>
    <row r="11652" s="160" customFormat="1" x14ac:dyDescent="0.3"/>
    <row r="11653" s="160" customFormat="1" x14ac:dyDescent="0.3"/>
    <row r="11654" s="160" customFormat="1" x14ac:dyDescent="0.3"/>
    <row r="11655" s="160" customFormat="1" x14ac:dyDescent="0.3"/>
    <row r="11656" s="160" customFormat="1" x14ac:dyDescent="0.3"/>
    <row r="11657" s="160" customFormat="1" x14ac:dyDescent="0.3"/>
    <row r="11658" s="160" customFormat="1" x14ac:dyDescent="0.3"/>
    <row r="11659" s="160" customFormat="1" x14ac:dyDescent="0.3"/>
    <row r="11660" s="160" customFormat="1" x14ac:dyDescent="0.3"/>
    <row r="11661" s="160" customFormat="1" x14ac:dyDescent="0.3"/>
    <row r="11662" s="160" customFormat="1" x14ac:dyDescent="0.3"/>
    <row r="11663" s="160" customFormat="1" x14ac:dyDescent="0.3"/>
    <row r="11664" s="160" customFormat="1" x14ac:dyDescent="0.3"/>
    <row r="11665" s="160" customFormat="1" x14ac:dyDescent="0.3"/>
    <row r="11666" s="160" customFormat="1" x14ac:dyDescent="0.3"/>
    <row r="11667" s="160" customFormat="1" x14ac:dyDescent="0.3"/>
    <row r="11668" s="160" customFormat="1" x14ac:dyDescent="0.3"/>
    <row r="11669" s="160" customFormat="1" x14ac:dyDescent="0.3"/>
    <row r="11670" s="160" customFormat="1" x14ac:dyDescent="0.3"/>
    <row r="11671" s="160" customFormat="1" x14ac:dyDescent="0.3"/>
    <row r="11672" s="160" customFormat="1" x14ac:dyDescent="0.3"/>
    <row r="11673" s="160" customFormat="1" x14ac:dyDescent="0.3"/>
    <row r="11674" s="160" customFormat="1" x14ac:dyDescent="0.3"/>
    <row r="11675" s="160" customFormat="1" x14ac:dyDescent="0.3"/>
    <row r="11676" s="160" customFormat="1" x14ac:dyDescent="0.3"/>
    <row r="11677" s="160" customFormat="1" x14ac:dyDescent="0.3"/>
    <row r="11678" s="160" customFormat="1" x14ac:dyDescent="0.3"/>
    <row r="11679" s="160" customFormat="1" x14ac:dyDescent="0.3"/>
    <row r="11680" s="160" customFormat="1" x14ac:dyDescent="0.3"/>
    <row r="11681" s="160" customFormat="1" x14ac:dyDescent="0.3"/>
    <row r="11682" s="160" customFormat="1" x14ac:dyDescent="0.3"/>
    <row r="11683" s="160" customFormat="1" x14ac:dyDescent="0.3"/>
    <row r="11684" s="160" customFormat="1" x14ac:dyDescent="0.3"/>
    <row r="11685" s="160" customFormat="1" x14ac:dyDescent="0.3"/>
    <row r="11686" s="160" customFormat="1" x14ac:dyDescent="0.3"/>
    <row r="11687" s="160" customFormat="1" x14ac:dyDescent="0.3"/>
    <row r="11688" s="160" customFormat="1" x14ac:dyDescent="0.3"/>
    <row r="11689" s="160" customFormat="1" x14ac:dyDescent="0.3"/>
    <row r="11690" s="160" customFormat="1" x14ac:dyDescent="0.3"/>
    <row r="11691" s="160" customFormat="1" x14ac:dyDescent="0.3"/>
    <row r="11692" s="160" customFormat="1" x14ac:dyDescent="0.3"/>
    <row r="11693" s="160" customFormat="1" x14ac:dyDescent="0.3"/>
    <row r="11694" s="160" customFormat="1" x14ac:dyDescent="0.3"/>
    <row r="11695" s="160" customFormat="1" x14ac:dyDescent="0.3"/>
    <row r="11696" s="160" customFormat="1" x14ac:dyDescent="0.3"/>
    <row r="11697" s="160" customFormat="1" x14ac:dyDescent="0.3"/>
    <row r="11698" s="160" customFormat="1" x14ac:dyDescent="0.3"/>
    <row r="11699" s="160" customFormat="1" x14ac:dyDescent="0.3"/>
    <row r="11700" s="160" customFormat="1" x14ac:dyDescent="0.3"/>
    <row r="11701" s="160" customFormat="1" x14ac:dyDescent="0.3"/>
    <row r="11702" s="160" customFormat="1" x14ac:dyDescent="0.3"/>
    <row r="11703" s="160" customFormat="1" x14ac:dyDescent="0.3"/>
    <row r="11704" s="160" customFormat="1" x14ac:dyDescent="0.3"/>
    <row r="11705" s="160" customFormat="1" x14ac:dyDescent="0.3"/>
    <row r="11706" s="160" customFormat="1" x14ac:dyDescent="0.3"/>
    <row r="11707" s="160" customFormat="1" x14ac:dyDescent="0.3"/>
    <row r="11708" s="160" customFormat="1" x14ac:dyDescent="0.3"/>
    <row r="11709" s="160" customFormat="1" x14ac:dyDescent="0.3"/>
    <row r="11710" s="160" customFormat="1" x14ac:dyDescent="0.3"/>
    <row r="11711" s="160" customFormat="1" x14ac:dyDescent="0.3"/>
    <row r="11712" s="160" customFormat="1" x14ac:dyDescent="0.3"/>
    <row r="11713" s="160" customFormat="1" x14ac:dyDescent="0.3"/>
    <row r="11714" s="160" customFormat="1" x14ac:dyDescent="0.3"/>
    <row r="11715" s="160" customFormat="1" x14ac:dyDescent="0.3"/>
    <row r="11716" s="160" customFormat="1" x14ac:dyDescent="0.3"/>
    <row r="11717" s="160" customFormat="1" x14ac:dyDescent="0.3"/>
    <row r="11718" s="160" customFormat="1" x14ac:dyDescent="0.3"/>
    <row r="11719" s="160" customFormat="1" x14ac:dyDescent="0.3"/>
    <row r="11720" s="160" customFormat="1" x14ac:dyDescent="0.3"/>
    <row r="11721" s="160" customFormat="1" x14ac:dyDescent="0.3"/>
    <row r="11722" s="160" customFormat="1" x14ac:dyDescent="0.3"/>
    <row r="11723" s="160" customFormat="1" x14ac:dyDescent="0.3"/>
    <row r="11724" s="160" customFormat="1" x14ac:dyDescent="0.3"/>
    <row r="11725" s="160" customFormat="1" x14ac:dyDescent="0.3"/>
    <row r="11726" s="160" customFormat="1" x14ac:dyDescent="0.3"/>
    <row r="11727" s="160" customFormat="1" x14ac:dyDescent="0.3"/>
    <row r="11728" s="160" customFormat="1" x14ac:dyDescent="0.3"/>
    <row r="11729" s="160" customFormat="1" x14ac:dyDescent="0.3"/>
    <row r="11730" s="160" customFormat="1" x14ac:dyDescent="0.3"/>
    <row r="11731" s="160" customFormat="1" x14ac:dyDescent="0.3"/>
    <row r="11732" s="160" customFormat="1" x14ac:dyDescent="0.3"/>
    <row r="11733" s="160" customFormat="1" x14ac:dyDescent="0.3"/>
    <row r="11734" s="160" customFormat="1" x14ac:dyDescent="0.3"/>
    <row r="11735" s="160" customFormat="1" x14ac:dyDescent="0.3"/>
    <row r="11736" s="160" customFormat="1" x14ac:dyDescent="0.3"/>
    <row r="11737" s="160" customFormat="1" x14ac:dyDescent="0.3"/>
    <row r="11738" s="160" customFormat="1" x14ac:dyDescent="0.3"/>
    <row r="11739" s="160" customFormat="1" x14ac:dyDescent="0.3"/>
    <row r="11740" s="160" customFormat="1" x14ac:dyDescent="0.3"/>
    <row r="11741" s="160" customFormat="1" x14ac:dyDescent="0.3"/>
    <row r="11742" s="160" customFormat="1" x14ac:dyDescent="0.3"/>
    <row r="11743" s="160" customFormat="1" x14ac:dyDescent="0.3"/>
    <row r="11744" s="160" customFormat="1" x14ac:dyDescent="0.3"/>
    <row r="11745" s="160" customFormat="1" x14ac:dyDescent="0.3"/>
    <row r="11746" s="160" customFormat="1" x14ac:dyDescent="0.3"/>
    <row r="11747" s="160" customFormat="1" x14ac:dyDescent="0.3"/>
    <row r="11748" s="160" customFormat="1" x14ac:dyDescent="0.3"/>
    <row r="11749" s="160" customFormat="1" x14ac:dyDescent="0.3"/>
    <row r="11750" s="160" customFormat="1" x14ac:dyDescent="0.3"/>
    <row r="11751" s="160" customFormat="1" x14ac:dyDescent="0.3"/>
    <row r="11752" s="160" customFormat="1" x14ac:dyDescent="0.3"/>
    <row r="11753" s="160" customFormat="1" x14ac:dyDescent="0.3"/>
    <row r="11754" s="160" customFormat="1" x14ac:dyDescent="0.3"/>
    <row r="11755" s="160" customFormat="1" x14ac:dyDescent="0.3"/>
    <row r="11756" s="160" customFormat="1" x14ac:dyDescent="0.3"/>
    <row r="11757" s="160" customFormat="1" x14ac:dyDescent="0.3"/>
    <row r="11758" s="160" customFormat="1" x14ac:dyDescent="0.3"/>
    <row r="11759" s="160" customFormat="1" x14ac:dyDescent="0.3"/>
    <row r="11760" s="160" customFormat="1" x14ac:dyDescent="0.3"/>
    <row r="11761" s="160" customFormat="1" x14ac:dyDescent="0.3"/>
    <row r="11762" s="160" customFormat="1" x14ac:dyDescent="0.3"/>
    <row r="11763" s="160" customFormat="1" x14ac:dyDescent="0.3"/>
    <row r="11764" s="160" customFormat="1" x14ac:dyDescent="0.3"/>
    <row r="11765" s="160" customFormat="1" x14ac:dyDescent="0.3"/>
    <row r="11766" s="160" customFormat="1" x14ac:dyDescent="0.3"/>
    <row r="11767" s="160" customFormat="1" x14ac:dyDescent="0.3"/>
    <row r="11768" s="160" customFormat="1" x14ac:dyDescent="0.3"/>
    <row r="11769" s="160" customFormat="1" x14ac:dyDescent="0.3"/>
    <row r="11770" s="160" customFormat="1" x14ac:dyDescent="0.3"/>
    <row r="11771" s="160" customFormat="1" x14ac:dyDescent="0.3"/>
    <row r="11772" s="160" customFormat="1" x14ac:dyDescent="0.3"/>
    <row r="11773" s="160" customFormat="1" x14ac:dyDescent="0.3"/>
    <row r="11774" s="160" customFormat="1" x14ac:dyDescent="0.3"/>
    <row r="11775" s="160" customFormat="1" x14ac:dyDescent="0.3"/>
    <row r="11776" s="160" customFormat="1" x14ac:dyDescent="0.3"/>
    <row r="11777" s="160" customFormat="1" x14ac:dyDescent="0.3"/>
    <row r="11778" s="160" customFormat="1" x14ac:dyDescent="0.3"/>
    <row r="11779" s="160" customFormat="1" x14ac:dyDescent="0.3"/>
    <row r="11780" s="160" customFormat="1" x14ac:dyDescent="0.3"/>
    <row r="11781" s="160" customFormat="1" x14ac:dyDescent="0.3"/>
    <row r="11782" s="160" customFormat="1" x14ac:dyDescent="0.3"/>
    <row r="11783" s="160" customFormat="1" x14ac:dyDescent="0.3"/>
    <row r="11784" s="160" customFormat="1" x14ac:dyDescent="0.3"/>
    <row r="11785" s="160" customFormat="1" x14ac:dyDescent="0.3"/>
    <row r="11786" s="160" customFormat="1" x14ac:dyDescent="0.3"/>
    <row r="11787" s="160" customFormat="1" x14ac:dyDescent="0.3"/>
    <row r="11788" s="160" customFormat="1" x14ac:dyDescent="0.3"/>
    <row r="11789" s="160" customFormat="1" x14ac:dyDescent="0.3"/>
    <row r="11790" s="160" customFormat="1" x14ac:dyDescent="0.3"/>
    <row r="11791" s="160" customFormat="1" x14ac:dyDescent="0.3"/>
    <row r="11792" s="160" customFormat="1" x14ac:dyDescent="0.3"/>
    <row r="11793" s="160" customFormat="1" x14ac:dyDescent="0.3"/>
    <row r="11794" s="160" customFormat="1" x14ac:dyDescent="0.3"/>
    <row r="11795" s="160" customFormat="1" x14ac:dyDescent="0.3"/>
    <row r="11796" s="160" customFormat="1" x14ac:dyDescent="0.3"/>
    <row r="11797" s="160" customFormat="1" x14ac:dyDescent="0.3"/>
    <row r="11798" s="160" customFormat="1" x14ac:dyDescent="0.3"/>
    <row r="11799" s="160" customFormat="1" x14ac:dyDescent="0.3"/>
    <row r="11800" s="160" customFormat="1" x14ac:dyDescent="0.3"/>
    <row r="11801" s="160" customFormat="1" x14ac:dyDescent="0.3"/>
    <row r="11802" s="160" customFormat="1" x14ac:dyDescent="0.3"/>
    <row r="11803" s="160" customFormat="1" x14ac:dyDescent="0.3"/>
    <row r="11804" s="160" customFormat="1" x14ac:dyDescent="0.3"/>
    <row r="11805" s="160" customFormat="1" x14ac:dyDescent="0.3"/>
    <row r="11806" s="160" customFormat="1" x14ac:dyDescent="0.3"/>
    <row r="11807" s="160" customFormat="1" x14ac:dyDescent="0.3"/>
    <row r="11808" s="160" customFormat="1" x14ac:dyDescent="0.3"/>
    <row r="11809" s="160" customFormat="1" x14ac:dyDescent="0.3"/>
    <row r="11810" s="160" customFormat="1" x14ac:dyDescent="0.3"/>
    <row r="11811" s="160" customFormat="1" x14ac:dyDescent="0.3"/>
    <row r="11812" s="160" customFormat="1" x14ac:dyDescent="0.3"/>
    <row r="11813" s="160" customFormat="1" x14ac:dyDescent="0.3"/>
    <row r="11814" s="160" customFormat="1" x14ac:dyDescent="0.3"/>
    <row r="11815" s="160" customFormat="1" x14ac:dyDescent="0.3"/>
    <row r="11816" s="160" customFormat="1" x14ac:dyDescent="0.3"/>
    <row r="11817" s="160" customFormat="1" x14ac:dyDescent="0.3"/>
    <row r="11818" s="160" customFormat="1" x14ac:dyDescent="0.3"/>
    <row r="11819" s="160" customFormat="1" x14ac:dyDescent="0.3"/>
    <row r="11820" s="160" customFormat="1" x14ac:dyDescent="0.3"/>
    <row r="11821" s="160" customFormat="1" x14ac:dyDescent="0.3"/>
    <row r="11822" s="160" customFormat="1" x14ac:dyDescent="0.3"/>
    <row r="11823" s="160" customFormat="1" x14ac:dyDescent="0.3"/>
    <row r="11824" s="160" customFormat="1" x14ac:dyDescent="0.3"/>
    <row r="11825" s="160" customFormat="1" x14ac:dyDescent="0.3"/>
    <row r="11826" s="160" customFormat="1" x14ac:dyDescent="0.3"/>
    <row r="11827" s="160" customFormat="1" x14ac:dyDescent="0.3"/>
    <row r="11828" s="160" customFormat="1" x14ac:dyDescent="0.3"/>
    <row r="11829" s="160" customFormat="1" x14ac:dyDescent="0.3"/>
    <row r="11830" s="160" customFormat="1" x14ac:dyDescent="0.3"/>
    <row r="11831" s="160" customFormat="1" x14ac:dyDescent="0.3"/>
    <row r="11832" s="160" customFormat="1" x14ac:dyDescent="0.3"/>
    <row r="11833" s="160" customFormat="1" x14ac:dyDescent="0.3"/>
    <row r="11834" s="160" customFormat="1" x14ac:dyDescent="0.3"/>
    <row r="11835" s="160" customFormat="1" x14ac:dyDescent="0.3"/>
    <row r="11836" s="160" customFormat="1" x14ac:dyDescent="0.3"/>
    <row r="11837" s="160" customFormat="1" x14ac:dyDescent="0.3"/>
    <row r="11838" s="160" customFormat="1" x14ac:dyDescent="0.3"/>
    <row r="11839" s="160" customFormat="1" x14ac:dyDescent="0.3"/>
    <row r="11840" s="160" customFormat="1" x14ac:dyDescent="0.3"/>
    <row r="11841" s="160" customFormat="1" x14ac:dyDescent="0.3"/>
    <row r="11842" s="160" customFormat="1" x14ac:dyDescent="0.3"/>
    <row r="11843" s="160" customFormat="1" x14ac:dyDescent="0.3"/>
    <row r="11844" s="160" customFormat="1" x14ac:dyDescent="0.3"/>
    <row r="11845" s="160" customFormat="1" x14ac:dyDescent="0.3"/>
    <row r="11846" s="160" customFormat="1" x14ac:dyDescent="0.3"/>
    <row r="11847" s="160" customFormat="1" x14ac:dyDescent="0.3"/>
    <row r="11848" s="160" customFormat="1" x14ac:dyDescent="0.3"/>
    <row r="11849" s="160" customFormat="1" x14ac:dyDescent="0.3"/>
    <row r="11850" s="160" customFormat="1" x14ac:dyDescent="0.3"/>
    <row r="11851" s="160" customFormat="1" x14ac:dyDescent="0.3"/>
    <row r="11852" s="160" customFormat="1" x14ac:dyDescent="0.3"/>
    <row r="11853" s="160" customFormat="1" x14ac:dyDescent="0.3"/>
    <row r="11854" s="160" customFormat="1" x14ac:dyDescent="0.3"/>
    <row r="11855" s="160" customFormat="1" x14ac:dyDescent="0.3"/>
    <row r="11856" s="160" customFormat="1" x14ac:dyDescent="0.3"/>
    <row r="11857" s="160" customFormat="1" x14ac:dyDescent="0.3"/>
    <row r="11858" s="160" customFormat="1" x14ac:dyDescent="0.3"/>
    <row r="11859" s="160" customFormat="1" x14ac:dyDescent="0.3"/>
    <row r="11860" s="160" customFormat="1" x14ac:dyDescent="0.3"/>
    <row r="11861" s="160" customFormat="1" x14ac:dyDescent="0.3"/>
    <row r="11862" s="160" customFormat="1" x14ac:dyDescent="0.3"/>
    <row r="11863" s="160" customFormat="1" x14ac:dyDescent="0.3"/>
    <row r="11864" s="160" customFormat="1" x14ac:dyDescent="0.3"/>
    <row r="11865" s="160" customFormat="1" x14ac:dyDescent="0.3"/>
    <row r="11866" s="160" customFormat="1" x14ac:dyDescent="0.3"/>
    <row r="11867" s="160" customFormat="1" x14ac:dyDescent="0.3"/>
    <row r="11868" s="160" customFormat="1" x14ac:dyDescent="0.3"/>
    <row r="11869" s="160" customFormat="1" x14ac:dyDescent="0.3"/>
    <row r="11870" s="160" customFormat="1" x14ac:dyDescent="0.3"/>
    <row r="11871" s="160" customFormat="1" x14ac:dyDescent="0.3"/>
    <row r="11872" s="160" customFormat="1" x14ac:dyDescent="0.3"/>
    <row r="11873" s="160" customFormat="1" x14ac:dyDescent="0.3"/>
    <row r="11874" s="160" customFormat="1" x14ac:dyDescent="0.3"/>
    <row r="11875" s="160" customFormat="1" x14ac:dyDescent="0.3"/>
    <row r="11876" s="160" customFormat="1" x14ac:dyDescent="0.3"/>
    <row r="11877" s="160" customFormat="1" x14ac:dyDescent="0.3"/>
    <row r="11878" s="160" customFormat="1" x14ac:dyDescent="0.3"/>
    <row r="11879" s="160" customFormat="1" x14ac:dyDescent="0.3"/>
    <row r="11880" s="160" customFormat="1" x14ac:dyDescent="0.3"/>
    <row r="11881" s="160" customFormat="1" x14ac:dyDescent="0.3"/>
    <row r="11882" s="160" customFormat="1" x14ac:dyDescent="0.3"/>
    <row r="11883" s="160" customFormat="1" x14ac:dyDescent="0.3"/>
    <row r="11884" s="160" customFormat="1" x14ac:dyDescent="0.3"/>
    <row r="11885" s="160" customFormat="1" x14ac:dyDescent="0.3"/>
    <row r="11886" s="160" customFormat="1" x14ac:dyDescent="0.3"/>
    <row r="11887" s="160" customFormat="1" x14ac:dyDescent="0.3"/>
    <row r="11888" s="160" customFormat="1" x14ac:dyDescent="0.3"/>
    <row r="11889" s="160" customFormat="1" x14ac:dyDescent="0.3"/>
    <row r="11890" s="160" customFormat="1" x14ac:dyDescent="0.3"/>
    <row r="11891" s="160" customFormat="1" x14ac:dyDescent="0.3"/>
    <row r="11892" s="160" customFormat="1" x14ac:dyDescent="0.3"/>
    <row r="11893" s="160" customFormat="1" x14ac:dyDescent="0.3"/>
    <row r="11894" s="160" customFormat="1" x14ac:dyDescent="0.3"/>
    <row r="11895" s="160" customFormat="1" x14ac:dyDescent="0.3"/>
    <row r="11896" s="160" customFormat="1" x14ac:dyDescent="0.3"/>
    <row r="11897" s="160" customFormat="1" x14ac:dyDescent="0.3"/>
    <row r="11898" s="160" customFormat="1" x14ac:dyDescent="0.3"/>
    <row r="11899" s="160" customFormat="1" x14ac:dyDescent="0.3"/>
    <row r="11900" s="160" customFormat="1" x14ac:dyDescent="0.3"/>
    <row r="11901" s="160" customFormat="1" x14ac:dyDescent="0.3"/>
    <row r="11902" s="160" customFormat="1" x14ac:dyDescent="0.3"/>
    <row r="11903" s="160" customFormat="1" x14ac:dyDescent="0.3"/>
    <row r="11904" s="160" customFormat="1" x14ac:dyDescent="0.3"/>
    <row r="11905" s="160" customFormat="1" x14ac:dyDescent="0.3"/>
    <row r="11906" s="160" customFormat="1" x14ac:dyDescent="0.3"/>
    <row r="11907" s="160" customFormat="1" x14ac:dyDescent="0.3"/>
    <row r="11908" s="160" customFormat="1" x14ac:dyDescent="0.3"/>
    <row r="11909" s="160" customFormat="1" x14ac:dyDescent="0.3"/>
    <row r="11910" s="160" customFormat="1" x14ac:dyDescent="0.3"/>
    <row r="11911" s="160" customFormat="1" x14ac:dyDescent="0.3"/>
    <row r="11912" s="160" customFormat="1" x14ac:dyDescent="0.3"/>
    <row r="11913" s="160" customFormat="1" x14ac:dyDescent="0.3"/>
    <row r="11914" s="160" customFormat="1" x14ac:dyDescent="0.3"/>
    <row r="11915" s="160" customFormat="1" x14ac:dyDescent="0.3"/>
    <row r="11916" s="160" customFormat="1" x14ac:dyDescent="0.3"/>
    <row r="11917" s="160" customFormat="1" x14ac:dyDescent="0.3"/>
    <row r="11918" s="160" customFormat="1" x14ac:dyDescent="0.3"/>
    <row r="11919" s="160" customFormat="1" x14ac:dyDescent="0.3"/>
    <row r="11920" s="160" customFormat="1" x14ac:dyDescent="0.3"/>
    <row r="11921" s="160" customFormat="1" x14ac:dyDescent="0.3"/>
    <row r="11922" s="160" customFormat="1" x14ac:dyDescent="0.3"/>
    <row r="11923" s="160" customFormat="1" x14ac:dyDescent="0.3"/>
    <row r="11924" s="160" customFormat="1" x14ac:dyDescent="0.3"/>
    <row r="11925" s="160" customFormat="1" x14ac:dyDescent="0.3"/>
    <row r="11926" s="160" customFormat="1" x14ac:dyDescent="0.3"/>
    <row r="11927" s="160" customFormat="1" x14ac:dyDescent="0.3"/>
    <row r="11928" s="160" customFormat="1" x14ac:dyDescent="0.3"/>
    <row r="11929" s="160" customFormat="1" x14ac:dyDescent="0.3"/>
    <row r="11930" s="160" customFormat="1" x14ac:dyDescent="0.3"/>
    <row r="11931" s="160" customFormat="1" x14ac:dyDescent="0.3"/>
    <row r="11932" s="160" customFormat="1" x14ac:dyDescent="0.3"/>
    <row r="11933" s="160" customFormat="1" x14ac:dyDescent="0.3"/>
    <row r="11934" s="160" customFormat="1" x14ac:dyDescent="0.3"/>
    <row r="11935" s="160" customFormat="1" x14ac:dyDescent="0.3"/>
    <row r="11936" s="160" customFormat="1" x14ac:dyDescent="0.3"/>
    <row r="11937" s="160" customFormat="1" x14ac:dyDescent="0.3"/>
    <row r="11938" s="160" customFormat="1" x14ac:dyDescent="0.3"/>
    <row r="11939" s="160" customFormat="1" x14ac:dyDescent="0.3"/>
    <row r="11940" s="160" customFormat="1" x14ac:dyDescent="0.3"/>
    <row r="11941" s="160" customFormat="1" x14ac:dyDescent="0.3"/>
    <row r="11942" s="160" customFormat="1" x14ac:dyDescent="0.3"/>
    <row r="11943" s="160" customFormat="1" x14ac:dyDescent="0.3"/>
    <row r="11944" s="160" customFormat="1" x14ac:dyDescent="0.3"/>
    <row r="11945" s="160" customFormat="1" x14ac:dyDescent="0.3"/>
    <row r="11946" s="160" customFormat="1" x14ac:dyDescent="0.3"/>
    <row r="11947" s="160" customFormat="1" x14ac:dyDescent="0.3"/>
    <row r="11948" s="160" customFormat="1" x14ac:dyDescent="0.3"/>
    <row r="11949" s="160" customFormat="1" x14ac:dyDescent="0.3"/>
    <row r="11950" s="160" customFormat="1" x14ac:dyDescent="0.3"/>
    <row r="11951" s="160" customFormat="1" x14ac:dyDescent="0.3"/>
    <row r="11952" s="160" customFormat="1" x14ac:dyDescent="0.3"/>
    <row r="11953" s="160" customFormat="1" x14ac:dyDescent="0.3"/>
    <row r="11954" s="160" customFormat="1" x14ac:dyDescent="0.3"/>
    <row r="11955" s="160" customFormat="1" x14ac:dyDescent="0.3"/>
    <row r="11956" s="160" customFormat="1" x14ac:dyDescent="0.3"/>
    <row r="11957" s="160" customFormat="1" x14ac:dyDescent="0.3"/>
    <row r="11958" s="160" customFormat="1" x14ac:dyDescent="0.3"/>
    <row r="11959" s="160" customFormat="1" x14ac:dyDescent="0.3"/>
    <row r="11960" s="160" customFormat="1" x14ac:dyDescent="0.3"/>
    <row r="11961" s="160" customFormat="1" x14ac:dyDescent="0.3"/>
    <row r="11962" s="160" customFormat="1" x14ac:dyDescent="0.3"/>
    <row r="11963" s="160" customFormat="1" x14ac:dyDescent="0.3"/>
    <row r="11964" s="160" customFormat="1" x14ac:dyDescent="0.3"/>
    <row r="11965" s="160" customFormat="1" x14ac:dyDescent="0.3"/>
    <row r="11966" s="160" customFormat="1" x14ac:dyDescent="0.3"/>
    <row r="11967" s="160" customFormat="1" x14ac:dyDescent="0.3"/>
    <row r="11968" s="160" customFormat="1" x14ac:dyDescent="0.3"/>
    <row r="11969" s="160" customFormat="1" x14ac:dyDescent="0.3"/>
    <row r="11970" s="160" customFormat="1" x14ac:dyDescent="0.3"/>
    <row r="11971" s="160" customFormat="1" x14ac:dyDescent="0.3"/>
    <row r="11972" s="160" customFormat="1" x14ac:dyDescent="0.3"/>
    <row r="11973" s="160" customFormat="1" x14ac:dyDescent="0.3"/>
    <row r="11974" s="160" customFormat="1" x14ac:dyDescent="0.3"/>
    <row r="11975" s="160" customFormat="1" x14ac:dyDescent="0.3"/>
    <row r="11976" s="160" customFormat="1" x14ac:dyDescent="0.3"/>
    <row r="11977" s="160" customFormat="1" x14ac:dyDescent="0.3"/>
    <row r="11978" s="160" customFormat="1" x14ac:dyDescent="0.3"/>
    <row r="11979" s="160" customFormat="1" x14ac:dyDescent="0.3"/>
    <row r="11980" s="160" customFormat="1" x14ac:dyDescent="0.3"/>
    <row r="11981" s="160" customFormat="1" x14ac:dyDescent="0.3"/>
    <row r="11982" s="160" customFormat="1" x14ac:dyDescent="0.3"/>
    <row r="11983" s="160" customFormat="1" x14ac:dyDescent="0.3"/>
    <row r="11984" s="160" customFormat="1" x14ac:dyDescent="0.3"/>
    <row r="11985" s="160" customFormat="1" x14ac:dyDescent="0.3"/>
    <row r="11986" s="160" customFormat="1" x14ac:dyDescent="0.3"/>
    <row r="11987" s="160" customFormat="1" x14ac:dyDescent="0.3"/>
    <row r="11988" s="160" customFormat="1" x14ac:dyDescent="0.3"/>
    <row r="11989" s="160" customFormat="1" x14ac:dyDescent="0.3"/>
    <row r="11990" s="160" customFormat="1" x14ac:dyDescent="0.3"/>
    <row r="11991" s="160" customFormat="1" x14ac:dyDescent="0.3"/>
    <row r="11992" s="160" customFormat="1" x14ac:dyDescent="0.3"/>
    <row r="11993" s="160" customFormat="1" x14ac:dyDescent="0.3"/>
    <row r="11994" s="160" customFormat="1" x14ac:dyDescent="0.3"/>
    <row r="11995" s="160" customFormat="1" x14ac:dyDescent="0.3"/>
    <row r="11996" s="160" customFormat="1" x14ac:dyDescent="0.3"/>
    <row r="11997" s="160" customFormat="1" x14ac:dyDescent="0.3"/>
    <row r="11998" s="160" customFormat="1" x14ac:dyDescent="0.3"/>
    <row r="11999" s="160" customFormat="1" x14ac:dyDescent="0.3"/>
    <row r="12000" s="160" customFormat="1" x14ac:dyDescent="0.3"/>
    <row r="12001" s="160" customFormat="1" x14ac:dyDescent="0.3"/>
    <row r="12002" s="160" customFormat="1" x14ac:dyDescent="0.3"/>
    <row r="12003" s="160" customFormat="1" x14ac:dyDescent="0.3"/>
    <row r="12004" s="160" customFormat="1" x14ac:dyDescent="0.3"/>
    <row r="12005" s="160" customFormat="1" x14ac:dyDescent="0.3"/>
    <row r="12006" s="160" customFormat="1" x14ac:dyDescent="0.3"/>
    <row r="12007" s="160" customFormat="1" x14ac:dyDescent="0.3"/>
    <row r="12008" s="160" customFormat="1" x14ac:dyDescent="0.3"/>
    <row r="12009" s="160" customFormat="1" x14ac:dyDescent="0.3"/>
    <row r="12010" s="160" customFormat="1" x14ac:dyDescent="0.3"/>
    <row r="12011" s="160" customFormat="1" x14ac:dyDescent="0.3"/>
    <row r="12012" s="160" customFormat="1" x14ac:dyDescent="0.3"/>
    <row r="12013" s="160" customFormat="1" x14ac:dyDescent="0.3"/>
    <row r="12014" s="160" customFormat="1" x14ac:dyDescent="0.3"/>
    <row r="12015" s="160" customFormat="1" x14ac:dyDescent="0.3"/>
    <row r="12016" s="160" customFormat="1" x14ac:dyDescent="0.3"/>
    <row r="12017" s="160" customFormat="1" x14ac:dyDescent="0.3"/>
    <row r="12018" s="160" customFormat="1" x14ac:dyDescent="0.3"/>
    <row r="12019" s="160" customFormat="1" x14ac:dyDescent="0.3"/>
    <row r="12020" s="160" customFormat="1" x14ac:dyDescent="0.3"/>
    <row r="12021" s="160" customFormat="1" x14ac:dyDescent="0.3"/>
    <row r="12022" s="160" customFormat="1" x14ac:dyDescent="0.3"/>
    <row r="12023" s="160" customFormat="1" x14ac:dyDescent="0.3"/>
    <row r="12024" s="160" customFormat="1" x14ac:dyDescent="0.3"/>
    <row r="12025" s="160" customFormat="1" x14ac:dyDescent="0.3"/>
    <row r="12026" s="160" customFormat="1" x14ac:dyDescent="0.3"/>
    <row r="12027" s="160" customFormat="1" x14ac:dyDescent="0.3"/>
    <row r="12028" s="160" customFormat="1" x14ac:dyDescent="0.3"/>
    <row r="12029" s="160" customFormat="1" x14ac:dyDescent="0.3"/>
    <row r="12030" s="160" customFormat="1" x14ac:dyDescent="0.3"/>
    <row r="12031" s="160" customFormat="1" x14ac:dyDescent="0.3"/>
    <row r="12032" s="160" customFormat="1" x14ac:dyDescent="0.3"/>
    <row r="12033" s="160" customFormat="1" x14ac:dyDescent="0.3"/>
    <row r="12034" s="160" customFormat="1" x14ac:dyDescent="0.3"/>
    <row r="12035" s="160" customFormat="1" x14ac:dyDescent="0.3"/>
    <row r="12036" s="160" customFormat="1" x14ac:dyDescent="0.3"/>
    <row r="12037" s="160" customFormat="1" x14ac:dyDescent="0.3"/>
    <row r="12038" s="160" customFormat="1" x14ac:dyDescent="0.3"/>
    <row r="12039" s="160" customFormat="1" x14ac:dyDescent="0.3"/>
    <row r="12040" s="160" customFormat="1" x14ac:dyDescent="0.3"/>
    <row r="12041" s="160" customFormat="1" x14ac:dyDescent="0.3"/>
    <row r="12042" s="160" customFormat="1" x14ac:dyDescent="0.3"/>
    <row r="12043" s="160" customFormat="1" x14ac:dyDescent="0.3"/>
    <row r="12044" s="160" customFormat="1" x14ac:dyDescent="0.3"/>
    <row r="12045" s="160" customFormat="1" x14ac:dyDescent="0.3"/>
    <row r="12046" s="160" customFormat="1" x14ac:dyDescent="0.3"/>
    <row r="12047" s="160" customFormat="1" x14ac:dyDescent="0.3"/>
    <row r="12048" s="160" customFormat="1" x14ac:dyDescent="0.3"/>
    <row r="12049" s="160" customFormat="1" x14ac:dyDescent="0.3"/>
    <row r="12050" s="160" customFormat="1" x14ac:dyDescent="0.3"/>
    <row r="12051" s="160" customFormat="1" x14ac:dyDescent="0.3"/>
    <row r="12052" s="160" customFormat="1" x14ac:dyDescent="0.3"/>
    <row r="12053" s="160" customFormat="1" x14ac:dyDescent="0.3"/>
    <row r="12054" s="160" customFormat="1" x14ac:dyDescent="0.3"/>
    <row r="12055" s="160" customFormat="1" x14ac:dyDescent="0.3"/>
    <row r="12056" s="160" customFormat="1" x14ac:dyDescent="0.3"/>
    <row r="12057" s="160" customFormat="1" x14ac:dyDescent="0.3"/>
    <row r="12058" s="160" customFormat="1" x14ac:dyDescent="0.3"/>
    <row r="12059" s="160" customFormat="1" x14ac:dyDescent="0.3"/>
    <row r="12060" s="160" customFormat="1" x14ac:dyDescent="0.3"/>
    <row r="12061" s="160" customFormat="1" x14ac:dyDescent="0.3"/>
    <row r="12062" s="160" customFormat="1" x14ac:dyDescent="0.3"/>
    <row r="12063" s="160" customFormat="1" x14ac:dyDescent="0.3"/>
    <row r="12064" s="160" customFormat="1" x14ac:dyDescent="0.3"/>
    <row r="12065" s="160" customFormat="1" x14ac:dyDescent="0.3"/>
    <row r="12066" s="160" customFormat="1" x14ac:dyDescent="0.3"/>
    <row r="12067" s="160" customFormat="1" x14ac:dyDescent="0.3"/>
    <row r="12068" s="160" customFormat="1" x14ac:dyDescent="0.3"/>
    <row r="12069" s="160" customFormat="1" x14ac:dyDescent="0.3"/>
    <row r="12070" s="160" customFormat="1" x14ac:dyDescent="0.3"/>
    <row r="12071" s="160" customFormat="1" x14ac:dyDescent="0.3"/>
    <row r="12072" s="160" customFormat="1" x14ac:dyDescent="0.3"/>
    <row r="12073" s="160" customFormat="1" x14ac:dyDescent="0.3"/>
    <row r="12074" s="160" customFormat="1" x14ac:dyDescent="0.3"/>
    <row r="12075" s="160" customFormat="1" x14ac:dyDescent="0.3"/>
    <row r="12076" s="160" customFormat="1" x14ac:dyDescent="0.3"/>
    <row r="12077" s="160" customFormat="1" x14ac:dyDescent="0.3"/>
    <row r="12078" s="160" customFormat="1" x14ac:dyDescent="0.3"/>
    <row r="12079" s="160" customFormat="1" x14ac:dyDescent="0.3"/>
    <row r="12080" s="160" customFormat="1" x14ac:dyDescent="0.3"/>
    <row r="12081" s="160" customFormat="1" x14ac:dyDescent="0.3"/>
    <row r="12082" s="160" customFormat="1" x14ac:dyDescent="0.3"/>
    <row r="12083" s="160" customFormat="1" x14ac:dyDescent="0.3"/>
    <row r="12084" s="160" customFormat="1" x14ac:dyDescent="0.3"/>
    <row r="12085" s="160" customFormat="1" x14ac:dyDescent="0.3"/>
    <row r="12086" s="160" customFormat="1" x14ac:dyDescent="0.3"/>
    <row r="12087" s="160" customFormat="1" x14ac:dyDescent="0.3"/>
    <row r="12088" s="160" customFormat="1" x14ac:dyDescent="0.3"/>
    <row r="12089" s="160" customFormat="1" x14ac:dyDescent="0.3"/>
    <row r="12090" s="160" customFormat="1" x14ac:dyDescent="0.3"/>
    <row r="12091" s="160" customFormat="1" x14ac:dyDescent="0.3"/>
    <row r="12092" s="160" customFormat="1" x14ac:dyDescent="0.3"/>
    <row r="12093" s="160" customFormat="1" x14ac:dyDescent="0.3"/>
    <row r="12094" s="160" customFormat="1" x14ac:dyDescent="0.3"/>
    <row r="12095" s="160" customFormat="1" x14ac:dyDescent="0.3"/>
    <row r="12096" s="160" customFormat="1" x14ac:dyDescent="0.3"/>
    <row r="12097" s="160" customFormat="1" x14ac:dyDescent="0.3"/>
    <row r="12098" s="160" customFormat="1" x14ac:dyDescent="0.3"/>
    <row r="12099" s="160" customFormat="1" x14ac:dyDescent="0.3"/>
    <row r="12100" s="160" customFormat="1" x14ac:dyDescent="0.3"/>
    <row r="12101" s="160" customFormat="1" x14ac:dyDescent="0.3"/>
    <row r="12102" s="160" customFormat="1" x14ac:dyDescent="0.3"/>
    <row r="12103" s="160" customFormat="1" x14ac:dyDescent="0.3"/>
    <row r="12104" s="160" customFormat="1" x14ac:dyDescent="0.3"/>
    <row r="12105" s="160" customFormat="1" x14ac:dyDescent="0.3"/>
    <row r="12106" s="160" customFormat="1" x14ac:dyDescent="0.3"/>
    <row r="12107" s="160" customFormat="1" x14ac:dyDescent="0.3"/>
    <row r="12108" s="160" customFormat="1" x14ac:dyDescent="0.3"/>
    <row r="12109" s="160" customFormat="1" x14ac:dyDescent="0.3"/>
    <row r="12110" s="160" customFormat="1" x14ac:dyDescent="0.3"/>
    <row r="12111" s="160" customFormat="1" x14ac:dyDescent="0.3"/>
    <row r="12112" s="160" customFormat="1" x14ac:dyDescent="0.3"/>
    <row r="12113" s="160" customFormat="1" x14ac:dyDescent="0.3"/>
    <row r="12114" s="160" customFormat="1" x14ac:dyDescent="0.3"/>
    <row r="12115" s="160" customFormat="1" x14ac:dyDescent="0.3"/>
    <row r="12116" s="160" customFormat="1" x14ac:dyDescent="0.3"/>
    <row r="12117" s="160" customFormat="1" x14ac:dyDescent="0.3"/>
    <row r="12118" s="160" customFormat="1" x14ac:dyDescent="0.3"/>
    <row r="12119" s="160" customFormat="1" x14ac:dyDescent="0.3"/>
    <row r="12120" s="160" customFormat="1" x14ac:dyDescent="0.3"/>
    <row r="12121" s="160" customFormat="1" x14ac:dyDescent="0.3"/>
    <row r="12122" s="160" customFormat="1" x14ac:dyDescent="0.3"/>
    <row r="12123" s="160" customFormat="1" x14ac:dyDescent="0.3"/>
    <row r="12124" s="160" customFormat="1" x14ac:dyDescent="0.3"/>
    <row r="12125" s="160" customFormat="1" x14ac:dyDescent="0.3"/>
    <row r="12126" s="160" customFormat="1" x14ac:dyDescent="0.3"/>
    <row r="12127" s="160" customFormat="1" x14ac:dyDescent="0.3"/>
    <row r="12128" s="160" customFormat="1" x14ac:dyDescent="0.3"/>
    <row r="12129" s="160" customFormat="1" x14ac:dyDescent="0.3"/>
    <row r="12130" s="160" customFormat="1" x14ac:dyDescent="0.3"/>
    <row r="12131" s="160" customFormat="1" x14ac:dyDescent="0.3"/>
    <row r="12132" s="160" customFormat="1" x14ac:dyDescent="0.3"/>
    <row r="12133" s="160" customFormat="1" x14ac:dyDescent="0.3"/>
    <row r="12134" s="160" customFormat="1" x14ac:dyDescent="0.3"/>
    <row r="12135" s="160" customFormat="1" x14ac:dyDescent="0.3"/>
    <row r="12136" s="160" customFormat="1" x14ac:dyDescent="0.3"/>
    <row r="12137" s="160" customFormat="1" x14ac:dyDescent="0.3"/>
    <row r="12138" s="160" customFormat="1" x14ac:dyDescent="0.3"/>
    <row r="12139" s="160" customFormat="1" x14ac:dyDescent="0.3"/>
    <row r="12140" s="160" customFormat="1" x14ac:dyDescent="0.3"/>
    <row r="12141" s="160" customFormat="1" x14ac:dyDescent="0.3"/>
    <row r="12142" s="160" customFormat="1" x14ac:dyDescent="0.3"/>
    <row r="12143" s="160" customFormat="1" x14ac:dyDescent="0.3"/>
    <row r="12144" s="160" customFormat="1" x14ac:dyDescent="0.3"/>
    <row r="12145" s="160" customFormat="1" x14ac:dyDescent="0.3"/>
    <row r="12146" s="160" customFormat="1" x14ac:dyDescent="0.3"/>
    <row r="12147" s="160" customFormat="1" x14ac:dyDescent="0.3"/>
    <row r="12148" s="160" customFormat="1" x14ac:dyDescent="0.3"/>
    <row r="12149" s="160" customFormat="1" x14ac:dyDescent="0.3"/>
    <row r="12150" s="160" customFormat="1" x14ac:dyDescent="0.3"/>
    <row r="12151" s="160" customFormat="1" x14ac:dyDescent="0.3"/>
    <row r="12152" s="160" customFormat="1" x14ac:dyDescent="0.3"/>
    <row r="12153" s="160" customFormat="1" x14ac:dyDescent="0.3"/>
    <row r="12154" s="160" customFormat="1" x14ac:dyDescent="0.3"/>
    <row r="12155" s="160" customFormat="1" x14ac:dyDescent="0.3"/>
    <row r="12156" s="160" customFormat="1" x14ac:dyDescent="0.3"/>
    <row r="12157" s="160" customFormat="1" x14ac:dyDescent="0.3"/>
    <row r="12158" s="160" customFormat="1" x14ac:dyDescent="0.3"/>
    <row r="12159" s="160" customFormat="1" x14ac:dyDescent="0.3"/>
    <row r="12160" s="160" customFormat="1" x14ac:dyDescent="0.3"/>
    <row r="12161" s="160" customFormat="1" x14ac:dyDescent="0.3"/>
    <row r="12162" s="160" customFormat="1" x14ac:dyDescent="0.3"/>
    <row r="12163" s="160" customFormat="1" x14ac:dyDescent="0.3"/>
    <row r="12164" s="160" customFormat="1" x14ac:dyDescent="0.3"/>
    <row r="12165" s="160" customFormat="1" x14ac:dyDescent="0.3"/>
    <row r="12166" s="160" customFormat="1" x14ac:dyDescent="0.3"/>
    <row r="12167" s="160" customFormat="1" x14ac:dyDescent="0.3"/>
    <row r="12168" s="160" customFormat="1" x14ac:dyDescent="0.3"/>
    <row r="12169" s="160" customFormat="1" x14ac:dyDescent="0.3"/>
    <row r="12170" s="160" customFormat="1" x14ac:dyDescent="0.3"/>
    <row r="12171" s="160" customFormat="1" x14ac:dyDescent="0.3"/>
    <row r="12172" s="160" customFormat="1" x14ac:dyDescent="0.3"/>
    <row r="12173" s="160" customFormat="1" x14ac:dyDescent="0.3"/>
    <row r="12174" s="160" customFormat="1" x14ac:dyDescent="0.3"/>
    <row r="12175" s="160" customFormat="1" x14ac:dyDescent="0.3"/>
    <row r="12176" s="160" customFormat="1" x14ac:dyDescent="0.3"/>
    <row r="12177" s="160" customFormat="1" x14ac:dyDescent="0.3"/>
    <row r="12178" s="160" customFormat="1" x14ac:dyDescent="0.3"/>
    <row r="12179" s="160" customFormat="1" x14ac:dyDescent="0.3"/>
    <row r="12180" s="160" customFormat="1" x14ac:dyDescent="0.3"/>
    <row r="12181" s="160" customFormat="1" x14ac:dyDescent="0.3"/>
    <row r="12182" s="160" customFormat="1" x14ac:dyDescent="0.3"/>
    <row r="12183" s="160" customFormat="1" x14ac:dyDescent="0.3"/>
    <row r="12184" s="160" customFormat="1" x14ac:dyDescent="0.3"/>
    <row r="12185" s="160" customFormat="1" x14ac:dyDescent="0.3"/>
    <row r="12186" s="160" customFormat="1" x14ac:dyDescent="0.3"/>
    <row r="12187" s="160" customFormat="1" x14ac:dyDescent="0.3"/>
    <row r="12188" s="160" customFormat="1" x14ac:dyDescent="0.3"/>
    <row r="12189" s="160" customFormat="1" x14ac:dyDescent="0.3"/>
    <row r="12190" s="160" customFormat="1" x14ac:dyDescent="0.3"/>
    <row r="12191" s="160" customFormat="1" x14ac:dyDescent="0.3"/>
    <row r="12192" s="160" customFormat="1" x14ac:dyDescent="0.3"/>
    <row r="12193" s="160" customFormat="1" x14ac:dyDescent="0.3"/>
    <row r="12194" s="160" customFormat="1" x14ac:dyDescent="0.3"/>
    <row r="12195" s="160" customFormat="1" x14ac:dyDescent="0.3"/>
    <row r="12196" s="160" customFormat="1" x14ac:dyDescent="0.3"/>
    <row r="12197" s="160" customFormat="1" x14ac:dyDescent="0.3"/>
    <row r="12198" s="160" customFormat="1" x14ac:dyDescent="0.3"/>
    <row r="12199" s="160" customFormat="1" x14ac:dyDescent="0.3"/>
    <row r="12200" s="160" customFormat="1" x14ac:dyDescent="0.3"/>
    <row r="12201" s="160" customFormat="1" x14ac:dyDescent="0.3"/>
    <row r="12202" s="160" customFormat="1" x14ac:dyDescent="0.3"/>
    <row r="12203" s="160" customFormat="1" x14ac:dyDescent="0.3"/>
    <row r="12204" s="160" customFormat="1" x14ac:dyDescent="0.3"/>
    <row r="12205" s="160" customFormat="1" x14ac:dyDescent="0.3"/>
    <row r="12206" s="160" customFormat="1" x14ac:dyDescent="0.3"/>
    <row r="12207" s="160" customFormat="1" x14ac:dyDescent="0.3"/>
    <row r="12208" s="160" customFormat="1" x14ac:dyDescent="0.3"/>
    <row r="12209" s="160" customFormat="1" x14ac:dyDescent="0.3"/>
    <row r="12210" s="160" customFormat="1" x14ac:dyDescent="0.3"/>
    <row r="12211" s="160" customFormat="1" x14ac:dyDescent="0.3"/>
    <row r="12212" s="160" customFormat="1" x14ac:dyDescent="0.3"/>
    <row r="12213" s="160" customFormat="1" x14ac:dyDescent="0.3"/>
    <row r="12214" s="160" customFormat="1" x14ac:dyDescent="0.3"/>
    <row r="12215" s="160" customFormat="1" x14ac:dyDescent="0.3"/>
    <row r="12216" s="160" customFormat="1" x14ac:dyDescent="0.3"/>
    <row r="12217" s="160" customFormat="1" x14ac:dyDescent="0.3"/>
    <row r="12218" s="160" customFormat="1" x14ac:dyDescent="0.3"/>
    <row r="12219" s="160" customFormat="1" x14ac:dyDescent="0.3"/>
    <row r="12220" s="160" customFormat="1" x14ac:dyDescent="0.3"/>
    <row r="12221" s="160" customFormat="1" x14ac:dyDescent="0.3"/>
    <row r="12222" s="160" customFormat="1" x14ac:dyDescent="0.3"/>
    <row r="12223" s="160" customFormat="1" x14ac:dyDescent="0.3"/>
    <row r="12224" s="160" customFormat="1" x14ac:dyDescent="0.3"/>
    <row r="12225" s="160" customFormat="1" x14ac:dyDescent="0.3"/>
    <row r="12226" s="160" customFormat="1" x14ac:dyDescent="0.3"/>
    <row r="12227" s="160" customFormat="1" x14ac:dyDescent="0.3"/>
    <row r="12228" s="160" customFormat="1" x14ac:dyDescent="0.3"/>
    <row r="12229" s="160" customFormat="1" x14ac:dyDescent="0.3"/>
    <row r="12230" s="160" customFormat="1" x14ac:dyDescent="0.3"/>
    <row r="12231" s="160" customFormat="1" x14ac:dyDescent="0.3"/>
    <row r="12232" s="160" customFormat="1" x14ac:dyDescent="0.3"/>
    <row r="12233" s="160" customFormat="1" x14ac:dyDescent="0.3"/>
    <row r="12234" s="160" customFormat="1" x14ac:dyDescent="0.3"/>
    <row r="12235" s="160" customFormat="1" x14ac:dyDescent="0.3"/>
    <row r="12236" s="160" customFormat="1" x14ac:dyDescent="0.3"/>
    <row r="12237" s="160" customFormat="1" x14ac:dyDescent="0.3"/>
    <row r="12238" s="160" customFormat="1" x14ac:dyDescent="0.3"/>
    <row r="12239" s="160" customFormat="1" x14ac:dyDescent="0.3"/>
    <row r="12240" s="160" customFormat="1" x14ac:dyDescent="0.3"/>
    <row r="12241" s="160" customFormat="1" x14ac:dyDescent="0.3"/>
    <row r="12242" s="160" customFormat="1" x14ac:dyDescent="0.3"/>
    <row r="12243" s="160" customFormat="1" x14ac:dyDescent="0.3"/>
    <row r="12244" s="160" customFormat="1" x14ac:dyDescent="0.3"/>
    <row r="12245" s="160" customFormat="1" x14ac:dyDescent="0.3"/>
    <row r="12246" s="160" customFormat="1" x14ac:dyDescent="0.3"/>
    <row r="12247" s="160" customFormat="1" x14ac:dyDescent="0.3"/>
    <row r="12248" s="160" customFormat="1" x14ac:dyDescent="0.3"/>
    <row r="12249" s="160" customFormat="1" x14ac:dyDescent="0.3"/>
    <row r="12250" s="160" customFormat="1" x14ac:dyDescent="0.3"/>
    <row r="12251" s="160" customFormat="1" x14ac:dyDescent="0.3"/>
    <row r="12252" s="160" customFormat="1" x14ac:dyDescent="0.3"/>
    <row r="12253" s="160" customFormat="1" x14ac:dyDescent="0.3"/>
    <row r="12254" s="160" customFormat="1" x14ac:dyDescent="0.3"/>
    <row r="12255" s="160" customFormat="1" x14ac:dyDescent="0.3"/>
    <row r="12256" s="160" customFormat="1" x14ac:dyDescent="0.3"/>
    <row r="12257" s="160" customFormat="1" x14ac:dyDescent="0.3"/>
    <row r="12258" s="160" customFormat="1" x14ac:dyDescent="0.3"/>
    <row r="12259" s="160" customFormat="1" x14ac:dyDescent="0.3"/>
    <row r="12260" s="160" customFormat="1" x14ac:dyDescent="0.3"/>
    <row r="12261" s="160" customFormat="1" x14ac:dyDescent="0.3"/>
    <row r="12262" s="160" customFormat="1" x14ac:dyDescent="0.3"/>
    <row r="12263" s="160" customFormat="1" x14ac:dyDescent="0.3"/>
    <row r="12264" s="160" customFormat="1" x14ac:dyDescent="0.3"/>
    <row r="12265" s="160" customFormat="1" x14ac:dyDescent="0.3"/>
    <row r="12266" s="160" customFormat="1" x14ac:dyDescent="0.3"/>
    <row r="12267" s="160" customFormat="1" x14ac:dyDescent="0.3"/>
    <row r="12268" s="160" customFormat="1" x14ac:dyDescent="0.3"/>
    <row r="12269" s="160" customFormat="1" x14ac:dyDescent="0.3"/>
    <row r="12270" s="160" customFormat="1" x14ac:dyDescent="0.3"/>
    <row r="12271" s="160" customFormat="1" x14ac:dyDescent="0.3"/>
    <row r="12272" s="160" customFormat="1" x14ac:dyDescent="0.3"/>
    <row r="12273" s="160" customFormat="1" x14ac:dyDescent="0.3"/>
    <row r="12274" s="160" customFormat="1" x14ac:dyDescent="0.3"/>
    <row r="12275" s="160" customFormat="1" x14ac:dyDescent="0.3"/>
    <row r="12276" s="160" customFormat="1" x14ac:dyDescent="0.3"/>
    <row r="12277" s="160" customFormat="1" x14ac:dyDescent="0.3"/>
    <row r="12278" s="160" customFormat="1" x14ac:dyDescent="0.3"/>
    <row r="12279" s="160" customFormat="1" x14ac:dyDescent="0.3"/>
    <row r="12280" s="160" customFormat="1" x14ac:dyDescent="0.3"/>
    <row r="12281" s="160" customFormat="1" x14ac:dyDescent="0.3"/>
    <row r="12282" s="160" customFormat="1" x14ac:dyDescent="0.3"/>
    <row r="12283" s="160" customFormat="1" x14ac:dyDescent="0.3"/>
    <row r="12284" s="160" customFormat="1" x14ac:dyDescent="0.3"/>
    <row r="12285" s="160" customFormat="1" x14ac:dyDescent="0.3"/>
    <row r="12286" s="160" customFormat="1" x14ac:dyDescent="0.3"/>
    <row r="12287" s="160" customFormat="1" x14ac:dyDescent="0.3"/>
    <row r="12288" s="160" customFormat="1" x14ac:dyDescent="0.3"/>
    <row r="12289" s="160" customFormat="1" x14ac:dyDescent="0.3"/>
    <row r="12290" s="160" customFormat="1" x14ac:dyDescent="0.3"/>
    <row r="12291" s="160" customFormat="1" x14ac:dyDescent="0.3"/>
    <row r="12292" s="160" customFormat="1" x14ac:dyDescent="0.3"/>
    <row r="12293" s="160" customFormat="1" x14ac:dyDescent="0.3"/>
    <row r="12294" s="160" customFormat="1" x14ac:dyDescent="0.3"/>
    <row r="12295" s="160" customFormat="1" x14ac:dyDescent="0.3"/>
    <row r="12296" s="160" customFormat="1" x14ac:dyDescent="0.3"/>
    <row r="12297" s="160" customFormat="1" x14ac:dyDescent="0.3"/>
    <row r="12298" s="160" customFormat="1" x14ac:dyDescent="0.3"/>
    <row r="12299" s="160" customFormat="1" x14ac:dyDescent="0.3"/>
    <row r="12300" s="160" customFormat="1" x14ac:dyDescent="0.3"/>
    <row r="12301" s="160" customFormat="1" x14ac:dyDescent="0.3"/>
    <row r="12302" s="160" customFormat="1" x14ac:dyDescent="0.3"/>
    <row r="12303" s="160" customFormat="1" x14ac:dyDescent="0.3"/>
    <row r="12304" s="160" customFormat="1" x14ac:dyDescent="0.3"/>
    <row r="12305" s="160" customFormat="1" x14ac:dyDescent="0.3"/>
    <row r="12306" s="160" customFormat="1" x14ac:dyDescent="0.3"/>
    <row r="12307" s="160" customFormat="1" x14ac:dyDescent="0.3"/>
    <row r="12308" s="160" customFormat="1" x14ac:dyDescent="0.3"/>
    <row r="12309" s="160" customFormat="1" x14ac:dyDescent="0.3"/>
    <row r="12310" s="160" customFormat="1" x14ac:dyDescent="0.3"/>
    <row r="12311" s="160" customFormat="1" x14ac:dyDescent="0.3"/>
    <row r="12312" s="160" customFormat="1" x14ac:dyDescent="0.3"/>
    <row r="12313" s="160" customFormat="1" x14ac:dyDescent="0.3"/>
    <row r="12314" s="160" customFormat="1" x14ac:dyDescent="0.3"/>
    <row r="12315" s="160" customFormat="1" x14ac:dyDescent="0.3"/>
    <row r="12316" s="160" customFormat="1" x14ac:dyDescent="0.3"/>
    <row r="12317" s="160" customFormat="1" x14ac:dyDescent="0.3"/>
    <row r="12318" s="160" customFormat="1" x14ac:dyDescent="0.3"/>
    <row r="12319" s="160" customFormat="1" x14ac:dyDescent="0.3"/>
    <row r="12320" s="160" customFormat="1" x14ac:dyDescent="0.3"/>
    <row r="12321" s="160" customFormat="1" x14ac:dyDescent="0.3"/>
    <row r="12322" s="160" customFormat="1" x14ac:dyDescent="0.3"/>
    <row r="12323" s="160" customFormat="1" x14ac:dyDescent="0.3"/>
    <row r="12324" s="160" customFormat="1" x14ac:dyDescent="0.3"/>
    <row r="12325" s="160" customFormat="1" x14ac:dyDescent="0.3"/>
    <row r="12326" s="160" customFormat="1" x14ac:dyDescent="0.3"/>
    <row r="12327" s="160" customFormat="1" x14ac:dyDescent="0.3"/>
    <row r="12328" s="160" customFormat="1" x14ac:dyDescent="0.3"/>
    <row r="12329" s="160" customFormat="1" x14ac:dyDescent="0.3"/>
    <row r="12330" s="160" customFormat="1" x14ac:dyDescent="0.3"/>
    <row r="12331" s="160" customFormat="1" x14ac:dyDescent="0.3"/>
    <row r="12332" s="160" customFormat="1" x14ac:dyDescent="0.3"/>
    <row r="12333" s="160" customFormat="1" x14ac:dyDescent="0.3"/>
    <row r="12334" s="160" customFormat="1" x14ac:dyDescent="0.3"/>
    <row r="12335" s="160" customFormat="1" x14ac:dyDescent="0.3"/>
    <row r="12336" s="160" customFormat="1" x14ac:dyDescent="0.3"/>
    <row r="12337" s="160" customFormat="1" x14ac:dyDescent="0.3"/>
    <row r="12338" s="160" customFormat="1" x14ac:dyDescent="0.3"/>
    <row r="12339" s="160" customFormat="1" x14ac:dyDescent="0.3"/>
    <row r="12340" s="160" customFormat="1" x14ac:dyDescent="0.3"/>
    <row r="12341" s="160" customFormat="1" x14ac:dyDescent="0.3"/>
    <row r="12342" s="160" customFormat="1" x14ac:dyDescent="0.3"/>
    <row r="12343" s="160" customFormat="1" x14ac:dyDescent="0.3"/>
    <row r="12344" s="160" customFormat="1" x14ac:dyDescent="0.3"/>
    <row r="12345" s="160" customFormat="1" x14ac:dyDescent="0.3"/>
    <row r="12346" s="160" customFormat="1" x14ac:dyDescent="0.3"/>
    <row r="12347" s="160" customFormat="1" x14ac:dyDescent="0.3"/>
    <row r="12348" s="160" customFormat="1" x14ac:dyDescent="0.3"/>
    <row r="12349" s="160" customFormat="1" x14ac:dyDescent="0.3"/>
    <row r="12350" s="160" customFormat="1" x14ac:dyDescent="0.3"/>
    <row r="12351" s="160" customFormat="1" x14ac:dyDescent="0.3"/>
    <row r="12352" s="160" customFormat="1" x14ac:dyDescent="0.3"/>
    <row r="12353" s="160" customFormat="1" x14ac:dyDescent="0.3"/>
    <row r="12354" s="160" customFormat="1" x14ac:dyDescent="0.3"/>
    <row r="12355" s="160" customFormat="1" x14ac:dyDescent="0.3"/>
    <row r="12356" s="160" customFormat="1" x14ac:dyDescent="0.3"/>
    <row r="12357" s="160" customFormat="1" x14ac:dyDescent="0.3"/>
    <row r="12358" s="160" customFormat="1" x14ac:dyDescent="0.3"/>
    <row r="12359" s="160" customFormat="1" x14ac:dyDescent="0.3"/>
    <row r="12360" s="160" customFormat="1" x14ac:dyDescent="0.3"/>
    <row r="12361" s="160" customFormat="1" x14ac:dyDescent="0.3"/>
    <row r="12362" s="160" customFormat="1" x14ac:dyDescent="0.3"/>
    <row r="12363" s="160" customFormat="1" x14ac:dyDescent="0.3"/>
    <row r="12364" s="160" customFormat="1" x14ac:dyDescent="0.3"/>
    <row r="12365" s="160" customFormat="1" x14ac:dyDescent="0.3"/>
    <row r="12366" s="160" customFormat="1" x14ac:dyDescent="0.3"/>
    <row r="12367" s="160" customFormat="1" x14ac:dyDescent="0.3"/>
    <row r="12368" s="160" customFormat="1" x14ac:dyDescent="0.3"/>
    <row r="12369" s="160" customFormat="1" x14ac:dyDescent="0.3"/>
    <row r="12370" s="160" customFormat="1" x14ac:dyDescent="0.3"/>
    <row r="12371" s="160" customFormat="1" x14ac:dyDescent="0.3"/>
    <row r="12372" s="160" customFormat="1" x14ac:dyDescent="0.3"/>
    <row r="12373" s="160" customFormat="1" x14ac:dyDescent="0.3"/>
    <row r="12374" s="160" customFormat="1" x14ac:dyDescent="0.3"/>
    <row r="12375" s="160" customFormat="1" x14ac:dyDescent="0.3"/>
    <row r="12376" s="160" customFormat="1" x14ac:dyDescent="0.3"/>
    <row r="12377" s="160" customFormat="1" x14ac:dyDescent="0.3"/>
    <row r="12378" s="160" customFormat="1" x14ac:dyDescent="0.3"/>
    <row r="12379" s="160" customFormat="1" x14ac:dyDescent="0.3"/>
    <row r="12380" s="160" customFormat="1" x14ac:dyDescent="0.3"/>
    <row r="12381" s="160" customFormat="1" x14ac:dyDescent="0.3"/>
    <row r="12382" s="160" customFormat="1" x14ac:dyDescent="0.3"/>
    <row r="12383" s="160" customFormat="1" x14ac:dyDescent="0.3"/>
    <row r="12384" s="160" customFormat="1" x14ac:dyDescent="0.3"/>
    <row r="12385" s="160" customFormat="1" x14ac:dyDescent="0.3"/>
    <row r="12386" s="160" customFormat="1" x14ac:dyDescent="0.3"/>
    <row r="12387" s="160" customFormat="1" x14ac:dyDescent="0.3"/>
    <row r="12388" s="160" customFormat="1" x14ac:dyDescent="0.3"/>
    <row r="12389" s="160" customFormat="1" x14ac:dyDescent="0.3"/>
    <row r="12390" s="160" customFormat="1" x14ac:dyDescent="0.3"/>
    <row r="12391" s="160" customFormat="1" x14ac:dyDescent="0.3"/>
    <row r="12392" s="160" customFormat="1" x14ac:dyDescent="0.3"/>
    <row r="12393" s="160" customFormat="1" x14ac:dyDescent="0.3"/>
    <row r="12394" s="160" customFormat="1" x14ac:dyDescent="0.3"/>
    <row r="12395" s="160" customFormat="1" x14ac:dyDescent="0.3"/>
    <row r="12396" s="160" customFormat="1" x14ac:dyDescent="0.3"/>
    <row r="12397" s="160" customFormat="1" x14ac:dyDescent="0.3"/>
    <row r="12398" s="160" customFormat="1" x14ac:dyDescent="0.3"/>
    <row r="12399" s="160" customFormat="1" x14ac:dyDescent="0.3"/>
    <row r="12400" s="160" customFormat="1" x14ac:dyDescent="0.3"/>
    <row r="12401" s="160" customFormat="1" x14ac:dyDescent="0.3"/>
    <row r="12402" s="160" customFormat="1" x14ac:dyDescent="0.3"/>
    <row r="12403" s="160" customFormat="1" x14ac:dyDescent="0.3"/>
    <row r="12404" s="160" customFormat="1" x14ac:dyDescent="0.3"/>
    <row r="12405" s="160" customFormat="1" x14ac:dyDescent="0.3"/>
    <row r="12406" s="160" customFormat="1" x14ac:dyDescent="0.3"/>
    <row r="12407" s="160" customFormat="1" x14ac:dyDescent="0.3"/>
    <row r="12408" s="160" customFormat="1" x14ac:dyDescent="0.3"/>
    <row r="12409" s="160" customFormat="1" x14ac:dyDescent="0.3"/>
    <row r="12410" s="160" customFormat="1" x14ac:dyDescent="0.3"/>
    <row r="12411" s="160" customFormat="1" x14ac:dyDescent="0.3"/>
    <row r="12412" s="160" customFormat="1" x14ac:dyDescent="0.3"/>
    <row r="12413" s="160" customFormat="1" x14ac:dyDescent="0.3"/>
    <row r="12414" s="160" customFormat="1" x14ac:dyDescent="0.3"/>
    <row r="12415" s="160" customFormat="1" x14ac:dyDescent="0.3"/>
    <row r="12416" s="160" customFormat="1" x14ac:dyDescent="0.3"/>
    <row r="12417" s="160" customFormat="1" x14ac:dyDescent="0.3"/>
    <row r="12418" s="160" customFormat="1" x14ac:dyDescent="0.3"/>
    <row r="12419" s="160" customFormat="1" x14ac:dyDescent="0.3"/>
    <row r="12420" s="160" customFormat="1" x14ac:dyDescent="0.3"/>
    <row r="12421" s="160" customFormat="1" x14ac:dyDescent="0.3"/>
    <row r="12422" s="160" customFormat="1" x14ac:dyDescent="0.3"/>
    <row r="12423" s="160" customFormat="1" x14ac:dyDescent="0.3"/>
    <row r="12424" s="160" customFormat="1" x14ac:dyDescent="0.3"/>
    <row r="12425" s="160" customFormat="1" x14ac:dyDescent="0.3"/>
    <row r="12426" s="160" customFormat="1" x14ac:dyDescent="0.3"/>
    <row r="12427" s="160" customFormat="1" x14ac:dyDescent="0.3"/>
    <row r="12428" s="160" customFormat="1" x14ac:dyDescent="0.3"/>
    <row r="12429" s="160" customFormat="1" x14ac:dyDescent="0.3"/>
    <row r="12430" s="160" customFormat="1" x14ac:dyDescent="0.3"/>
    <row r="12431" s="160" customFormat="1" x14ac:dyDescent="0.3"/>
    <row r="12432" s="160" customFormat="1" x14ac:dyDescent="0.3"/>
    <row r="12433" s="160" customFormat="1" x14ac:dyDescent="0.3"/>
    <row r="12434" s="160" customFormat="1" x14ac:dyDescent="0.3"/>
    <row r="12435" s="160" customFormat="1" x14ac:dyDescent="0.3"/>
    <row r="12436" s="160" customFormat="1" x14ac:dyDescent="0.3"/>
    <row r="12437" s="160" customFormat="1" x14ac:dyDescent="0.3"/>
    <row r="12438" s="160" customFormat="1" x14ac:dyDescent="0.3"/>
    <row r="12439" s="160" customFormat="1" x14ac:dyDescent="0.3"/>
    <row r="12440" s="160" customFormat="1" x14ac:dyDescent="0.3"/>
    <row r="12441" s="160" customFormat="1" x14ac:dyDescent="0.3"/>
    <row r="12442" s="160" customFormat="1" x14ac:dyDescent="0.3"/>
    <row r="12443" s="160" customFormat="1" x14ac:dyDescent="0.3"/>
    <row r="12444" s="160" customFormat="1" x14ac:dyDescent="0.3"/>
    <row r="12445" s="160" customFormat="1" x14ac:dyDescent="0.3"/>
    <row r="12446" s="160" customFormat="1" x14ac:dyDescent="0.3"/>
    <row r="12447" s="160" customFormat="1" x14ac:dyDescent="0.3"/>
    <row r="12448" s="160" customFormat="1" x14ac:dyDescent="0.3"/>
    <row r="12449" s="160" customFormat="1" x14ac:dyDescent="0.3"/>
    <row r="12450" s="160" customFormat="1" x14ac:dyDescent="0.3"/>
    <row r="12451" s="160" customFormat="1" x14ac:dyDescent="0.3"/>
    <row r="12452" s="160" customFormat="1" x14ac:dyDescent="0.3"/>
    <row r="12453" s="160" customFormat="1" x14ac:dyDescent="0.3"/>
    <row r="12454" s="160" customFormat="1" x14ac:dyDescent="0.3"/>
    <row r="12455" s="160" customFormat="1" x14ac:dyDescent="0.3"/>
    <row r="12456" s="160" customFormat="1" x14ac:dyDescent="0.3"/>
    <row r="12457" s="160" customFormat="1" x14ac:dyDescent="0.3"/>
    <row r="12458" s="160" customFormat="1" x14ac:dyDescent="0.3"/>
    <row r="12459" s="160" customFormat="1" x14ac:dyDescent="0.3"/>
    <row r="12460" s="160" customFormat="1" x14ac:dyDescent="0.3"/>
    <row r="12461" s="160" customFormat="1" x14ac:dyDescent="0.3"/>
    <row r="12462" s="160" customFormat="1" x14ac:dyDescent="0.3"/>
    <row r="12463" s="160" customFormat="1" x14ac:dyDescent="0.3"/>
    <row r="12464" s="160" customFormat="1" x14ac:dyDescent="0.3"/>
    <row r="12465" s="160" customFormat="1" x14ac:dyDescent="0.3"/>
    <row r="12466" s="160" customFormat="1" x14ac:dyDescent="0.3"/>
    <row r="12467" s="160" customFormat="1" x14ac:dyDescent="0.3"/>
    <row r="12468" s="160" customFormat="1" x14ac:dyDescent="0.3"/>
    <row r="12469" s="160" customFormat="1" x14ac:dyDescent="0.3"/>
    <row r="12470" s="160" customFormat="1" x14ac:dyDescent="0.3"/>
    <row r="12471" s="160" customFormat="1" x14ac:dyDescent="0.3"/>
    <row r="12472" s="160" customFormat="1" x14ac:dyDescent="0.3"/>
    <row r="12473" s="160" customFormat="1" x14ac:dyDescent="0.3"/>
    <row r="12474" s="160" customFormat="1" x14ac:dyDescent="0.3"/>
    <row r="12475" s="160" customFormat="1" x14ac:dyDescent="0.3"/>
    <row r="12476" s="160" customFormat="1" x14ac:dyDescent="0.3"/>
    <row r="12477" s="160" customFormat="1" x14ac:dyDescent="0.3"/>
    <row r="12478" s="160" customFormat="1" x14ac:dyDescent="0.3"/>
    <row r="12479" s="160" customFormat="1" x14ac:dyDescent="0.3"/>
    <row r="12480" s="160" customFormat="1" x14ac:dyDescent="0.3"/>
    <row r="12481" s="160" customFormat="1" x14ac:dyDescent="0.3"/>
    <row r="12482" s="160" customFormat="1" x14ac:dyDescent="0.3"/>
    <row r="12483" s="160" customFormat="1" x14ac:dyDescent="0.3"/>
    <row r="12484" s="160" customFormat="1" x14ac:dyDescent="0.3"/>
    <row r="12485" s="160" customFormat="1" x14ac:dyDescent="0.3"/>
    <row r="12486" s="160" customFormat="1" x14ac:dyDescent="0.3"/>
    <row r="12487" s="160" customFormat="1" x14ac:dyDescent="0.3"/>
    <row r="12488" s="160" customFormat="1" x14ac:dyDescent="0.3"/>
    <row r="12489" s="160" customFormat="1" x14ac:dyDescent="0.3"/>
    <row r="12490" s="160" customFormat="1" x14ac:dyDescent="0.3"/>
    <row r="12491" s="160" customFormat="1" x14ac:dyDescent="0.3"/>
    <row r="12492" s="160" customFormat="1" x14ac:dyDescent="0.3"/>
    <row r="12493" s="160" customFormat="1" x14ac:dyDescent="0.3"/>
    <row r="12494" s="160" customFormat="1" x14ac:dyDescent="0.3"/>
    <row r="12495" s="160" customFormat="1" x14ac:dyDescent="0.3"/>
    <row r="12496" s="160" customFormat="1" x14ac:dyDescent="0.3"/>
    <row r="12497" s="160" customFormat="1" x14ac:dyDescent="0.3"/>
    <row r="12498" s="160" customFormat="1" x14ac:dyDescent="0.3"/>
    <row r="12499" s="160" customFormat="1" x14ac:dyDescent="0.3"/>
    <row r="12500" s="160" customFormat="1" x14ac:dyDescent="0.3"/>
    <row r="12501" s="160" customFormat="1" x14ac:dyDescent="0.3"/>
    <row r="12502" s="160" customFormat="1" x14ac:dyDescent="0.3"/>
    <row r="12503" s="160" customFormat="1" x14ac:dyDescent="0.3"/>
    <row r="12504" s="160" customFormat="1" x14ac:dyDescent="0.3"/>
    <row r="12505" s="160" customFormat="1" x14ac:dyDescent="0.3"/>
    <row r="12506" s="160" customFormat="1" x14ac:dyDescent="0.3"/>
    <row r="12507" s="160" customFormat="1" x14ac:dyDescent="0.3"/>
    <row r="12508" s="160" customFormat="1" x14ac:dyDescent="0.3"/>
    <row r="12509" s="160" customFormat="1" x14ac:dyDescent="0.3"/>
    <row r="12510" s="160" customFormat="1" x14ac:dyDescent="0.3"/>
    <row r="12511" s="160" customFormat="1" x14ac:dyDescent="0.3"/>
    <row r="12512" s="160" customFormat="1" x14ac:dyDescent="0.3"/>
    <row r="12513" s="160" customFormat="1" x14ac:dyDescent="0.3"/>
    <row r="12514" s="160" customFormat="1" x14ac:dyDescent="0.3"/>
    <row r="12515" s="160" customFormat="1" x14ac:dyDescent="0.3"/>
    <row r="12516" s="160" customFormat="1" x14ac:dyDescent="0.3"/>
    <row r="12517" s="160" customFormat="1" x14ac:dyDescent="0.3"/>
    <row r="12518" s="160" customFormat="1" x14ac:dyDescent="0.3"/>
    <row r="12519" s="160" customFormat="1" x14ac:dyDescent="0.3"/>
    <row r="12520" s="160" customFormat="1" x14ac:dyDescent="0.3"/>
    <row r="12521" s="160" customFormat="1" x14ac:dyDescent="0.3"/>
    <row r="12522" s="160" customFormat="1" x14ac:dyDescent="0.3"/>
    <row r="12523" s="160" customFormat="1" x14ac:dyDescent="0.3"/>
    <row r="12524" s="160" customFormat="1" x14ac:dyDescent="0.3"/>
    <row r="12525" s="160" customFormat="1" x14ac:dyDescent="0.3"/>
    <row r="12526" s="160" customFormat="1" x14ac:dyDescent="0.3"/>
    <row r="12527" s="160" customFormat="1" x14ac:dyDescent="0.3"/>
    <row r="12528" s="160" customFormat="1" x14ac:dyDescent="0.3"/>
    <row r="12529" s="160" customFormat="1" x14ac:dyDescent="0.3"/>
    <row r="12530" s="160" customFormat="1" x14ac:dyDescent="0.3"/>
    <row r="12531" s="160" customFormat="1" x14ac:dyDescent="0.3"/>
    <row r="12532" s="160" customFormat="1" x14ac:dyDescent="0.3"/>
    <row r="12533" s="160" customFormat="1" x14ac:dyDescent="0.3"/>
    <row r="12534" s="160" customFormat="1" x14ac:dyDescent="0.3"/>
    <row r="12535" s="160" customFormat="1" x14ac:dyDescent="0.3"/>
    <row r="12536" s="160" customFormat="1" x14ac:dyDescent="0.3"/>
    <row r="12537" s="160" customFormat="1" x14ac:dyDescent="0.3"/>
    <row r="12538" s="160" customFormat="1" x14ac:dyDescent="0.3"/>
    <row r="12539" s="160" customFormat="1" x14ac:dyDescent="0.3"/>
    <row r="12540" s="160" customFormat="1" x14ac:dyDescent="0.3"/>
    <row r="12541" s="160" customFormat="1" x14ac:dyDescent="0.3"/>
    <row r="12542" s="160" customFormat="1" x14ac:dyDescent="0.3"/>
    <row r="12543" s="160" customFormat="1" x14ac:dyDescent="0.3"/>
    <row r="12544" s="160" customFormat="1" x14ac:dyDescent="0.3"/>
    <row r="12545" s="160" customFormat="1" x14ac:dyDescent="0.3"/>
    <row r="12546" s="160" customFormat="1" x14ac:dyDescent="0.3"/>
    <row r="12547" s="160" customFormat="1" x14ac:dyDescent="0.3"/>
    <row r="12548" s="160" customFormat="1" x14ac:dyDescent="0.3"/>
    <row r="12549" s="160" customFormat="1" x14ac:dyDescent="0.3"/>
    <row r="12550" s="160" customFormat="1" x14ac:dyDescent="0.3"/>
    <row r="12551" s="160" customFormat="1" x14ac:dyDescent="0.3"/>
    <row r="12552" s="160" customFormat="1" x14ac:dyDescent="0.3"/>
    <row r="12553" s="160" customFormat="1" x14ac:dyDescent="0.3"/>
    <row r="12554" s="160" customFormat="1" x14ac:dyDescent="0.3"/>
    <row r="12555" s="160" customFormat="1" x14ac:dyDescent="0.3"/>
    <row r="12556" s="160" customFormat="1" x14ac:dyDescent="0.3"/>
    <row r="12557" s="160" customFormat="1" x14ac:dyDescent="0.3"/>
    <row r="12558" s="160" customFormat="1" x14ac:dyDescent="0.3"/>
    <row r="12559" s="160" customFormat="1" x14ac:dyDescent="0.3"/>
    <row r="12560" s="160" customFormat="1" x14ac:dyDescent="0.3"/>
    <row r="12561" s="160" customFormat="1" x14ac:dyDescent="0.3"/>
    <row r="12562" s="160" customFormat="1" x14ac:dyDescent="0.3"/>
    <row r="12563" s="160" customFormat="1" x14ac:dyDescent="0.3"/>
    <row r="12564" s="160" customFormat="1" x14ac:dyDescent="0.3"/>
    <row r="12565" s="160" customFormat="1" x14ac:dyDescent="0.3"/>
    <row r="12566" s="160" customFormat="1" x14ac:dyDescent="0.3"/>
    <row r="12567" s="160" customFormat="1" x14ac:dyDescent="0.3"/>
    <row r="12568" s="160" customFormat="1" x14ac:dyDescent="0.3"/>
    <row r="12569" s="160" customFormat="1" x14ac:dyDescent="0.3"/>
    <row r="12570" s="160" customFormat="1" x14ac:dyDescent="0.3"/>
    <row r="12571" s="160" customFormat="1" x14ac:dyDescent="0.3"/>
    <row r="12572" s="160" customFormat="1" x14ac:dyDescent="0.3"/>
    <row r="12573" s="160" customFormat="1" x14ac:dyDescent="0.3"/>
    <row r="12574" s="160" customFormat="1" x14ac:dyDescent="0.3"/>
    <row r="12575" s="160" customFormat="1" x14ac:dyDescent="0.3"/>
    <row r="12576" s="160" customFormat="1" x14ac:dyDescent="0.3"/>
    <row r="12577" s="160" customFormat="1" x14ac:dyDescent="0.3"/>
    <row r="12578" s="160" customFormat="1" x14ac:dyDescent="0.3"/>
    <row r="12579" s="160" customFormat="1" x14ac:dyDescent="0.3"/>
    <row r="12580" s="160" customFormat="1" x14ac:dyDescent="0.3"/>
    <row r="12581" s="160" customFormat="1" x14ac:dyDescent="0.3"/>
    <row r="12582" s="160" customFormat="1" x14ac:dyDescent="0.3"/>
    <row r="12583" s="160" customFormat="1" x14ac:dyDescent="0.3"/>
    <row r="12584" s="160" customFormat="1" x14ac:dyDescent="0.3"/>
    <row r="12585" s="160" customFormat="1" x14ac:dyDescent="0.3"/>
    <row r="12586" s="160" customFormat="1" x14ac:dyDescent="0.3"/>
    <row r="12587" s="160" customFormat="1" x14ac:dyDescent="0.3"/>
    <row r="12588" s="160" customFormat="1" x14ac:dyDescent="0.3"/>
    <row r="12589" s="160" customFormat="1" x14ac:dyDescent="0.3"/>
    <row r="12590" s="160" customFormat="1" x14ac:dyDescent="0.3"/>
    <row r="12591" s="160" customFormat="1" x14ac:dyDescent="0.3"/>
    <row r="12592" s="160" customFormat="1" x14ac:dyDescent="0.3"/>
    <row r="12593" s="160" customFormat="1" x14ac:dyDescent="0.3"/>
    <row r="12594" s="160" customFormat="1" x14ac:dyDescent="0.3"/>
    <row r="12595" s="160" customFormat="1" x14ac:dyDescent="0.3"/>
    <row r="12596" s="160" customFormat="1" x14ac:dyDescent="0.3"/>
    <row r="12597" s="160" customFormat="1" x14ac:dyDescent="0.3"/>
    <row r="12598" s="160" customFormat="1" x14ac:dyDescent="0.3"/>
    <row r="12599" s="160" customFormat="1" x14ac:dyDescent="0.3"/>
    <row r="12600" s="160" customFormat="1" x14ac:dyDescent="0.3"/>
    <row r="12601" s="160" customFormat="1" x14ac:dyDescent="0.3"/>
    <row r="12602" s="160" customFormat="1" x14ac:dyDescent="0.3"/>
    <row r="12603" s="160" customFormat="1" x14ac:dyDescent="0.3"/>
    <row r="12604" s="160" customFormat="1" x14ac:dyDescent="0.3"/>
    <row r="12605" s="160" customFormat="1" x14ac:dyDescent="0.3"/>
    <row r="12606" s="160" customFormat="1" x14ac:dyDescent="0.3"/>
    <row r="12607" s="160" customFormat="1" x14ac:dyDescent="0.3"/>
    <row r="12608" s="160" customFormat="1" x14ac:dyDescent="0.3"/>
    <row r="12609" s="160" customFormat="1" x14ac:dyDescent="0.3"/>
    <row r="12610" s="160" customFormat="1" x14ac:dyDescent="0.3"/>
    <row r="12611" s="160" customFormat="1" x14ac:dyDescent="0.3"/>
    <row r="12612" s="160" customFormat="1" x14ac:dyDescent="0.3"/>
    <row r="12613" s="160" customFormat="1" x14ac:dyDescent="0.3"/>
    <row r="12614" s="160" customFormat="1" x14ac:dyDescent="0.3"/>
    <row r="12615" s="160" customFormat="1" x14ac:dyDescent="0.3"/>
    <row r="12616" s="160" customFormat="1" x14ac:dyDescent="0.3"/>
    <row r="12617" s="160" customFormat="1" x14ac:dyDescent="0.3"/>
    <row r="12618" s="160" customFormat="1" x14ac:dyDescent="0.3"/>
    <row r="12619" s="160" customFormat="1" x14ac:dyDescent="0.3"/>
    <row r="12620" s="160" customFormat="1" x14ac:dyDescent="0.3"/>
    <row r="12621" s="160" customFormat="1" x14ac:dyDescent="0.3"/>
    <row r="12622" s="160" customFormat="1" x14ac:dyDescent="0.3"/>
    <row r="12623" s="160" customFormat="1" x14ac:dyDescent="0.3"/>
    <row r="12624" s="160" customFormat="1" x14ac:dyDescent="0.3"/>
    <row r="12625" s="160" customFormat="1" x14ac:dyDescent="0.3"/>
    <row r="12626" s="160" customFormat="1" x14ac:dyDescent="0.3"/>
    <row r="12627" s="160" customFormat="1" x14ac:dyDescent="0.3"/>
    <row r="12628" s="160" customFormat="1" x14ac:dyDescent="0.3"/>
    <row r="12629" s="160" customFormat="1" x14ac:dyDescent="0.3"/>
    <row r="12630" s="160" customFormat="1" x14ac:dyDescent="0.3"/>
    <row r="12631" s="160" customFormat="1" x14ac:dyDescent="0.3"/>
    <row r="12632" s="160" customFormat="1" x14ac:dyDescent="0.3"/>
    <row r="12633" s="160" customFormat="1" x14ac:dyDescent="0.3"/>
    <row r="12634" s="160" customFormat="1" x14ac:dyDescent="0.3"/>
    <row r="12635" s="160" customFormat="1" x14ac:dyDescent="0.3"/>
    <row r="12636" s="160" customFormat="1" x14ac:dyDescent="0.3"/>
    <row r="12637" s="160" customFormat="1" x14ac:dyDescent="0.3"/>
    <row r="12638" s="160" customFormat="1" x14ac:dyDescent="0.3"/>
    <row r="12639" s="160" customFormat="1" x14ac:dyDescent="0.3"/>
    <row r="12640" s="160" customFormat="1" x14ac:dyDescent="0.3"/>
    <row r="12641" s="160" customFormat="1" x14ac:dyDescent="0.3"/>
    <row r="12642" s="160" customFormat="1" x14ac:dyDescent="0.3"/>
    <row r="12643" s="160" customFormat="1" x14ac:dyDescent="0.3"/>
    <row r="12644" s="160" customFormat="1" x14ac:dyDescent="0.3"/>
    <row r="12645" s="160" customFormat="1" x14ac:dyDescent="0.3"/>
    <row r="12646" s="160" customFormat="1" x14ac:dyDescent="0.3"/>
    <row r="12647" s="160" customFormat="1" x14ac:dyDescent="0.3"/>
    <row r="12648" s="160" customFormat="1" x14ac:dyDescent="0.3"/>
    <row r="12649" s="160" customFormat="1" x14ac:dyDescent="0.3"/>
    <row r="12650" s="160" customFormat="1" x14ac:dyDescent="0.3"/>
    <row r="12651" s="160" customFormat="1" x14ac:dyDescent="0.3"/>
    <row r="12652" s="160" customFormat="1" x14ac:dyDescent="0.3"/>
    <row r="12653" s="160" customFormat="1" x14ac:dyDescent="0.3"/>
    <row r="12654" s="160" customFormat="1" x14ac:dyDescent="0.3"/>
    <row r="12655" s="160" customFormat="1" x14ac:dyDescent="0.3"/>
    <row r="12656" s="160" customFormat="1" x14ac:dyDescent="0.3"/>
    <row r="12657" s="160" customFormat="1" x14ac:dyDescent="0.3"/>
    <row r="12658" s="160" customFormat="1" x14ac:dyDescent="0.3"/>
    <row r="12659" s="160" customFormat="1" x14ac:dyDescent="0.3"/>
    <row r="12660" s="160" customFormat="1" x14ac:dyDescent="0.3"/>
    <row r="12661" s="160" customFormat="1" x14ac:dyDescent="0.3"/>
    <row r="12662" s="160" customFormat="1" x14ac:dyDescent="0.3"/>
    <row r="12663" s="160" customFormat="1" x14ac:dyDescent="0.3"/>
    <row r="12664" s="160" customFormat="1" x14ac:dyDescent="0.3"/>
    <row r="12665" s="160" customFormat="1" x14ac:dyDescent="0.3"/>
    <row r="12666" s="160" customFormat="1" x14ac:dyDescent="0.3"/>
    <row r="12667" s="160" customFormat="1" x14ac:dyDescent="0.3"/>
    <row r="12668" s="160" customFormat="1" x14ac:dyDescent="0.3"/>
    <row r="12669" s="160" customFormat="1" x14ac:dyDescent="0.3"/>
    <row r="12670" s="160" customFormat="1" x14ac:dyDescent="0.3"/>
    <row r="12671" s="160" customFormat="1" x14ac:dyDescent="0.3"/>
    <row r="12672" s="160" customFormat="1" x14ac:dyDescent="0.3"/>
    <row r="12673" s="160" customFormat="1" x14ac:dyDescent="0.3"/>
    <row r="12674" s="160" customFormat="1" x14ac:dyDescent="0.3"/>
    <row r="12675" s="160" customFormat="1" x14ac:dyDescent="0.3"/>
    <row r="12676" s="160" customFormat="1" x14ac:dyDescent="0.3"/>
    <row r="12677" s="160" customFormat="1" x14ac:dyDescent="0.3"/>
    <row r="12678" s="160" customFormat="1" x14ac:dyDescent="0.3"/>
    <row r="12679" s="160" customFormat="1" x14ac:dyDescent="0.3"/>
    <row r="12680" s="160" customFormat="1" x14ac:dyDescent="0.3"/>
    <row r="12681" s="160" customFormat="1" x14ac:dyDescent="0.3"/>
    <row r="12682" s="160" customFormat="1" x14ac:dyDescent="0.3"/>
    <row r="12683" s="160" customFormat="1" x14ac:dyDescent="0.3"/>
    <row r="12684" s="160" customFormat="1" x14ac:dyDescent="0.3"/>
    <row r="12685" s="160" customFormat="1" x14ac:dyDescent="0.3"/>
    <row r="12686" s="160" customFormat="1" x14ac:dyDescent="0.3"/>
    <row r="12687" s="160" customFormat="1" x14ac:dyDescent="0.3"/>
    <row r="12688" s="160" customFormat="1" x14ac:dyDescent="0.3"/>
    <row r="12689" s="160" customFormat="1" x14ac:dyDescent="0.3"/>
    <row r="12690" s="160" customFormat="1" x14ac:dyDescent="0.3"/>
    <row r="12691" s="160" customFormat="1" x14ac:dyDescent="0.3"/>
    <row r="12692" s="160" customFormat="1" x14ac:dyDescent="0.3"/>
    <row r="12693" s="160" customFormat="1" x14ac:dyDescent="0.3"/>
    <row r="12694" s="160" customFormat="1" x14ac:dyDescent="0.3"/>
    <row r="12695" s="160" customFormat="1" x14ac:dyDescent="0.3"/>
    <row r="12696" s="160" customFormat="1" x14ac:dyDescent="0.3"/>
    <row r="12697" s="160" customFormat="1" x14ac:dyDescent="0.3"/>
    <row r="12698" s="160" customFormat="1" x14ac:dyDescent="0.3"/>
    <row r="12699" s="160" customFormat="1" x14ac:dyDescent="0.3"/>
    <row r="12700" s="160" customFormat="1" x14ac:dyDescent="0.3"/>
    <row r="12701" s="160" customFormat="1" x14ac:dyDescent="0.3"/>
    <row r="12702" s="160" customFormat="1" x14ac:dyDescent="0.3"/>
    <row r="12703" s="160" customFormat="1" x14ac:dyDescent="0.3"/>
    <row r="12704" s="160" customFormat="1" x14ac:dyDescent="0.3"/>
    <row r="12705" s="160" customFormat="1" x14ac:dyDescent="0.3"/>
    <row r="12706" s="160" customFormat="1" x14ac:dyDescent="0.3"/>
    <row r="12707" s="160" customFormat="1" x14ac:dyDescent="0.3"/>
    <row r="12708" s="160" customFormat="1" x14ac:dyDescent="0.3"/>
    <row r="12709" s="160" customFormat="1" x14ac:dyDescent="0.3"/>
    <row r="12710" s="160" customFormat="1" x14ac:dyDescent="0.3"/>
    <row r="12711" s="160" customFormat="1" x14ac:dyDescent="0.3"/>
    <row r="12712" s="160" customFormat="1" x14ac:dyDescent="0.3"/>
    <row r="12713" s="160" customFormat="1" x14ac:dyDescent="0.3"/>
    <row r="12714" s="160" customFormat="1" x14ac:dyDescent="0.3"/>
    <row r="12715" s="160" customFormat="1" x14ac:dyDescent="0.3"/>
    <row r="12716" s="160" customFormat="1" x14ac:dyDescent="0.3"/>
    <row r="12717" s="160" customFormat="1" x14ac:dyDescent="0.3"/>
    <row r="12718" s="160" customFormat="1" x14ac:dyDescent="0.3"/>
    <row r="12719" s="160" customFormat="1" x14ac:dyDescent="0.3"/>
    <row r="12720" s="160" customFormat="1" x14ac:dyDescent="0.3"/>
    <row r="12721" s="160" customFormat="1" x14ac:dyDescent="0.3"/>
    <row r="12722" s="160" customFormat="1" x14ac:dyDescent="0.3"/>
    <row r="12723" s="160" customFormat="1" x14ac:dyDescent="0.3"/>
    <row r="12724" s="160" customFormat="1" x14ac:dyDescent="0.3"/>
    <row r="12725" s="160" customFormat="1" x14ac:dyDescent="0.3"/>
    <row r="12726" s="160" customFormat="1" x14ac:dyDescent="0.3"/>
    <row r="12727" s="160" customFormat="1" x14ac:dyDescent="0.3"/>
    <row r="12728" s="160" customFormat="1" x14ac:dyDescent="0.3"/>
    <row r="12729" s="160" customFormat="1" x14ac:dyDescent="0.3"/>
    <row r="12730" s="160" customFormat="1" x14ac:dyDescent="0.3"/>
    <row r="12731" s="160" customFormat="1" x14ac:dyDescent="0.3"/>
    <row r="12732" s="160" customFormat="1" x14ac:dyDescent="0.3"/>
    <row r="12733" s="160" customFormat="1" x14ac:dyDescent="0.3"/>
    <row r="12734" s="160" customFormat="1" x14ac:dyDescent="0.3"/>
    <row r="12735" s="160" customFormat="1" x14ac:dyDescent="0.3"/>
    <row r="12736" s="160" customFormat="1" x14ac:dyDescent="0.3"/>
    <row r="12737" s="160" customFormat="1" x14ac:dyDescent="0.3"/>
    <row r="12738" s="160" customFormat="1" x14ac:dyDescent="0.3"/>
    <row r="12739" s="160" customFormat="1" x14ac:dyDescent="0.3"/>
    <row r="12740" s="160" customFormat="1" x14ac:dyDescent="0.3"/>
    <row r="12741" s="160" customFormat="1" x14ac:dyDescent="0.3"/>
    <row r="12742" s="160" customFormat="1" x14ac:dyDescent="0.3"/>
    <row r="12743" s="160" customFormat="1" x14ac:dyDescent="0.3"/>
    <row r="12744" s="160" customFormat="1" x14ac:dyDescent="0.3"/>
    <row r="12745" s="160" customFormat="1" x14ac:dyDescent="0.3"/>
    <row r="12746" s="160" customFormat="1" x14ac:dyDescent="0.3"/>
    <row r="12747" s="160" customFormat="1" x14ac:dyDescent="0.3"/>
    <row r="12748" s="160" customFormat="1" x14ac:dyDescent="0.3"/>
    <row r="12749" s="160" customFormat="1" x14ac:dyDescent="0.3"/>
    <row r="12750" s="160" customFormat="1" x14ac:dyDescent="0.3"/>
    <row r="12751" s="160" customFormat="1" x14ac:dyDescent="0.3"/>
    <row r="12752" s="160" customFormat="1" x14ac:dyDescent="0.3"/>
    <row r="12753" s="160" customFormat="1" x14ac:dyDescent="0.3"/>
    <row r="12754" s="160" customFormat="1" x14ac:dyDescent="0.3"/>
    <row r="12755" s="160" customFormat="1" x14ac:dyDescent="0.3"/>
    <row r="12756" s="160" customFormat="1" x14ac:dyDescent="0.3"/>
    <row r="12757" s="160" customFormat="1" x14ac:dyDescent="0.3"/>
    <row r="12758" s="160" customFormat="1" x14ac:dyDescent="0.3"/>
    <row r="12759" s="160" customFormat="1" x14ac:dyDescent="0.3"/>
    <row r="12760" s="160" customFormat="1" x14ac:dyDescent="0.3"/>
    <row r="12761" s="160" customFormat="1" x14ac:dyDescent="0.3"/>
    <row r="12762" s="160" customFormat="1" x14ac:dyDescent="0.3"/>
    <row r="12763" s="160" customFormat="1" x14ac:dyDescent="0.3"/>
    <row r="12764" s="160" customFormat="1" x14ac:dyDescent="0.3"/>
    <row r="12765" s="160" customFormat="1" x14ac:dyDescent="0.3"/>
    <row r="12766" s="160" customFormat="1" x14ac:dyDescent="0.3"/>
    <row r="12767" s="160" customFormat="1" x14ac:dyDescent="0.3"/>
    <row r="12768" s="160" customFormat="1" x14ac:dyDescent="0.3"/>
    <row r="12769" s="160" customFormat="1" x14ac:dyDescent="0.3"/>
    <row r="12770" s="160" customFormat="1" x14ac:dyDescent="0.3"/>
    <row r="12771" s="160" customFormat="1" x14ac:dyDescent="0.3"/>
    <row r="12772" s="160" customFormat="1" x14ac:dyDescent="0.3"/>
    <row r="12773" s="160" customFormat="1" x14ac:dyDescent="0.3"/>
    <row r="12774" s="160" customFormat="1" x14ac:dyDescent="0.3"/>
    <row r="12775" s="160" customFormat="1" x14ac:dyDescent="0.3"/>
    <row r="12776" s="160" customFormat="1" x14ac:dyDescent="0.3"/>
    <row r="12777" s="160" customFormat="1" x14ac:dyDescent="0.3"/>
    <row r="12778" s="160" customFormat="1" x14ac:dyDescent="0.3"/>
    <row r="12779" s="160" customFormat="1" x14ac:dyDescent="0.3"/>
    <row r="12780" s="160" customFormat="1" x14ac:dyDescent="0.3"/>
    <row r="12781" s="160" customFormat="1" x14ac:dyDescent="0.3"/>
    <row r="12782" s="160" customFormat="1" x14ac:dyDescent="0.3"/>
    <row r="12783" s="160" customFormat="1" x14ac:dyDescent="0.3"/>
    <row r="12784" s="160" customFormat="1" x14ac:dyDescent="0.3"/>
    <row r="12785" s="160" customFormat="1" x14ac:dyDescent="0.3"/>
    <row r="12786" s="160" customFormat="1" x14ac:dyDescent="0.3"/>
    <row r="12787" s="160" customFormat="1" x14ac:dyDescent="0.3"/>
    <row r="12788" s="160" customFormat="1" x14ac:dyDescent="0.3"/>
    <row r="12789" s="160" customFormat="1" x14ac:dyDescent="0.3"/>
    <row r="12790" s="160" customFormat="1" x14ac:dyDescent="0.3"/>
    <row r="12791" s="160" customFormat="1" x14ac:dyDescent="0.3"/>
    <row r="12792" s="160" customFormat="1" x14ac:dyDescent="0.3"/>
    <row r="12793" s="160" customFormat="1" x14ac:dyDescent="0.3"/>
    <row r="12794" s="160" customFormat="1" x14ac:dyDescent="0.3"/>
    <row r="12795" s="160" customFormat="1" x14ac:dyDescent="0.3"/>
    <row r="12796" s="160" customFormat="1" x14ac:dyDescent="0.3"/>
    <row r="12797" s="160" customFormat="1" x14ac:dyDescent="0.3"/>
    <row r="12798" s="160" customFormat="1" x14ac:dyDescent="0.3"/>
    <row r="12799" s="160" customFormat="1" x14ac:dyDescent="0.3"/>
    <row r="12800" s="160" customFormat="1" x14ac:dyDescent="0.3"/>
    <row r="12801" s="160" customFormat="1" x14ac:dyDescent="0.3"/>
    <row r="12802" s="160" customFormat="1" x14ac:dyDescent="0.3"/>
    <row r="12803" s="160" customFormat="1" x14ac:dyDescent="0.3"/>
    <row r="12804" s="160" customFormat="1" x14ac:dyDescent="0.3"/>
    <row r="12805" s="160" customFormat="1" x14ac:dyDescent="0.3"/>
    <row r="12806" s="160" customFormat="1" x14ac:dyDescent="0.3"/>
    <row r="12807" s="160" customFormat="1" x14ac:dyDescent="0.3"/>
    <row r="12808" s="160" customFormat="1" x14ac:dyDescent="0.3"/>
    <row r="12809" s="160" customFormat="1" x14ac:dyDescent="0.3"/>
    <row r="12810" s="160" customFormat="1" x14ac:dyDescent="0.3"/>
    <row r="12811" s="160" customFormat="1" x14ac:dyDescent="0.3"/>
    <row r="12812" s="160" customFormat="1" x14ac:dyDescent="0.3"/>
    <row r="12813" s="160" customFormat="1" x14ac:dyDescent="0.3"/>
    <row r="12814" s="160" customFormat="1" x14ac:dyDescent="0.3"/>
    <row r="12815" s="160" customFormat="1" x14ac:dyDescent="0.3"/>
    <row r="12816" s="160" customFormat="1" x14ac:dyDescent="0.3"/>
    <row r="12817" s="160" customFormat="1" x14ac:dyDescent="0.3"/>
    <row r="12818" s="160" customFormat="1" x14ac:dyDescent="0.3"/>
    <row r="12819" s="160" customFormat="1" x14ac:dyDescent="0.3"/>
    <row r="12820" s="160" customFormat="1" x14ac:dyDescent="0.3"/>
    <row r="12821" s="160" customFormat="1" x14ac:dyDescent="0.3"/>
    <row r="12822" s="160" customFormat="1" x14ac:dyDescent="0.3"/>
    <row r="12823" s="160" customFormat="1" x14ac:dyDescent="0.3"/>
    <row r="12824" s="160" customFormat="1" x14ac:dyDescent="0.3"/>
    <row r="12825" s="160" customFormat="1" x14ac:dyDescent="0.3"/>
    <row r="12826" s="160" customFormat="1" x14ac:dyDescent="0.3"/>
    <row r="12827" s="160" customFormat="1" x14ac:dyDescent="0.3"/>
    <row r="12828" s="160" customFormat="1" x14ac:dyDescent="0.3"/>
    <row r="12829" s="160" customFormat="1" x14ac:dyDescent="0.3"/>
    <row r="12830" s="160" customFormat="1" x14ac:dyDescent="0.3"/>
    <row r="12831" s="160" customFormat="1" x14ac:dyDescent="0.3"/>
    <row r="12832" s="160" customFormat="1" x14ac:dyDescent="0.3"/>
    <row r="12833" s="160" customFormat="1" x14ac:dyDescent="0.3"/>
    <row r="12834" s="160" customFormat="1" x14ac:dyDescent="0.3"/>
    <row r="12835" s="160" customFormat="1" x14ac:dyDescent="0.3"/>
    <row r="12836" s="160" customFormat="1" x14ac:dyDescent="0.3"/>
    <row r="12837" s="160" customFormat="1" x14ac:dyDescent="0.3"/>
    <row r="12838" s="160" customFormat="1" x14ac:dyDescent="0.3"/>
    <row r="12839" s="160" customFormat="1" x14ac:dyDescent="0.3"/>
    <row r="12840" s="160" customFormat="1" x14ac:dyDescent="0.3"/>
    <row r="12841" s="160" customFormat="1" x14ac:dyDescent="0.3"/>
    <row r="12842" s="160" customFormat="1" x14ac:dyDescent="0.3"/>
    <row r="12843" s="160" customFormat="1" x14ac:dyDescent="0.3"/>
    <row r="12844" s="160" customFormat="1" x14ac:dyDescent="0.3"/>
    <row r="12845" s="160" customFormat="1" x14ac:dyDescent="0.3"/>
    <row r="12846" s="160" customFormat="1" x14ac:dyDescent="0.3"/>
    <row r="12847" s="160" customFormat="1" x14ac:dyDescent="0.3"/>
    <row r="12848" s="160" customFormat="1" x14ac:dyDescent="0.3"/>
    <row r="12849" s="160" customFormat="1" x14ac:dyDescent="0.3"/>
    <row r="12850" s="160" customFormat="1" x14ac:dyDescent="0.3"/>
    <row r="12851" s="160" customFormat="1" x14ac:dyDescent="0.3"/>
    <row r="12852" s="160" customFormat="1" x14ac:dyDescent="0.3"/>
    <row r="12853" s="160" customFormat="1" x14ac:dyDescent="0.3"/>
    <row r="12854" s="160" customFormat="1" x14ac:dyDescent="0.3"/>
    <row r="12855" s="160" customFormat="1" x14ac:dyDescent="0.3"/>
    <row r="12856" s="160" customFormat="1" x14ac:dyDescent="0.3"/>
    <row r="12857" s="160" customFormat="1" x14ac:dyDescent="0.3"/>
    <row r="12858" s="160" customFormat="1" x14ac:dyDescent="0.3"/>
    <row r="12859" s="160" customFormat="1" x14ac:dyDescent="0.3"/>
    <row r="12860" s="160" customFormat="1" x14ac:dyDescent="0.3"/>
    <row r="12861" s="160" customFormat="1" x14ac:dyDescent="0.3"/>
    <row r="12862" s="160" customFormat="1" x14ac:dyDescent="0.3"/>
    <row r="12863" s="160" customFormat="1" x14ac:dyDescent="0.3"/>
    <row r="12864" s="160" customFormat="1" x14ac:dyDescent="0.3"/>
    <row r="12865" s="160" customFormat="1" x14ac:dyDescent="0.3"/>
    <row r="12866" s="160" customFormat="1" x14ac:dyDescent="0.3"/>
    <row r="12867" s="160" customFormat="1" x14ac:dyDescent="0.3"/>
    <row r="12868" s="160" customFormat="1" x14ac:dyDescent="0.3"/>
    <row r="12869" s="160" customFormat="1" x14ac:dyDescent="0.3"/>
    <row r="12870" s="160" customFormat="1" x14ac:dyDescent="0.3"/>
    <row r="12871" s="160" customFormat="1" x14ac:dyDescent="0.3"/>
    <row r="12872" s="160" customFormat="1" x14ac:dyDescent="0.3"/>
    <row r="12873" s="160" customFormat="1" x14ac:dyDescent="0.3"/>
    <row r="12874" s="160" customFormat="1" x14ac:dyDescent="0.3"/>
    <row r="12875" s="160" customFormat="1" x14ac:dyDescent="0.3"/>
    <row r="12876" s="160" customFormat="1" x14ac:dyDescent="0.3"/>
    <row r="12877" s="160" customFormat="1" x14ac:dyDescent="0.3"/>
    <row r="12878" s="160" customFormat="1" x14ac:dyDescent="0.3"/>
    <row r="12879" s="160" customFormat="1" x14ac:dyDescent="0.3"/>
    <row r="12880" s="160" customFormat="1" x14ac:dyDescent="0.3"/>
    <row r="12881" s="160" customFormat="1" x14ac:dyDescent="0.3"/>
    <row r="12882" s="160" customFormat="1" x14ac:dyDescent="0.3"/>
    <row r="12883" s="160" customFormat="1" x14ac:dyDescent="0.3"/>
    <row r="12884" s="160" customFormat="1" x14ac:dyDescent="0.3"/>
    <row r="12885" s="160" customFormat="1" x14ac:dyDescent="0.3"/>
    <row r="12886" s="160" customFormat="1" x14ac:dyDescent="0.3"/>
    <row r="12887" s="160" customFormat="1" x14ac:dyDescent="0.3"/>
    <row r="12888" s="160" customFormat="1" x14ac:dyDescent="0.3"/>
    <row r="12889" s="160" customFormat="1" x14ac:dyDescent="0.3"/>
    <row r="12890" s="160" customFormat="1" x14ac:dyDescent="0.3"/>
    <row r="12891" s="160" customFormat="1" x14ac:dyDescent="0.3"/>
    <row r="12892" s="160" customFormat="1" x14ac:dyDescent="0.3"/>
    <row r="12893" s="160" customFormat="1" x14ac:dyDescent="0.3"/>
    <row r="12894" s="160" customFormat="1" x14ac:dyDescent="0.3"/>
    <row r="12895" s="160" customFormat="1" x14ac:dyDescent="0.3"/>
    <row r="12896" s="160" customFormat="1" x14ac:dyDescent="0.3"/>
    <row r="12897" s="160" customFormat="1" x14ac:dyDescent="0.3"/>
    <row r="12898" s="160" customFormat="1" x14ac:dyDescent="0.3"/>
    <row r="12899" s="160" customFormat="1" x14ac:dyDescent="0.3"/>
    <row r="12900" s="160" customFormat="1" x14ac:dyDescent="0.3"/>
    <row r="12901" s="160" customFormat="1" x14ac:dyDescent="0.3"/>
    <row r="12902" s="160" customFormat="1" x14ac:dyDescent="0.3"/>
    <row r="12903" s="160" customFormat="1" x14ac:dyDescent="0.3"/>
    <row r="12904" s="160" customFormat="1" x14ac:dyDescent="0.3"/>
    <row r="12905" s="160" customFormat="1" x14ac:dyDescent="0.3"/>
    <row r="12906" s="160" customFormat="1" x14ac:dyDescent="0.3"/>
    <row r="12907" s="160" customFormat="1" x14ac:dyDescent="0.3"/>
    <row r="12908" s="160" customFormat="1" x14ac:dyDescent="0.3"/>
    <row r="12909" s="160" customFormat="1" x14ac:dyDescent="0.3"/>
    <row r="12910" s="160" customFormat="1" x14ac:dyDescent="0.3"/>
    <row r="12911" s="160" customFormat="1" x14ac:dyDescent="0.3"/>
    <row r="12912" s="160" customFormat="1" x14ac:dyDescent="0.3"/>
    <row r="12913" s="160" customFormat="1" x14ac:dyDescent="0.3"/>
    <row r="12914" s="160" customFormat="1" x14ac:dyDescent="0.3"/>
    <row r="12915" s="160" customFormat="1" x14ac:dyDescent="0.3"/>
    <row r="12916" s="160" customFormat="1" x14ac:dyDescent="0.3"/>
    <row r="12917" s="160" customFormat="1" x14ac:dyDescent="0.3"/>
    <row r="12918" s="160" customFormat="1" x14ac:dyDescent="0.3"/>
    <row r="12919" s="160" customFormat="1" x14ac:dyDescent="0.3"/>
    <row r="12920" s="160" customFormat="1" x14ac:dyDescent="0.3"/>
    <row r="12921" s="160" customFormat="1" x14ac:dyDescent="0.3"/>
    <row r="12922" s="160" customFormat="1" x14ac:dyDescent="0.3"/>
    <row r="12923" s="160" customFormat="1" x14ac:dyDescent="0.3"/>
    <row r="12924" s="160" customFormat="1" x14ac:dyDescent="0.3"/>
    <row r="12925" s="160" customFormat="1" x14ac:dyDescent="0.3"/>
    <row r="12926" s="160" customFormat="1" x14ac:dyDescent="0.3"/>
    <row r="12927" s="160" customFormat="1" x14ac:dyDescent="0.3"/>
    <row r="12928" s="160" customFormat="1" x14ac:dyDescent="0.3"/>
    <row r="12929" s="160" customFormat="1" x14ac:dyDescent="0.3"/>
    <row r="12930" s="160" customFormat="1" x14ac:dyDescent="0.3"/>
    <row r="12931" s="160" customFormat="1" x14ac:dyDescent="0.3"/>
    <row r="12932" s="160" customFormat="1" x14ac:dyDescent="0.3"/>
    <row r="12933" s="160" customFormat="1" x14ac:dyDescent="0.3"/>
    <row r="12934" s="160" customFormat="1" x14ac:dyDescent="0.3"/>
    <row r="12935" s="160" customFormat="1" x14ac:dyDescent="0.3"/>
    <row r="12936" s="160" customFormat="1" x14ac:dyDescent="0.3"/>
    <row r="12937" s="160" customFormat="1" x14ac:dyDescent="0.3"/>
    <row r="12938" s="160" customFormat="1" x14ac:dyDescent="0.3"/>
    <row r="12939" s="160" customFormat="1" x14ac:dyDescent="0.3"/>
    <row r="12940" s="160" customFormat="1" x14ac:dyDescent="0.3"/>
    <row r="12941" s="160" customFormat="1" x14ac:dyDescent="0.3"/>
    <row r="12942" s="160" customFormat="1" x14ac:dyDescent="0.3"/>
    <row r="12943" s="160" customFormat="1" x14ac:dyDescent="0.3"/>
    <row r="12944" s="160" customFormat="1" x14ac:dyDescent="0.3"/>
    <row r="12945" s="160" customFormat="1" x14ac:dyDescent="0.3"/>
    <row r="12946" s="160" customFormat="1" x14ac:dyDescent="0.3"/>
    <row r="12947" s="160" customFormat="1" x14ac:dyDescent="0.3"/>
    <row r="12948" s="160" customFormat="1" x14ac:dyDescent="0.3"/>
    <row r="12949" s="160" customFormat="1" x14ac:dyDescent="0.3"/>
    <row r="12950" s="160" customFormat="1" x14ac:dyDescent="0.3"/>
    <row r="12951" s="160" customFormat="1" x14ac:dyDescent="0.3"/>
    <row r="12952" s="160" customFormat="1" x14ac:dyDescent="0.3"/>
    <row r="12953" s="160" customFormat="1" x14ac:dyDescent="0.3"/>
    <row r="12954" s="160" customFormat="1" x14ac:dyDescent="0.3"/>
    <row r="12955" s="160" customFormat="1" x14ac:dyDescent="0.3"/>
    <row r="12956" s="160" customFormat="1" x14ac:dyDescent="0.3"/>
    <row r="12957" s="160" customFormat="1" x14ac:dyDescent="0.3"/>
    <row r="12958" s="160" customFormat="1" x14ac:dyDescent="0.3"/>
    <row r="12959" s="160" customFormat="1" x14ac:dyDescent="0.3"/>
    <row r="12960" s="160" customFormat="1" x14ac:dyDescent="0.3"/>
    <row r="12961" s="160" customFormat="1" x14ac:dyDescent="0.3"/>
    <row r="12962" s="160" customFormat="1" x14ac:dyDescent="0.3"/>
    <row r="12963" s="160" customFormat="1" x14ac:dyDescent="0.3"/>
    <row r="12964" s="160" customFormat="1" x14ac:dyDescent="0.3"/>
    <row r="12965" s="160" customFormat="1" x14ac:dyDescent="0.3"/>
    <row r="12966" s="160" customFormat="1" x14ac:dyDescent="0.3"/>
    <row r="12967" s="160" customFormat="1" x14ac:dyDescent="0.3"/>
    <row r="12968" s="160" customFormat="1" x14ac:dyDescent="0.3"/>
    <row r="12969" s="160" customFormat="1" x14ac:dyDescent="0.3"/>
    <row r="12970" s="160" customFormat="1" x14ac:dyDescent="0.3"/>
    <row r="12971" s="160" customFormat="1" x14ac:dyDescent="0.3"/>
    <row r="12972" s="160" customFormat="1" x14ac:dyDescent="0.3"/>
    <row r="12973" s="160" customFormat="1" x14ac:dyDescent="0.3"/>
    <row r="12974" s="160" customFormat="1" x14ac:dyDescent="0.3"/>
    <row r="12975" s="160" customFormat="1" x14ac:dyDescent="0.3"/>
    <row r="12976" s="160" customFormat="1" x14ac:dyDescent="0.3"/>
    <row r="12977" s="160" customFormat="1" x14ac:dyDescent="0.3"/>
    <row r="12978" s="160" customFormat="1" x14ac:dyDescent="0.3"/>
    <row r="12979" s="160" customFormat="1" x14ac:dyDescent="0.3"/>
    <row r="12980" s="160" customFormat="1" x14ac:dyDescent="0.3"/>
    <row r="12981" s="160" customFormat="1" x14ac:dyDescent="0.3"/>
    <row r="12982" s="160" customFormat="1" x14ac:dyDescent="0.3"/>
    <row r="12983" s="160" customFormat="1" x14ac:dyDescent="0.3"/>
    <row r="12984" s="160" customFormat="1" x14ac:dyDescent="0.3"/>
    <row r="12985" s="160" customFormat="1" x14ac:dyDescent="0.3"/>
    <row r="12986" s="160" customFormat="1" x14ac:dyDescent="0.3"/>
    <row r="12987" s="160" customFormat="1" x14ac:dyDescent="0.3"/>
    <row r="12988" s="160" customFormat="1" x14ac:dyDescent="0.3"/>
    <row r="12989" s="160" customFormat="1" x14ac:dyDescent="0.3"/>
    <row r="12990" s="160" customFormat="1" x14ac:dyDescent="0.3"/>
    <row r="12991" s="160" customFormat="1" x14ac:dyDescent="0.3"/>
    <row r="12992" s="160" customFormat="1" x14ac:dyDescent="0.3"/>
    <row r="12993" s="160" customFormat="1" x14ac:dyDescent="0.3"/>
    <row r="12994" s="160" customFormat="1" x14ac:dyDescent="0.3"/>
    <row r="12995" s="160" customFormat="1" x14ac:dyDescent="0.3"/>
    <row r="12996" s="160" customFormat="1" x14ac:dyDescent="0.3"/>
    <row r="12997" s="160" customFormat="1" x14ac:dyDescent="0.3"/>
    <row r="12998" s="160" customFormat="1" x14ac:dyDescent="0.3"/>
    <row r="12999" s="160" customFormat="1" x14ac:dyDescent="0.3"/>
    <row r="13000" s="160" customFormat="1" x14ac:dyDescent="0.3"/>
    <row r="13001" s="160" customFormat="1" x14ac:dyDescent="0.3"/>
    <row r="13002" s="160" customFormat="1" x14ac:dyDescent="0.3"/>
    <row r="13003" s="160" customFormat="1" x14ac:dyDescent="0.3"/>
    <row r="13004" s="160" customFormat="1" x14ac:dyDescent="0.3"/>
    <row r="13005" s="160" customFormat="1" x14ac:dyDescent="0.3"/>
    <row r="13006" s="160" customFormat="1" x14ac:dyDescent="0.3"/>
    <row r="13007" s="160" customFormat="1" x14ac:dyDescent="0.3"/>
    <row r="13008" s="160" customFormat="1" x14ac:dyDescent="0.3"/>
    <row r="13009" s="160" customFormat="1" x14ac:dyDescent="0.3"/>
    <row r="13010" s="160" customFormat="1" x14ac:dyDescent="0.3"/>
    <row r="13011" s="160" customFormat="1" x14ac:dyDescent="0.3"/>
    <row r="13012" s="160" customFormat="1" x14ac:dyDescent="0.3"/>
    <row r="13013" s="160" customFormat="1" x14ac:dyDescent="0.3"/>
    <row r="13014" s="160" customFormat="1" x14ac:dyDescent="0.3"/>
    <row r="13015" s="160" customFormat="1" x14ac:dyDescent="0.3"/>
    <row r="13016" s="160" customFormat="1" x14ac:dyDescent="0.3"/>
    <row r="13017" s="160" customFormat="1" x14ac:dyDescent="0.3"/>
    <row r="13018" s="160" customFormat="1" x14ac:dyDescent="0.3"/>
    <row r="13019" s="160" customFormat="1" x14ac:dyDescent="0.3"/>
    <row r="13020" s="160" customFormat="1" x14ac:dyDescent="0.3"/>
    <row r="13021" s="160" customFormat="1" x14ac:dyDescent="0.3"/>
    <row r="13022" s="160" customFormat="1" x14ac:dyDescent="0.3"/>
    <row r="13023" s="160" customFormat="1" x14ac:dyDescent="0.3"/>
    <row r="13024" s="160" customFormat="1" x14ac:dyDescent="0.3"/>
    <row r="13025" s="160" customFormat="1" x14ac:dyDescent="0.3"/>
    <row r="13026" s="160" customFormat="1" x14ac:dyDescent="0.3"/>
    <row r="13027" s="160" customFormat="1" x14ac:dyDescent="0.3"/>
    <row r="13028" s="160" customFormat="1" x14ac:dyDescent="0.3"/>
    <row r="13029" s="160" customFormat="1" x14ac:dyDescent="0.3"/>
    <row r="13030" s="160" customFormat="1" x14ac:dyDescent="0.3"/>
    <row r="13031" s="160" customFormat="1" x14ac:dyDescent="0.3"/>
    <row r="13032" s="160" customFormat="1" x14ac:dyDescent="0.3"/>
    <row r="13033" s="160" customFormat="1" x14ac:dyDescent="0.3"/>
    <row r="13034" s="160" customFormat="1" x14ac:dyDescent="0.3"/>
    <row r="13035" s="160" customFormat="1" x14ac:dyDescent="0.3"/>
    <row r="13036" s="160" customFormat="1" x14ac:dyDescent="0.3"/>
    <row r="13037" s="160" customFormat="1" x14ac:dyDescent="0.3"/>
    <row r="13038" s="160" customFormat="1" x14ac:dyDescent="0.3"/>
    <row r="13039" s="160" customFormat="1" x14ac:dyDescent="0.3"/>
    <row r="13040" s="160" customFormat="1" x14ac:dyDescent="0.3"/>
    <row r="13041" s="160" customFormat="1" x14ac:dyDescent="0.3"/>
    <row r="13042" s="160" customFormat="1" x14ac:dyDescent="0.3"/>
    <row r="13043" s="160" customFormat="1" x14ac:dyDescent="0.3"/>
    <row r="13044" s="160" customFormat="1" x14ac:dyDescent="0.3"/>
    <row r="13045" s="160" customFormat="1" x14ac:dyDescent="0.3"/>
    <row r="13046" s="160" customFormat="1" x14ac:dyDescent="0.3"/>
    <row r="13047" s="160" customFormat="1" x14ac:dyDescent="0.3"/>
    <row r="13048" s="160" customFormat="1" x14ac:dyDescent="0.3"/>
    <row r="13049" s="160" customFormat="1" x14ac:dyDescent="0.3"/>
    <row r="13050" s="160" customFormat="1" x14ac:dyDescent="0.3"/>
    <row r="13051" s="160" customFormat="1" x14ac:dyDescent="0.3"/>
    <row r="13052" s="160" customFormat="1" x14ac:dyDescent="0.3"/>
    <row r="13053" s="160" customFormat="1" x14ac:dyDescent="0.3"/>
    <row r="13054" s="160" customFormat="1" x14ac:dyDescent="0.3"/>
    <row r="13055" s="160" customFormat="1" x14ac:dyDescent="0.3"/>
    <row r="13056" s="160" customFormat="1" x14ac:dyDescent="0.3"/>
    <row r="13057" s="160" customFormat="1" x14ac:dyDescent="0.3"/>
    <row r="13058" s="160" customFormat="1" x14ac:dyDescent="0.3"/>
    <row r="13059" s="160" customFormat="1" x14ac:dyDescent="0.3"/>
    <row r="13060" s="160" customFormat="1" x14ac:dyDescent="0.3"/>
    <row r="13061" s="160" customFormat="1" x14ac:dyDescent="0.3"/>
    <row r="13062" s="160" customFormat="1" x14ac:dyDescent="0.3"/>
    <row r="13063" s="160" customFormat="1" x14ac:dyDescent="0.3"/>
    <row r="13064" s="160" customFormat="1" x14ac:dyDescent="0.3"/>
    <row r="13065" s="160" customFormat="1" x14ac:dyDescent="0.3"/>
    <row r="13066" s="160" customFormat="1" x14ac:dyDescent="0.3"/>
    <row r="13067" s="160" customFormat="1" x14ac:dyDescent="0.3"/>
    <row r="13068" s="160" customFormat="1" x14ac:dyDescent="0.3"/>
    <row r="13069" s="160" customFormat="1" x14ac:dyDescent="0.3"/>
    <row r="13070" s="160" customFormat="1" x14ac:dyDescent="0.3"/>
    <row r="13071" s="160" customFormat="1" x14ac:dyDescent="0.3"/>
    <row r="13072" s="160" customFormat="1" x14ac:dyDescent="0.3"/>
    <row r="13073" s="160" customFormat="1" x14ac:dyDescent="0.3"/>
    <row r="13074" s="160" customFormat="1" x14ac:dyDescent="0.3"/>
    <row r="13075" s="160" customFormat="1" x14ac:dyDescent="0.3"/>
    <row r="13076" s="160" customFormat="1" x14ac:dyDescent="0.3"/>
    <row r="13077" s="160" customFormat="1" x14ac:dyDescent="0.3"/>
    <row r="13078" s="160" customFormat="1" x14ac:dyDescent="0.3"/>
    <row r="13079" s="160" customFormat="1" x14ac:dyDescent="0.3"/>
    <row r="13080" s="160" customFormat="1" x14ac:dyDescent="0.3"/>
    <row r="13081" s="160" customFormat="1" x14ac:dyDescent="0.3"/>
    <row r="13082" s="160" customFormat="1" x14ac:dyDescent="0.3"/>
    <row r="13083" s="160" customFormat="1" x14ac:dyDescent="0.3"/>
    <row r="13084" s="160" customFormat="1" x14ac:dyDescent="0.3"/>
    <row r="13085" s="160" customFormat="1" x14ac:dyDescent="0.3"/>
    <row r="13086" s="160" customFormat="1" x14ac:dyDescent="0.3"/>
    <row r="13087" s="160" customFormat="1" x14ac:dyDescent="0.3"/>
    <row r="13088" s="160" customFormat="1" x14ac:dyDescent="0.3"/>
    <row r="13089" s="160" customFormat="1" x14ac:dyDescent="0.3"/>
    <row r="13090" s="160" customFormat="1" x14ac:dyDescent="0.3"/>
    <row r="13091" s="160" customFormat="1" x14ac:dyDescent="0.3"/>
    <row r="13092" s="160" customFormat="1" x14ac:dyDescent="0.3"/>
    <row r="13093" s="160" customFormat="1" x14ac:dyDescent="0.3"/>
    <row r="13094" s="160" customFormat="1" x14ac:dyDescent="0.3"/>
    <row r="13095" s="160" customFormat="1" x14ac:dyDescent="0.3"/>
    <row r="13096" s="160" customFormat="1" x14ac:dyDescent="0.3"/>
    <row r="13097" s="160" customFormat="1" x14ac:dyDescent="0.3"/>
    <row r="13098" s="160" customFormat="1" x14ac:dyDescent="0.3"/>
    <row r="13099" s="160" customFormat="1" x14ac:dyDescent="0.3"/>
    <row r="13100" s="160" customFormat="1" x14ac:dyDescent="0.3"/>
    <row r="13101" s="160" customFormat="1" x14ac:dyDescent="0.3"/>
    <row r="13102" s="160" customFormat="1" x14ac:dyDescent="0.3"/>
    <row r="13103" s="160" customFormat="1" x14ac:dyDescent="0.3"/>
    <row r="13104" s="160" customFormat="1" x14ac:dyDescent="0.3"/>
    <row r="13105" s="160" customFormat="1" x14ac:dyDescent="0.3"/>
    <row r="13106" s="160" customFormat="1" x14ac:dyDescent="0.3"/>
    <row r="13107" s="160" customFormat="1" x14ac:dyDescent="0.3"/>
    <row r="13108" s="160" customFormat="1" x14ac:dyDescent="0.3"/>
    <row r="13109" s="160" customFormat="1" x14ac:dyDescent="0.3"/>
    <row r="13110" s="160" customFormat="1" x14ac:dyDescent="0.3"/>
    <row r="13111" s="160" customFormat="1" x14ac:dyDescent="0.3"/>
    <row r="13112" s="160" customFormat="1" x14ac:dyDescent="0.3"/>
    <row r="13113" s="160" customFormat="1" x14ac:dyDescent="0.3"/>
    <row r="13114" s="160" customFormat="1" x14ac:dyDescent="0.3"/>
    <row r="13115" s="160" customFormat="1" x14ac:dyDescent="0.3"/>
    <row r="13116" s="160" customFormat="1" x14ac:dyDescent="0.3"/>
    <row r="13117" s="160" customFormat="1" x14ac:dyDescent="0.3"/>
    <row r="13118" s="160" customFormat="1" x14ac:dyDescent="0.3"/>
    <row r="13119" s="160" customFormat="1" x14ac:dyDescent="0.3"/>
    <row r="13120" s="160" customFormat="1" x14ac:dyDescent="0.3"/>
    <row r="13121" s="160" customFormat="1" x14ac:dyDescent="0.3"/>
    <row r="13122" s="160" customFormat="1" x14ac:dyDescent="0.3"/>
    <row r="13123" s="160" customFormat="1" x14ac:dyDescent="0.3"/>
    <row r="13124" s="160" customFormat="1" x14ac:dyDescent="0.3"/>
    <row r="13125" s="160" customFormat="1" x14ac:dyDescent="0.3"/>
    <row r="13126" s="160" customFormat="1" x14ac:dyDescent="0.3"/>
    <row r="13127" s="160" customFormat="1" x14ac:dyDescent="0.3"/>
    <row r="13128" s="160" customFormat="1" x14ac:dyDescent="0.3"/>
    <row r="13129" s="160" customFormat="1" x14ac:dyDescent="0.3"/>
    <row r="13130" s="160" customFormat="1" x14ac:dyDescent="0.3"/>
    <row r="13131" s="160" customFormat="1" x14ac:dyDescent="0.3"/>
    <row r="13132" s="160" customFormat="1" x14ac:dyDescent="0.3"/>
    <row r="13133" s="160" customFormat="1" x14ac:dyDescent="0.3"/>
    <row r="13134" s="160" customFormat="1" x14ac:dyDescent="0.3"/>
    <row r="13135" s="160" customFormat="1" x14ac:dyDescent="0.3"/>
    <row r="13136" s="160" customFormat="1" x14ac:dyDescent="0.3"/>
    <row r="13137" s="160" customFormat="1" x14ac:dyDescent="0.3"/>
    <row r="13138" s="160" customFormat="1" x14ac:dyDescent="0.3"/>
    <row r="13139" s="160" customFormat="1" x14ac:dyDescent="0.3"/>
    <row r="13140" s="160" customFormat="1" x14ac:dyDescent="0.3"/>
    <row r="13141" s="160" customFormat="1" x14ac:dyDescent="0.3"/>
    <row r="13142" s="160" customFormat="1" x14ac:dyDescent="0.3"/>
    <row r="13143" s="160" customFormat="1" x14ac:dyDescent="0.3"/>
    <row r="13144" s="160" customFormat="1" x14ac:dyDescent="0.3"/>
    <row r="13145" s="160" customFormat="1" x14ac:dyDescent="0.3"/>
    <row r="13146" s="160" customFormat="1" x14ac:dyDescent="0.3"/>
    <row r="13147" s="160" customFormat="1" x14ac:dyDescent="0.3"/>
    <row r="13148" s="160" customFormat="1" x14ac:dyDescent="0.3"/>
    <row r="13149" s="160" customFormat="1" x14ac:dyDescent="0.3"/>
    <row r="13150" s="160" customFormat="1" x14ac:dyDescent="0.3"/>
    <row r="13151" s="160" customFormat="1" x14ac:dyDescent="0.3"/>
    <row r="13152" s="160" customFormat="1" x14ac:dyDescent="0.3"/>
    <row r="13153" s="160" customFormat="1" x14ac:dyDescent="0.3"/>
    <row r="13154" s="160" customFormat="1" x14ac:dyDescent="0.3"/>
    <row r="13155" s="160" customFormat="1" x14ac:dyDescent="0.3"/>
    <row r="13156" s="160" customFormat="1" x14ac:dyDescent="0.3"/>
    <row r="13157" s="160" customFormat="1" x14ac:dyDescent="0.3"/>
    <row r="13158" s="160" customFormat="1" x14ac:dyDescent="0.3"/>
    <row r="13159" s="160" customFormat="1" x14ac:dyDescent="0.3"/>
    <row r="13160" s="160" customFormat="1" x14ac:dyDescent="0.3"/>
    <row r="13161" s="160" customFormat="1" x14ac:dyDescent="0.3"/>
    <row r="13162" s="160" customFormat="1" x14ac:dyDescent="0.3"/>
    <row r="13163" s="160" customFormat="1" x14ac:dyDescent="0.3"/>
    <row r="13164" s="160" customFormat="1" x14ac:dyDescent="0.3"/>
    <row r="13165" s="160" customFormat="1" x14ac:dyDescent="0.3"/>
    <row r="13166" s="160" customFormat="1" x14ac:dyDescent="0.3"/>
    <row r="13167" s="160" customFormat="1" x14ac:dyDescent="0.3"/>
    <row r="13168" s="160" customFormat="1" x14ac:dyDescent="0.3"/>
    <row r="13169" s="160" customFormat="1" x14ac:dyDescent="0.3"/>
    <row r="13170" s="160" customFormat="1" x14ac:dyDescent="0.3"/>
    <row r="13171" s="160" customFormat="1" x14ac:dyDescent="0.3"/>
    <row r="13172" s="160" customFormat="1" x14ac:dyDescent="0.3"/>
    <row r="13173" s="160" customFormat="1" x14ac:dyDescent="0.3"/>
    <row r="13174" s="160" customFormat="1" x14ac:dyDescent="0.3"/>
    <row r="13175" s="160" customFormat="1" x14ac:dyDescent="0.3"/>
    <row r="13176" s="160" customFormat="1" x14ac:dyDescent="0.3"/>
    <row r="13177" s="160" customFormat="1" x14ac:dyDescent="0.3"/>
    <row r="13178" s="160" customFormat="1" x14ac:dyDescent="0.3"/>
    <row r="13179" s="160" customFormat="1" x14ac:dyDescent="0.3"/>
    <row r="13180" s="160" customFormat="1" x14ac:dyDescent="0.3"/>
    <row r="13181" s="160" customFormat="1" x14ac:dyDescent="0.3"/>
    <row r="13182" s="160" customFormat="1" x14ac:dyDescent="0.3"/>
    <row r="13183" s="160" customFormat="1" x14ac:dyDescent="0.3"/>
    <row r="13184" s="160" customFormat="1" x14ac:dyDescent="0.3"/>
    <row r="13185" s="160" customFormat="1" x14ac:dyDescent="0.3"/>
    <row r="13186" s="160" customFormat="1" x14ac:dyDescent="0.3"/>
    <row r="13187" s="160" customFormat="1" x14ac:dyDescent="0.3"/>
    <row r="13188" s="160" customFormat="1" x14ac:dyDescent="0.3"/>
    <row r="13189" s="160" customFormat="1" x14ac:dyDescent="0.3"/>
    <row r="13190" s="160" customFormat="1" x14ac:dyDescent="0.3"/>
    <row r="13191" s="160" customFormat="1" x14ac:dyDescent="0.3"/>
    <row r="13192" s="160" customFormat="1" x14ac:dyDescent="0.3"/>
    <row r="13193" s="160" customFormat="1" x14ac:dyDescent="0.3"/>
    <row r="13194" s="160" customFormat="1" x14ac:dyDescent="0.3"/>
    <row r="13195" s="160" customFormat="1" x14ac:dyDescent="0.3"/>
    <row r="13196" s="160" customFormat="1" x14ac:dyDescent="0.3"/>
    <row r="13197" s="160" customFormat="1" x14ac:dyDescent="0.3"/>
    <row r="13198" s="160" customFormat="1" x14ac:dyDescent="0.3"/>
    <row r="13199" s="160" customFormat="1" x14ac:dyDescent="0.3"/>
    <row r="13200" s="160" customFormat="1" x14ac:dyDescent="0.3"/>
    <row r="13201" s="160" customFormat="1" x14ac:dyDescent="0.3"/>
    <row r="13202" s="160" customFormat="1" x14ac:dyDescent="0.3"/>
    <row r="13203" s="160" customFormat="1" x14ac:dyDescent="0.3"/>
    <row r="13204" s="160" customFormat="1" x14ac:dyDescent="0.3"/>
    <row r="13205" s="160" customFormat="1" x14ac:dyDescent="0.3"/>
    <row r="13206" s="160" customFormat="1" x14ac:dyDescent="0.3"/>
    <row r="13207" s="160" customFormat="1" x14ac:dyDescent="0.3"/>
    <row r="13208" s="160" customFormat="1" x14ac:dyDescent="0.3"/>
    <row r="13209" s="160" customFormat="1" x14ac:dyDescent="0.3"/>
    <row r="13210" s="160" customFormat="1" x14ac:dyDescent="0.3"/>
    <row r="13211" s="160" customFormat="1" x14ac:dyDescent="0.3"/>
    <row r="13212" s="160" customFormat="1" x14ac:dyDescent="0.3"/>
    <row r="13213" s="160" customFormat="1" x14ac:dyDescent="0.3"/>
    <row r="13214" s="160" customFormat="1" x14ac:dyDescent="0.3"/>
    <row r="13215" s="160" customFormat="1" x14ac:dyDescent="0.3"/>
    <row r="13216" s="160" customFormat="1" x14ac:dyDescent="0.3"/>
    <row r="13217" s="160" customFormat="1" x14ac:dyDescent="0.3"/>
    <row r="13218" s="160" customFormat="1" x14ac:dyDescent="0.3"/>
    <row r="13219" s="160" customFormat="1" x14ac:dyDescent="0.3"/>
    <row r="13220" s="160" customFormat="1" x14ac:dyDescent="0.3"/>
    <row r="13221" s="160" customFormat="1" x14ac:dyDescent="0.3"/>
    <row r="13222" s="160" customFormat="1" x14ac:dyDescent="0.3"/>
    <row r="13223" s="160" customFormat="1" x14ac:dyDescent="0.3"/>
    <row r="13224" s="160" customFormat="1" x14ac:dyDescent="0.3"/>
    <row r="13225" s="160" customFormat="1" x14ac:dyDescent="0.3"/>
    <row r="13226" s="160" customFormat="1" x14ac:dyDescent="0.3"/>
    <row r="13227" s="160" customFormat="1" x14ac:dyDescent="0.3"/>
    <row r="13228" s="160" customFormat="1" x14ac:dyDescent="0.3"/>
    <row r="13229" s="160" customFormat="1" x14ac:dyDescent="0.3"/>
    <row r="13230" s="160" customFormat="1" x14ac:dyDescent="0.3"/>
    <row r="13231" s="160" customFormat="1" x14ac:dyDescent="0.3"/>
    <row r="13232" s="160" customFormat="1" x14ac:dyDescent="0.3"/>
    <row r="13233" s="160" customFormat="1" x14ac:dyDescent="0.3"/>
    <row r="13234" s="160" customFormat="1" x14ac:dyDescent="0.3"/>
    <row r="13235" s="160" customFormat="1" x14ac:dyDescent="0.3"/>
    <row r="13236" s="160" customFormat="1" x14ac:dyDescent="0.3"/>
    <row r="13237" s="160" customFormat="1" x14ac:dyDescent="0.3"/>
    <row r="13238" s="160" customFormat="1" x14ac:dyDescent="0.3"/>
    <row r="13239" s="160" customFormat="1" x14ac:dyDescent="0.3"/>
    <row r="13240" s="160" customFormat="1" x14ac:dyDescent="0.3"/>
    <row r="13241" s="160" customFormat="1" x14ac:dyDescent="0.3"/>
    <row r="13242" s="160" customFormat="1" x14ac:dyDescent="0.3"/>
    <row r="13243" s="160" customFormat="1" x14ac:dyDescent="0.3"/>
    <row r="13244" s="160" customFormat="1" x14ac:dyDescent="0.3"/>
    <row r="13245" s="160" customFormat="1" x14ac:dyDescent="0.3"/>
    <row r="13246" s="160" customFormat="1" x14ac:dyDescent="0.3"/>
    <row r="13247" s="160" customFormat="1" x14ac:dyDescent="0.3"/>
    <row r="13248" s="160" customFormat="1" x14ac:dyDescent="0.3"/>
    <row r="13249" s="160" customFormat="1" x14ac:dyDescent="0.3"/>
    <row r="13250" s="160" customFormat="1" x14ac:dyDescent="0.3"/>
    <row r="13251" s="160" customFormat="1" x14ac:dyDescent="0.3"/>
    <row r="13252" s="160" customFormat="1" x14ac:dyDescent="0.3"/>
    <row r="13253" s="160" customFormat="1" x14ac:dyDescent="0.3"/>
    <row r="13254" s="160" customFormat="1" x14ac:dyDescent="0.3"/>
    <row r="13255" s="160" customFormat="1" x14ac:dyDescent="0.3"/>
    <row r="13256" s="160" customFormat="1" x14ac:dyDescent="0.3"/>
    <row r="13257" s="160" customFormat="1" x14ac:dyDescent="0.3"/>
    <row r="13258" s="160" customFormat="1" x14ac:dyDescent="0.3"/>
    <row r="13259" s="160" customFormat="1" x14ac:dyDescent="0.3"/>
    <row r="13260" s="160" customFormat="1" x14ac:dyDescent="0.3"/>
    <row r="13261" s="160" customFormat="1" x14ac:dyDescent="0.3"/>
    <row r="13262" s="160" customFormat="1" x14ac:dyDescent="0.3"/>
    <row r="13263" s="160" customFormat="1" x14ac:dyDescent="0.3"/>
    <row r="13264" s="160" customFormat="1" x14ac:dyDescent="0.3"/>
    <row r="13265" s="160" customFormat="1" x14ac:dyDescent="0.3"/>
    <row r="13266" s="160" customFormat="1" x14ac:dyDescent="0.3"/>
    <row r="13267" s="160" customFormat="1" x14ac:dyDescent="0.3"/>
    <row r="13268" s="160" customFormat="1" x14ac:dyDescent="0.3"/>
    <row r="13269" s="160" customFormat="1" x14ac:dyDescent="0.3"/>
    <row r="13270" s="160" customFormat="1" x14ac:dyDescent="0.3"/>
    <row r="13271" s="160" customFormat="1" x14ac:dyDescent="0.3"/>
    <row r="13272" s="160" customFormat="1" x14ac:dyDescent="0.3"/>
    <row r="13273" s="160" customFormat="1" x14ac:dyDescent="0.3"/>
    <row r="13274" s="160" customFormat="1" x14ac:dyDescent="0.3"/>
    <row r="13275" s="160" customFormat="1" x14ac:dyDescent="0.3"/>
    <row r="13276" s="160" customFormat="1" x14ac:dyDescent="0.3"/>
    <row r="13277" s="160" customFormat="1" x14ac:dyDescent="0.3"/>
    <row r="13278" s="160" customFormat="1" x14ac:dyDescent="0.3"/>
    <row r="13279" s="160" customFormat="1" x14ac:dyDescent="0.3"/>
    <row r="13280" s="160" customFormat="1" x14ac:dyDescent="0.3"/>
    <row r="13281" s="160" customFormat="1" x14ac:dyDescent="0.3"/>
    <row r="13282" s="160" customFormat="1" x14ac:dyDescent="0.3"/>
    <row r="13283" s="160" customFormat="1" x14ac:dyDescent="0.3"/>
    <row r="13284" s="160" customFormat="1" x14ac:dyDescent="0.3"/>
    <row r="13285" s="160" customFormat="1" x14ac:dyDescent="0.3"/>
    <row r="13286" s="160" customFormat="1" x14ac:dyDescent="0.3"/>
    <row r="13287" s="160" customFormat="1" x14ac:dyDescent="0.3"/>
    <row r="13288" s="160" customFormat="1" x14ac:dyDescent="0.3"/>
    <row r="13289" s="160" customFormat="1" x14ac:dyDescent="0.3"/>
    <row r="13290" s="160" customFormat="1" x14ac:dyDescent="0.3"/>
    <row r="13291" s="160" customFormat="1" x14ac:dyDescent="0.3"/>
    <row r="13292" s="160" customFormat="1" x14ac:dyDescent="0.3"/>
    <row r="13293" s="160" customFormat="1" x14ac:dyDescent="0.3"/>
    <row r="13294" s="160" customFormat="1" x14ac:dyDescent="0.3"/>
    <row r="13295" s="160" customFormat="1" x14ac:dyDescent="0.3"/>
    <row r="13296" s="160" customFormat="1" x14ac:dyDescent="0.3"/>
    <row r="13297" s="160" customFormat="1" x14ac:dyDescent="0.3"/>
    <row r="13298" s="160" customFormat="1" x14ac:dyDescent="0.3"/>
    <row r="13299" s="160" customFormat="1" x14ac:dyDescent="0.3"/>
    <row r="13300" s="160" customFormat="1" x14ac:dyDescent="0.3"/>
    <row r="13301" s="160" customFormat="1" x14ac:dyDescent="0.3"/>
    <row r="13302" s="160" customFormat="1" x14ac:dyDescent="0.3"/>
    <row r="13303" s="160" customFormat="1" x14ac:dyDescent="0.3"/>
    <row r="13304" s="160" customFormat="1" x14ac:dyDescent="0.3"/>
    <row r="13305" s="160" customFormat="1" x14ac:dyDescent="0.3"/>
    <row r="13306" s="160" customFormat="1" x14ac:dyDescent="0.3"/>
    <row r="13307" s="160" customFormat="1" x14ac:dyDescent="0.3"/>
    <row r="13308" s="160" customFormat="1" x14ac:dyDescent="0.3"/>
    <row r="13309" s="160" customFormat="1" x14ac:dyDescent="0.3"/>
    <row r="13310" s="160" customFormat="1" x14ac:dyDescent="0.3"/>
    <row r="13311" s="160" customFormat="1" x14ac:dyDescent="0.3"/>
    <row r="13312" s="160" customFormat="1" x14ac:dyDescent="0.3"/>
    <row r="13313" s="160" customFormat="1" x14ac:dyDescent="0.3"/>
    <row r="13314" s="160" customFormat="1" x14ac:dyDescent="0.3"/>
    <row r="13315" s="160" customFormat="1" x14ac:dyDescent="0.3"/>
    <row r="13316" s="160" customFormat="1" x14ac:dyDescent="0.3"/>
    <row r="13317" s="160" customFormat="1" x14ac:dyDescent="0.3"/>
    <row r="13318" s="160" customFormat="1" x14ac:dyDescent="0.3"/>
    <row r="13319" s="160" customFormat="1" x14ac:dyDescent="0.3"/>
    <row r="13320" s="160" customFormat="1" x14ac:dyDescent="0.3"/>
    <row r="13321" s="160" customFormat="1" x14ac:dyDescent="0.3"/>
    <row r="13322" s="160" customFormat="1" x14ac:dyDescent="0.3"/>
    <row r="13323" s="160" customFormat="1" x14ac:dyDescent="0.3"/>
    <row r="13324" s="160" customFormat="1" x14ac:dyDescent="0.3"/>
    <row r="13325" s="160" customFormat="1" x14ac:dyDescent="0.3"/>
    <row r="13326" s="160" customFormat="1" x14ac:dyDescent="0.3"/>
    <row r="13327" s="160" customFormat="1" x14ac:dyDescent="0.3"/>
    <row r="13328" s="160" customFormat="1" x14ac:dyDescent="0.3"/>
    <row r="13329" s="160" customFormat="1" x14ac:dyDescent="0.3"/>
    <row r="13330" s="160" customFormat="1" x14ac:dyDescent="0.3"/>
    <row r="13331" s="160" customFormat="1" x14ac:dyDescent="0.3"/>
    <row r="13332" s="160" customFormat="1" x14ac:dyDescent="0.3"/>
    <row r="13333" s="160" customFormat="1" x14ac:dyDescent="0.3"/>
    <row r="13334" s="160" customFormat="1" x14ac:dyDescent="0.3"/>
    <row r="13335" s="160" customFormat="1" x14ac:dyDescent="0.3"/>
    <row r="13336" s="160" customFormat="1" x14ac:dyDescent="0.3"/>
    <row r="13337" s="160" customFormat="1" x14ac:dyDescent="0.3"/>
    <row r="13338" s="160" customFormat="1" x14ac:dyDescent="0.3"/>
    <row r="13339" s="160" customFormat="1" x14ac:dyDescent="0.3"/>
    <row r="13340" s="160" customFormat="1" x14ac:dyDescent="0.3"/>
    <row r="13341" s="160" customFormat="1" x14ac:dyDescent="0.3"/>
    <row r="13342" s="160" customFormat="1" x14ac:dyDescent="0.3"/>
    <row r="13343" s="160" customFormat="1" x14ac:dyDescent="0.3"/>
    <row r="13344" s="160" customFormat="1" x14ac:dyDescent="0.3"/>
    <row r="13345" s="160" customFormat="1" x14ac:dyDescent="0.3"/>
    <row r="13346" s="160" customFormat="1" x14ac:dyDescent="0.3"/>
    <row r="13347" s="160" customFormat="1" x14ac:dyDescent="0.3"/>
    <row r="13348" s="160" customFormat="1" x14ac:dyDescent="0.3"/>
    <row r="13349" s="160" customFormat="1" x14ac:dyDescent="0.3"/>
    <row r="13350" s="160" customFormat="1" x14ac:dyDescent="0.3"/>
    <row r="13351" s="160" customFormat="1" x14ac:dyDescent="0.3"/>
    <row r="13352" s="160" customFormat="1" x14ac:dyDescent="0.3"/>
    <row r="13353" s="160" customFormat="1" x14ac:dyDescent="0.3"/>
    <row r="13354" s="160" customFormat="1" x14ac:dyDescent="0.3"/>
    <row r="13355" s="160" customFormat="1" x14ac:dyDescent="0.3"/>
    <row r="13356" s="160" customFormat="1" x14ac:dyDescent="0.3"/>
    <row r="13357" s="160" customFormat="1" x14ac:dyDescent="0.3"/>
    <row r="13358" s="160" customFormat="1" x14ac:dyDescent="0.3"/>
    <row r="13359" s="160" customFormat="1" x14ac:dyDescent="0.3"/>
    <row r="13360" s="160" customFormat="1" x14ac:dyDescent="0.3"/>
    <row r="13361" s="160" customFormat="1" x14ac:dyDescent="0.3"/>
    <row r="13362" s="160" customFormat="1" x14ac:dyDescent="0.3"/>
    <row r="13363" s="160" customFormat="1" x14ac:dyDescent="0.3"/>
    <row r="13364" s="160" customFormat="1" x14ac:dyDescent="0.3"/>
    <row r="13365" s="160" customFormat="1" x14ac:dyDescent="0.3"/>
    <row r="13366" s="160" customFormat="1" x14ac:dyDescent="0.3"/>
    <row r="13367" s="160" customFormat="1" x14ac:dyDescent="0.3"/>
    <row r="13368" s="160" customFormat="1" x14ac:dyDescent="0.3"/>
    <row r="13369" s="160" customFormat="1" x14ac:dyDescent="0.3"/>
    <row r="13370" s="160" customFormat="1" x14ac:dyDescent="0.3"/>
    <row r="13371" s="160" customFormat="1" x14ac:dyDescent="0.3"/>
    <row r="13372" s="160" customFormat="1" x14ac:dyDescent="0.3"/>
    <row r="13373" s="160" customFormat="1" x14ac:dyDescent="0.3"/>
    <row r="13374" s="160" customFormat="1" x14ac:dyDescent="0.3"/>
    <row r="13375" s="160" customFormat="1" x14ac:dyDescent="0.3"/>
    <row r="13376" s="160" customFormat="1" x14ac:dyDescent="0.3"/>
    <row r="13377" s="160" customFormat="1" x14ac:dyDescent="0.3"/>
    <row r="13378" s="160" customFormat="1" x14ac:dyDescent="0.3"/>
    <row r="13379" s="160" customFormat="1" x14ac:dyDescent="0.3"/>
    <row r="13380" s="160" customFormat="1" x14ac:dyDescent="0.3"/>
    <row r="13381" s="160" customFormat="1" x14ac:dyDescent="0.3"/>
    <row r="13382" s="160" customFormat="1" x14ac:dyDescent="0.3"/>
    <row r="13383" s="160" customFormat="1" x14ac:dyDescent="0.3"/>
    <row r="13384" s="160" customFormat="1" x14ac:dyDescent="0.3"/>
    <row r="13385" s="160" customFormat="1" x14ac:dyDescent="0.3"/>
    <row r="13386" s="160" customFormat="1" x14ac:dyDescent="0.3"/>
    <row r="13387" s="160" customFormat="1" x14ac:dyDescent="0.3"/>
    <row r="13388" s="160" customFormat="1" x14ac:dyDescent="0.3"/>
    <row r="13389" s="160" customFormat="1" x14ac:dyDescent="0.3"/>
    <row r="13390" s="160" customFormat="1" x14ac:dyDescent="0.3"/>
    <row r="13391" s="160" customFormat="1" x14ac:dyDescent="0.3"/>
    <row r="13392" s="160" customFormat="1" x14ac:dyDescent="0.3"/>
    <row r="13393" s="160" customFormat="1" x14ac:dyDescent="0.3"/>
    <row r="13394" s="160" customFormat="1" x14ac:dyDescent="0.3"/>
    <row r="13395" s="160" customFormat="1" x14ac:dyDescent="0.3"/>
    <row r="13396" s="160" customFormat="1" x14ac:dyDescent="0.3"/>
    <row r="13397" s="160" customFormat="1" x14ac:dyDescent="0.3"/>
    <row r="13398" s="160" customFormat="1" x14ac:dyDescent="0.3"/>
    <row r="13399" s="160" customFormat="1" x14ac:dyDescent="0.3"/>
    <row r="13400" s="160" customFormat="1" x14ac:dyDescent="0.3"/>
    <row r="13401" s="160" customFormat="1" x14ac:dyDescent="0.3"/>
    <row r="13402" s="160" customFormat="1" x14ac:dyDescent="0.3"/>
    <row r="13403" s="160" customFormat="1" x14ac:dyDescent="0.3"/>
    <row r="13404" s="160" customFormat="1" x14ac:dyDescent="0.3"/>
    <row r="13405" s="160" customFormat="1" x14ac:dyDescent="0.3"/>
    <row r="13406" s="160" customFormat="1" x14ac:dyDescent="0.3"/>
    <row r="13407" s="160" customFormat="1" x14ac:dyDescent="0.3"/>
    <row r="13408" s="160" customFormat="1" x14ac:dyDescent="0.3"/>
    <row r="13409" s="160" customFormat="1" x14ac:dyDescent="0.3"/>
    <row r="13410" s="160" customFormat="1" x14ac:dyDescent="0.3"/>
    <row r="13411" s="160" customFormat="1" x14ac:dyDescent="0.3"/>
    <row r="13412" s="160" customFormat="1" x14ac:dyDescent="0.3"/>
    <row r="13413" s="160" customFormat="1" x14ac:dyDescent="0.3"/>
    <row r="13414" s="160" customFormat="1" x14ac:dyDescent="0.3"/>
    <row r="13415" s="160" customFormat="1" x14ac:dyDescent="0.3"/>
    <row r="13416" s="160" customFormat="1" x14ac:dyDescent="0.3"/>
    <row r="13417" s="160" customFormat="1" x14ac:dyDescent="0.3"/>
    <row r="13418" s="160" customFormat="1" x14ac:dyDescent="0.3"/>
    <row r="13419" s="160" customFormat="1" x14ac:dyDescent="0.3"/>
    <row r="13420" s="160" customFormat="1" x14ac:dyDescent="0.3"/>
    <row r="13421" s="160" customFormat="1" x14ac:dyDescent="0.3"/>
    <row r="13422" s="160" customFormat="1" x14ac:dyDescent="0.3"/>
    <row r="13423" s="160" customFormat="1" x14ac:dyDescent="0.3"/>
    <row r="13424" s="160" customFormat="1" x14ac:dyDescent="0.3"/>
    <row r="13425" s="160" customFormat="1" x14ac:dyDescent="0.3"/>
    <row r="13426" s="160" customFormat="1" x14ac:dyDescent="0.3"/>
    <row r="13427" s="160" customFormat="1" x14ac:dyDescent="0.3"/>
    <row r="13428" s="160" customFormat="1" x14ac:dyDescent="0.3"/>
    <row r="13429" s="160" customFormat="1" x14ac:dyDescent="0.3"/>
    <row r="13430" s="160" customFormat="1" x14ac:dyDescent="0.3"/>
    <row r="13431" s="160" customFormat="1" x14ac:dyDescent="0.3"/>
    <row r="13432" s="160" customFormat="1" x14ac:dyDescent="0.3"/>
    <row r="13433" s="160" customFormat="1" x14ac:dyDescent="0.3"/>
    <row r="13434" s="160" customFormat="1" x14ac:dyDescent="0.3"/>
    <row r="13435" s="160" customFormat="1" x14ac:dyDescent="0.3"/>
    <row r="13436" s="160" customFormat="1" x14ac:dyDescent="0.3"/>
    <row r="13437" s="160" customFormat="1" x14ac:dyDescent="0.3"/>
    <row r="13438" s="160" customFormat="1" x14ac:dyDescent="0.3"/>
    <row r="13439" s="160" customFormat="1" x14ac:dyDescent="0.3"/>
    <row r="13440" s="160" customFormat="1" x14ac:dyDescent="0.3"/>
    <row r="13441" s="160" customFormat="1" x14ac:dyDescent="0.3"/>
    <row r="13442" s="160" customFormat="1" x14ac:dyDescent="0.3"/>
    <row r="13443" s="160" customFormat="1" x14ac:dyDescent="0.3"/>
    <row r="13444" s="160" customFormat="1" x14ac:dyDescent="0.3"/>
    <row r="13445" s="160" customFormat="1" x14ac:dyDescent="0.3"/>
    <row r="13446" s="160" customFormat="1" x14ac:dyDescent="0.3"/>
    <row r="13447" s="160" customFormat="1" x14ac:dyDescent="0.3"/>
    <row r="13448" s="160" customFormat="1" x14ac:dyDescent="0.3"/>
    <row r="13449" s="160" customFormat="1" x14ac:dyDescent="0.3"/>
    <row r="13450" s="160" customFormat="1" x14ac:dyDescent="0.3"/>
    <row r="13451" s="160" customFormat="1" x14ac:dyDescent="0.3"/>
    <row r="13452" s="160" customFormat="1" x14ac:dyDescent="0.3"/>
    <row r="13453" s="160" customFormat="1" x14ac:dyDescent="0.3"/>
    <row r="13454" s="160" customFormat="1" x14ac:dyDescent="0.3"/>
    <row r="13455" s="160" customFormat="1" x14ac:dyDescent="0.3"/>
    <row r="13456" s="160" customFormat="1" x14ac:dyDescent="0.3"/>
    <row r="13457" s="160" customFormat="1" x14ac:dyDescent="0.3"/>
    <row r="13458" s="160" customFormat="1" x14ac:dyDescent="0.3"/>
    <row r="13459" s="160" customFormat="1" x14ac:dyDescent="0.3"/>
    <row r="13460" s="160" customFormat="1" x14ac:dyDescent="0.3"/>
    <row r="13461" s="160" customFormat="1" x14ac:dyDescent="0.3"/>
    <row r="13462" s="160" customFormat="1" x14ac:dyDescent="0.3"/>
    <row r="13463" s="160" customFormat="1" x14ac:dyDescent="0.3"/>
    <row r="13464" s="160" customFormat="1" x14ac:dyDescent="0.3"/>
    <row r="13465" s="160" customFormat="1" x14ac:dyDescent="0.3"/>
    <row r="13466" s="160" customFormat="1" x14ac:dyDescent="0.3"/>
    <row r="13467" s="160" customFormat="1" x14ac:dyDescent="0.3"/>
    <row r="13468" s="160" customFormat="1" x14ac:dyDescent="0.3"/>
    <row r="13469" s="160" customFormat="1" x14ac:dyDescent="0.3"/>
    <row r="13470" s="160" customFormat="1" x14ac:dyDescent="0.3"/>
    <row r="13471" s="160" customFormat="1" x14ac:dyDescent="0.3"/>
    <row r="13472" s="160" customFormat="1" x14ac:dyDescent="0.3"/>
    <row r="13473" s="160" customFormat="1" x14ac:dyDescent="0.3"/>
    <row r="13474" s="160" customFormat="1" x14ac:dyDescent="0.3"/>
    <row r="13475" s="160" customFormat="1" x14ac:dyDescent="0.3"/>
    <row r="13476" s="160" customFormat="1" x14ac:dyDescent="0.3"/>
    <row r="13477" s="160" customFormat="1" x14ac:dyDescent="0.3"/>
    <row r="13478" s="160" customFormat="1" x14ac:dyDescent="0.3"/>
    <row r="13479" s="160" customFormat="1" x14ac:dyDescent="0.3"/>
    <row r="13480" s="160" customFormat="1" x14ac:dyDescent="0.3"/>
    <row r="13481" s="160" customFormat="1" x14ac:dyDescent="0.3"/>
    <row r="13482" s="160" customFormat="1" x14ac:dyDescent="0.3"/>
    <row r="13483" s="160" customFormat="1" x14ac:dyDescent="0.3"/>
    <row r="13484" s="160" customFormat="1" x14ac:dyDescent="0.3"/>
    <row r="13485" s="160" customFormat="1" x14ac:dyDescent="0.3"/>
    <row r="13486" s="160" customFormat="1" x14ac:dyDescent="0.3"/>
    <row r="13487" s="160" customFormat="1" x14ac:dyDescent="0.3"/>
    <row r="13488" s="160" customFormat="1" x14ac:dyDescent="0.3"/>
    <row r="13489" s="160" customFormat="1" x14ac:dyDescent="0.3"/>
    <row r="13490" s="160" customFormat="1" x14ac:dyDescent="0.3"/>
    <row r="13491" s="160" customFormat="1" x14ac:dyDescent="0.3"/>
    <row r="13492" s="160" customFormat="1" x14ac:dyDescent="0.3"/>
    <row r="13493" s="160" customFormat="1" x14ac:dyDescent="0.3"/>
    <row r="13494" s="160" customFormat="1" x14ac:dyDescent="0.3"/>
    <row r="13495" s="160" customFormat="1" x14ac:dyDescent="0.3"/>
    <row r="13496" s="160" customFormat="1" x14ac:dyDescent="0.3"/>
    <row r="13497" s="160" customFormat="1" x14ac:dyDescent="0.3"/>
    <row r="13498" s="160" customFormat="1" x14ac:dyDescent="0.3"/>
    <row r="13499" s="160" customFormat="1" x14ac:dyDescent="0.3"/>
    <row r="13500" s="160" customFormat="1" x14ac:dyDescent="0.3"/>
    <row r="13501" s="160" customFormat="1" x14ac:dyDescent="0.3"/>
    <row r="13502" s="160" customFormat="1" x14ac:dyDescent="0.3"/>
    <row r="13503" s="160" customFormat="1" x14ac:dyDescent="0.3"/>
    <row r="13504" s="160" customFormat="1" x14ac:dyDescent="0.3"/>
    <row r="13505" s="160" customFormat="1" x14ac:dyDescent="0.3"/>
    <row r="13506" s="160" customFormat="1" x14ac:dyDescent="0.3"/>
    <row r="13507" s="160" customFormat="1" x14ac:dyDescent="0.3"/>
    <row r="13508" s="160" customFormat="1" x14ac:dyDescent="0.3"/>
    <row r="13509" s="160" customFormat="1" x14ac:dyDescent="0.3"/>
    <row r="13510" s="160" customFormat="1" x14ac:dyDescent="0.3"/>
    <row r="13511" s="160" customFormat="1" x14ac:dyDescent="0.3"/>
    <row r="13512" s="160" customFormat="1" x14ac:dyDescent="0.3"/>
    <row r="13513" s="160" customFormat="1" x14ac:dyDescent="0.3"/>
    <row r="13514" s="160" customFormat="1" x14ac:dyDescent="0.3"/>
    <row r="13515" s="160" customFormat="1" x14ac:dyDescent="0.3"/>
    <row r="13516" s="160" customFormat="1" x14ac:dyDescent="0.3"/>
    <row r="13517" s="160" customFormat="1" x14ac:dyDescent="0.3"/>
    <row r="13518" s="160" customFormat="1" x14ac:dyDescent="0.3"/>
    <row r="13519" s="160" customFormat="1" x14ac:dyDescent="0.3"/>
    <row r="13520" s="160" customFormat="1" x14ac:dyDescent="0.3"/>
    <row r="13521" s="160" customFormat="1" x14ac:dyDescent="0.3"/>
    <row r="13522" s="160" customFormat="1" x14ac:dyDescent="0.3"/>
    <row r="13523" s="160" customFormat="1" x14ac:dyDescent="0.3"/>
    <row r="13524" s="160" customFormat="1" x14ac:dyDescent="0.3"/>
    <row r="13525" s="160" customFormat="1" x14ac:dyDescent="0.3"/>
    <row r="13526" s="160" customFormat="1" x14ac:dyDescent="0.3"/>
    <row r="13527" s="160" customFormat="1" x14ac:dyDescent="0.3"/>
    <row r="13528" s="160" customFormat="1" x14ac:dyDescent="0.3"/>
    <row r="13529" s="160" customFormat="1" x14ac:dyDescent="0.3"/>
    <row r="13530" s="160" customFormat="1" x14ac:dyDescent="0.3"/>
    <row r="13531" s="160" customFormat="1" x14ac:dyDescent="0.3"/>
    <row r="13532" s="160" customFormat="1" x14ac:dyDescent="0.3"/>
    <row r="13533" s="160" customFormat="1" x14ac:dyDescent="0.3"/>
    <row r="13534" s="160" customFormat="1" x14ac:dyDescent="0.3"/>
    <row r="13535" s="160" customFormat="1" x14ac:dyDescent="0.3"/>
    <row r="13536" s="160" customFormat="1" x14ac:dyDescent="0.3"/>
    <row r="13537" s="160" customFormat="1" x14ac:dyDescent="0.3"/>
    <row r="13538" s="160" customFormat="1" x14ac:dyDescent="0.3"/>
    <row r="13539" s="160" customFormat="1" x14ac:dyDescent="0.3"/>
    <row r="13540" s="160" customFormat="1" x14ac:dyDescent="0.3"/>
    <row r="13541" s="160" customFormat="1" x14ac:dyDescent="0.3"/>
    <row r="13542" s="160" customFormat="1" x14ac:dyDescent="0.3"/>
    <row r="13543" s="160" customFormat="1" x14ac:dyDescent="0.3"/>
    <row r="13544" s="160" customFormat="1" x14ac:dyDescent="0.3"/>
    <row r="13545" s="160" customFormat="1" x14ac:dyDescent="0.3"/>
    <row r="13546" s="160" customFormat="1" x14ac:dyDescent="0.3"/>
    <row r="13547" s="160" customFormat="1" x14ac:dyDescent="0.3"/>
    <row r="13548" s="160" customFormat="1" x14ac:dyDescent="0.3"/>
    <row r="13549" s="160" customFormat="1" x14ac:dyDescent="0.3"/>
    <row r="13550" s="160" customFormat="1" x14ac:dyDescent="0.3"/>
    <row r="13551" s="160" customFormat="1" x14ac:dyDescent="0.3"/>
    <row r="13552" s="160" customFormat="1" x14ac:dyDescent="0.3"/>
    <row r="13553" s="160" customFormat="1" x14ac:dyDescent="0.3"/>
    <row r="13554" s="160" customFormat="1" x14ac:dyDescent="0.3"/>
    <row r="13555" s="160" customFormat="1" x14ac:dyDescent="0.3"/>
    <row r="13556" s="160" customFormat="1" x14ac:dyDescent="0.3"/>
    <row r="13557" s="160" customFormat="1" x14ac:dyDescent="0.3"/>
    <row r="13558" s="160" customFormat="1" x14ac:dyDescent="0.3"/>
    <row r="13559" s="160" customFormat="1" x14ac:dyDescent="0.3"/>
    <row r="13560" s="160" customFormat="1" x14ac:dyDescent="0.3"/>
    <row r="13561" s="160" customFormat="1" x14ac:dyDescent="0.3"/>
    <row r="13562" s="160" customFormat="1" x14ac:dyDescent="0.3"/>
    <row r="13563" s="160" customFormat="1" x14ac:dyDescent="0.3"/>
    <row r="13564" s="160" customFormat="1" x14ac:dyDescent="0.3"/>
    <row r="13565" s="160" customFormat="1" x14ac:dyDescent="0.3"/>
    <row r="13566" s="160" customFormat="1" x14ac:dyDescent="0.3"/>
    <row r="13567" s="160" customFormat="1" x14ac:dyDescent="0.3"/>
    <row r="13568" s="160" customFormat="1" x14ac:dyDescent="0.3"/>
    <row r="13569" s="160" customFormat="1" x14ac:dyDescent="0.3"/>
    <row r="13570" s="160" customFormat="1" x14ac:dyDescent="0.3"/>
    <row r="13571" s="160" customFormat="1" x14ac:dyDescent="0.3"/>
    <row r="13572" s="160" customFormat="1" x14ac:dyDescent="0.3"/>
    <row r="13573" s="160" customFormat="1" x14ac:dyDescent="0.3"/>
    <row r="13574" s="160" customFormat="1" x14ac:dyDescent="0.3"/>
    <row r="13575" s="160" customFormat="1" x14ac:dyDescent="0.3"/>
    <row r="13576" s="160" customFormat="1" x14ac:dyDescent="0.3"/>
    <row r="13577" s="160" customFormat="1" x14ac:dyDescent="0.3"/>
    <row r="13578" s="160" customFormat="1" x14ac:dyDescent="0.3"/>
    <row r="13579" s="160" customFormat="1" x14ac:dyDescent="0.3"/>
    <row r="13580" s="160" customFormat="1" x14ac:dyDescent="0.3"/>
    <row r="13581" s="160" customFormat="1" x14ac:dyDescent="0.3"/>
    <row r="13582" s="160" customFormat="1" x14ac:dyDescent="0.3"/>
    <row r="13583" s="160" customFormat="1" x14ac:dyDescent="0.3"/>
    <row r="13584" s="160" customFormat="1" x14ac:dyDescent="0.3"/>
    <row r="13585" s="160" customFormat="1" x14ac:dyDescent="0.3"/>
    <row r="13586" s="160" customFormat="1" x14ac:dyDescent="0.3"/>
    <row r="13587" s="160" customFormat="1" x14ac:dyDescent="0.3"/>
    <row r="13588" s="160" customFormat="1" x14ac:dyDescent="0.3"/>
    <row r="13589" s="160" customFormat="1" x14ac:dyDescent="0.3"/>
    <row r="13590" s="160" customFormat="1" x14ac:dyDescent="0.3"/>
    <row r="13591" s="160" customFormat="1" x14ac:dyDescent="0.3"/>
    <row r="13592" s="160" customFormat="1" x14ac:dyDescent="0.3"/>
    <row r="13593" s="160" customFormat="1" x14ac:dyDescent="0.3"/>
    <row r="13594" s="160" customFormat="1" x14ac:dyDescent="0.3"/>
    <row r="13595" s="160" customFormat="1" x14ac:dyDescent="0.3"/>
    <row r="13596" s="160" customFormat="1" x14ac:dyDescent="0.3"/>
    <row r="13597" s="160" customFormat="1" x14ac:dyDescent="0.3"/>
    <row r="13598" s="160" customFormat="1" x14ac:dyDescent="0.3"/>
    <row r="13599" s="160" customFormat="1" x14ac:dyDescent="0.3"/>
    <row r="13600" s="160" customFormat="1" x14ac:dyDescent="0.3"/>
    <row r="13601" s="160" customFormat="1" x14ac:dyDescent="0.3"/>
    <row r="13602" s="160" customFormat="1" x14ac:dyDescent="0.3"/>
    <row r="13603" s="160" customFormat="1" x14ac:dyDescent="0.3"/>
    <row r="13604" s="160" customFormat="1" x14ac:dyDescent="0.3"/>
    <row r="13605" s="160" customFormat="1" x14ac:dyDescent="0.3"/>
    <row r="13606" s="160" customFormat="1" x14ac:dyDescent="0.3"/>
    <row r="13607" s="160" customFormat="1" x14ac:dyDescent="0.3"/>
    <row r="13608" s="160" customFormat="1" x14ac:dyDescent="0.3"/>
    <row r="13609" s="160" customFormat="1" x14ac:dyDescent="0.3"/>
    <row r="13610" s="160" customFormat="1" x14ac:dyDescent="0.3"/>
    <row r="13611" s="160" customFormat="1" x14ac:dyDescent="0.3"/>
    <row r="13612" s="160" customFormat="1" x14ac:dyDescent="0.3"/>
    <row r="13613" s="160" customFormat="1" x14ac:dyDescent="0.3"/>
    <row r="13614" s="160" customFormat="1" x14ac:dyDescent="0.3"/>
    <row r="13615" s="160" customFormat="1" x14ac:dyDescent="0.3"/>
    <row r="13616" s="160" customFormat="1" x14ac:dyDescent="0.3"/>
    <row r="13617" s="160" customFormat="1" x14ac:dyDescent="0.3"/>
    <row r="13618" s="160" customFormat="1" x14ac:dyDescent="0.3"/>
    <row r="13619" s="160" customFormat="1" x14ac:dyDescent="0.3"/>
    <row r="13620" s="160" customFormat="1" x14ac:dyDescent="0.3"/>
    <row r="13621" s="160" customFormat="1" x14ac:dyDescent="0.3"/>
    <row r="13622" s="160" customFormat="1" x14ac:dyDescent="0.3"/>
    <row r="13623" s="160" customFormat="1" x14ac:dyDescent="0.3"/>
    <row r="13624" s="160" customFormat="1" x14ac:dyDescent="0.3"/>
    <row r="13625" s="160" customFormat="1" x14ac:dyDescent="0.3"/>
    <row r="13626" s="160" customFormat="1" x14ac:dyDescent="0.3"/>
    <row r="13627" s="160" customFormat="1" x14ac:dyDescent="0.3"/>
    <row r="13628" s="160" customFormat="1" x14ac:dyDescent="0.3"/>
    <row r="13629" s="160" customFormat="1" x14ac:dyDescent="0.3"/>
    <row r="13630" s="160" customFormat="1" x14ac:dyDescent="0.3"/>
    <row r="13631" s="160" customFormat="1" x14ac:dyDescent="0.3"/>
    <row r="13632" s="160" customFormat="1" x14ac:dyDescent="0.3"/>
    <row r="13633" s="160" customFormat="1" x14ac:dyDescent="0.3"/>
    <row r="13634" s="160" customFormat="1" x14ac:dyDescent="0.3"/>
    <row r="13635" s="160" customFormat="1" x14ac:dyDescent="0.3"/>
    <row r="13636" s="160" customFormat="1" x14ac:dyDescent="0.3"/>
    <row r="13637" s="160" customFormat="1" x14ac:dyDescent="0.3"/>
    <row r="13638" s="160" customFormat="1" x14ac:dyDescent="0.3"/>
    <row r="13639" s="160" customFormat="1" x14ac:dyDescent="0.3"/>
    <row r="13640" s="160" customFormat="1" x14ac:dyDescent="0.3"/>
    <row r="13641" s="160" customFormat="1" x14ac:dyDescent="0.3"/>
    <row r="13642" s="160" customFormat="1" x14ac:dyDescent="0.3"/>
    <row r="13643" s="160" customFormat="1" x14ac:dyDescent="0.3"/>
    <row r="13644" s="160" customFormat="1" x14ac:dyDescent="0.3"/>
    <row r="13645" s="160" customFormat="1" x14ac:dyDescent="0.3"/>
    <row r="13646" s="160" customFormat="1" x14ac:dyDescent="0.3"/>
    <row r="13647" s="160" customFormat="1" x14ac:dyDescent="0.3"/>
    <row r="13648" s="160" customFormat="1" x14ac:dyDescent="0.3"/>
    <row r="13649" s="160" customFormat="1" x14ac:dyDescent="0.3"/>
    <row r="13650" s="160" customFormat="1" x14ac:dyDescent="0.3"/>
    <row r="13651" s="160" customFormat="1" x14ac:dyDescent="0.3"/>
    <row r="13652" s="160" customFormat="1" x14ac:dyDescent="0.3"/>
    <row r="13653" s="160" customFormat="1" x14ac:dyDescent="0.3"/>
    <row r="13654" s="160" customFormat="1" x14ac:dyDescent="0.3"/>
    <row r="13655" s="160" customFormat="1" x14ac:dyDescent="0.3"/>
    <row r="13656" s="160" customFormat="1" x14ac:dyDescent="0.3"/>
    <row r="13657" s="160" customFormat="1" x14ac:dyDescent="0.3"/>
    <row r="13658" s="160" customFormat="1" x14ac:dyDescent="0.3"/>
    <row r="13659" s="160" customFormat="1" x14ac:dyDescent="0.3"/>
    <row r="13660" s="160" customFormat="1" x14ac:dyDescent="0.3"/>
    <row r="13661" s="160" customFormat="1" x14ac:dyDescent="0.3"/>
    <row r="13662" s="160" customFormat="1" x14ac:dyDescent="0.3"/>
    <row r="13663" s="160" customFormat="1" x14ac:dyDescent="0.3"/>
    <row r="13664" s="160" customFormat="1" x14ac:dyDescent="0.3"/>
    <row r="13665" s="160" customFormat="1" x14ac:dyDescent="0.3"/>
    <row r="13666" s="160" customFormat="1" x14ac:dyDescent="0.3"/>
    <row r="13667" s="160" customFormat="1" x14ac:dyDescent="0.3"/>
    <row r="13668" s="160" customFormat="1" x14ac:dyDescent="0.3"/>
    <row r="13669" s="160" customFormat="1" x14ac:dyDescent="0.3"/>
    <row r="13670" s="160" customFormat="1" x14ac:dyDescent="0.3"/>
    <row r="13671" s="160" customFormat="1" x14ac:dyDescent="0.3"/>
    <row r="13672" s="160" customFormat="1" x14ac:dyDescent="0.3"/>
    <row r="13673" s="160" customFormat="1" x14ac:dyDescent="0.3"/>
    <row r="13674" s="160" customFormat="1" x14ac:dyDescent="0.3"/>
    <row r="13675" s="160" customFormat="1" x14ac:dyDescent="0.3"/>
    <row r="13676" s="160" customFormat="1" x14ac:dyDescent="0.3"/>
    <row r="13677" s="160" customFormat="1" x14ac:dyDescent="0.3"/>
    <row r="13678" s="160" customFormat="1" x14ac:dyDescent="0.3"/>
    <row r="13679" s="160" customFormat="1" x14ac:dyDescent="0.3"/>
    <row r="13680" s="160" customFormat="1" x14ac:dyDescent="0.3"/>
    <row r="13681" s="160" customFormat="1" x14ac:dyDescent="0.3"/>
    <row r="13682" s="160" customFormat="1" x14ac:dyDescent="0.3"/>
    <row r="13683" s="160" customFormat="1" x14ac:dyDescent="0.3"/>
    <row r="13684" s="160" customFormat="1" x14ac:dyDescent="0.3"/>
    <row r="13685" s="160" customFormat="1" x14ac:dyDescent="0.3"/>
    <row r="13686" s="160" customFormat="1" x14ac:dyDescent="0.3"/>
    <row r="13687" s="160" customFormat="1" x14ac:dyDescent="0.3"/>
    <row r="13688" s="160" customFormat="1" x14ac:dyDescent="0.3"/>
    <row r="13689" s="160" customFormat="1" x14ac:dyDescent="0.3"/>
    <row r="13690" s="160" customFormat="1" x14ac:dyDescent="0.3"/>
    <row r="13691" s="160" customFormat="1" x14ac:dyDescent="0.3"/>
    <row r="13692" s="160" customFormat="1" x14ac:dyDescent="0.3"/>
    <row r="13693" s="160" customFormat="1" x14ac:dyDescent="0.3"/>
    <row r="13694" s="160" customFormat="1" x14ac:dyDescent="0.3"/>
    <row r="13695" s="160" customFormat="1" x14ac:dyDescent="0.3"/>
    <row r="13696" s="160" customFormat="1" x14ac:dyDescent="0.3"/>
    <row r="13697" s="160" customFormat="1" x14ac:dyDescent="0.3"/>
    <row r="13698" s="160" customFormat="1" x14ac:dyDescent="0.3"/>
    <row r="13699" s="160" customFormat="1" x14ac:dyDescent="0.3"/>
    <row r="13700" s="160" customFormat="1" x14ac:dyDescent="0.3"/>
    <row r="13701" s="160" customFormat="1" x14ac:dyDescent="0.3"/>
    <row r="13702" s="160" customFormat="1" x14ac:dyDescent="0.3"/>
    <row r="13703" s="160" customFormat="1" x14ac:dyDescent="0.3"/>
    <row r="13704" s="160" customFormat="1" x14ac:dyDescent="0.3"/>
    <row r="13705" s="160" customFormat="1" x14ac:dyDescent="0.3"/>
    <row r="13706" s="160" customFormat="1" x14ac:dyDescent="0.3"/>
    <row r="13707" s="160" customFormat="1" x14ac:dyDescent="0.3"/>
    <row r="13708" s="160" customFormat="1" x14ac:dyDescent="0.3"/>
    <row r="13709" s="160" customFormat="1" x14ac:dyDescent="0.3"/>
    <row r="13710" s="160" customFormat="1" x14ac:dyDescent="0.3"/>
    <row r="13711" s="160" customFormat="1" x14ac:dyDescent="0.3"/>
    <row r="13712" s="160" customFormat="1" x14ac:dyDescent="0.3"/>
    <row r="13713" s="160" customFormat="1" x14ac:dyDescent="0.3"/>
    <row r="13714" s="160" customFormat="1" x14ac:dyDescent="0.3"/>
    <row r="13715" s="160" customFormat="1" x14ac:dyDescent="0.3"/>
    <row r="13716" s="160" customFormat="1" x14ac:dyDescent="0.3"/>
    <row r="13717" s="160" customFormat="1" x14ac:dyDescent="0.3"/>
    <row r="13718" s="160" customFormat="1" x14ac:dyDescent="0.3"/>
    <row r="13719" s="160" customFormat="1" x14ac:dyDescent="0.3"/>
    <row r="13720" s="160" customFormat="1" x14ac:dyDescent="0.3"/>
    <row r="13721" s="160" customFormat="1" x14ac:dyDescent="0.3"/>
    <row r="13722" s="160" customFormat="1" x14ac:dyDescent="0.3"/>
    <row r="13723" s="160" customFormat="1" x14ac:dyDescent="0.3"/>
    <row r="13724" s="160" customFormat="1" x14ac:dyDescent="0.3"/>
    <row r="13725" s="160" customFormat="1" x14ac:dyDescent="0.3"/>
    <row r="13726" s="160" customFormat="1" x14ac:dyDescent="0.3"/>
    <row r="13727" s="160" customFormat="1" x14ac:dyDescent="0.3"/>
    <row r="13728" s="160" customFormat="1" x14ac:dyDescent="0.3"/>
    <row r="13729" s="160" customFormat="1" x14ac:dyDescent="0.3"/>
    <row r="13730" s="160" customFormat="1" x14ac:dyDescent="0.3"/>
    <row r="13731" s="160" customFormat="1" x14ac:dyDescent="0.3"/>
    <row r="13732" s="160" customFormat="1" x14ac:dyDescent="0.3"/>
    <row r="13733" s="160" customFormat="1" x14ac:dyDescent="0.3"/>
    <row r="13734" s="160" customFormat="1" x14ac:dyDescent="0.3"/>
    <row r="13735" s="160" customFormat="1" x14ac:dyDescent="0.3"/>
    <row r="13736" s="160" customFormat="1" x14ac:dyDescent="0.3"/>
    <row r="13737" s="160" customFormat="1" x14ac:dyDescent="0.3"/>
    <row r="13738" s="160" customFormat="1" x14ac:dyDescent="0.3"/>
    <row r="13739" s="160" customFormat="1" x14ac:dyDescent="0.3"/>
    <row r="13740" s="160" customFormat="1" x14ac:dyDescent="0.3"/>
    <row r="13741" s="160" customFormat="1" x14ac:dyDescent="0.3"/>
    <row r="13742" s="160" customFormat="1" x14ac:dyDescent="0.3"/>
    <row r="13743" s="160" customFormat="1" x14ac:dyDescent="0.3"/>
    <row r="13744" s="160" customFormat="1" x14ac:dyDescent="0.3"/>
    <row r="13745" s="160" customFormat="1" x14ac:dyDescent="0.3"/>
    <row r="13746" s="160" customFormat="1" x14ac:dyDescent="0.3"/>
    <row r="13747" s="160" customFormat="1" x14ac:dyDescent="0.3"/>
    <row r="13748" s="160" customFormat="1" x14ac:dyDescent="0.3"/>
    <row r="13749" s="160" customFormat="1" x14ac:dyDescent="0.3"/>
    <row r="13750" s="160" customFormat="1" x14ac:dyDescent="0.3"/>
    <row r="13751" s="160" customFormat="1" x14ac:dyDescent="0.3"/>
    <row r="13752" s="160" customFormat="1" x14ac:dyDescent="0.3"/>
    <row r="13753" s="160" customFormat="1" x14ac:dyDescent="0.3"/>
    <row r="13754" s="160" customFormat="1" x14ac:dyDescent="0.3"/>
    <row r="13755" s="160" customFormat="1" x14ac:dyDescent="0.3"/>
    <row r="13756" s="160" customFormat="1" x14ac:dyDescent="0.3"/>
    <row r="13757" s="160" customFormat="1" x14ac:dyDescent="0.3"/>
    <row r="13758" s="160" customFormat="1" x14ac:dyDescent="0.3"/>
    <row r="13759" s="160" customFormat="1" x14ac:dyDescent="0.3"/>
    <row r="13760" s="160" customFormat="1" x14ac:dyDescent="0.3"/>
    <row r="13761" s="160" customFormat="1" x14ac:dyDescent="0.3"/>
    <row r="13762" s="160" customFormat="1" x14ac:dyDescent="0.3"/>
    <row r="13763" s="160" customFormat="1" x14ac:dyDescent="0.3"/>
    <row r="13764" s="160" customFormat="1" x14ac:dyDescent="0.3"/>
    <row r="13765" s="160" customFormat="1" x14ac:dyDescent="0.3"/>
    <row r="13766" s="160" customFormat="1" x14ac:dyDescent="0.3"/>
    <row r="13767" s="160" customFormat="1" x14ac:dyDescent="0.3"/>
    <row r="13768" s="160" customFormat="1" x14ac:dyDescent="0.3"/>
    <row r="13769" s="160" customFormat="1" x14ac:dyDescent="0.3"/>
    <row r="13770" s="160" customFormat="1" x14ac:dyDescent="0.3"/>
    <row r="13771" s="160" customFormat="1" x14ac:dyDescent="0.3"/>
    <row r="13772" s="160" customFormat="1" x14ac:dyDescent="0.3"/>
    <row r="13773" s="160" customFormat="1" x14ac:dyDescent="0.3"/>
    <row r="13774" s="160" customFormat="1" x14ac:dyDescent="0.3"/>
    <row r="13775" s="160" customFormat="1" x14ac:dyDescent="0.3"/>
    <row r="13776" s="160" customFormat="1" x14ac:dyDescent="0.3"/>
    <row r="13777" s="160" customFormat="1" x14ac:dyDescent="0.3"/>
    <row r="13778" s="160" customFormat="1" x14ac:dyDescent="0.3"/>
    <row r="13779" s="160" customFormat="1" x14ac:dyDescent="0.3"/>
    <row r="13780" s="160" customFormat="1" x14ac:dyDescent="0.3"/>
    <row r="13781" s="160" customFormat="1" x14ac:dyDescent="0.3"/>
    <row r="13782" s="160" customFormat="1" x14ac:dyDescent="0.3"/>
    <row r="13783" s="160" customFormat="1" x14ac:dyDescent="0.3"/>
    <row r="13784" s="160" customFormat="1" x14ac:dyDescent="0.3"/>
    <row r="13785" s="160" customFormat="1" x14ac:dyDescent="0.3"/>
    <row r="13786" s="160" customFormat="1" x14ac:dyDescent="0.3"/>
    <row r="13787" s="160" customFormat="1" x14ac:dyDescent="0.3"/>
    <row r="13788" s="160" customFormat="1" x14ac:dyDescent="0.3"/>
    <row r="13789" s="160" customFormat="1" x14ac:dyDescent="0.3"/>
    <row r="13790" s="160" customFormat="1" x14ac:dyDescent="0.3"/>
    <row r="13791" s="160" customFormat="1" x14ac:dyDescent="0.3"/>
    <row r="13792" s="160" customFormat="1" x14ac:dyDescent="0.3"/>
    <row r="13793" s="160" customFormat="1" x14ac:dyDescent="0.3"/>
    <row r="13794" s="160" customFormat="1" x14ac:dyDescent="0.3"/>
    <row r="13795" s="160" customFormat="1" x14ac:dyDescent="0.3"/>
    <row r="13796" s="160" customFormat="1" x14ac:dyDescent="0.3"/>
    <row r="13797" s="160" customFormat="1" x14ac:dyDescent="0.3"/>
    <row r="13798" s="160" customFormat="1" x14ac:dyDescent="0.3"/>
    <row r="13799" s="160" customFormat="1" x14ac:dyDescent="0.3"/>
    <row r="13800" s="160" customFormat="1" x14ac:dyDescent="0.3"/>
    <row r="13801" s="160" customFormat="1" x14ac:dyDescent="0.3"/>
    <row r="13802" s="160" customFormat="1" x14ac:dyDescent="0.3"/>
    <row r="13803" s="160" customFormat="1" x14ac:dyDescent="0.3"/>
    <row r="13804" s="160" customFormat="1" x14ac:dyDescent="0.3"/>
    <row r="13805" s="160" customFormat="1" x14ac:dyDescent="0.3"/>
    <row r="13806" s="160" customFormat="1" x14ac:dyDescent="0.3"/>
    <row r="13807" s="160" customFormat="1" x14ac:dyDescent="0.3"/>
    <row r="13808" s="160" customFormat="1" x14ac:dyDescent="0.3"/>
    <row r="13809" s="160" customFormat="1" x14ac:dyDescent="0.3"/>
    <row r="13810" s="160" customFormat="1" x14ac:dyDescent="0.3"/>
    <row r="13811" s="160" customFormat="1" x14ac:dyDescent="0.3"/>
    <row r="13812" s="160" customFormat="1" x14ac:dyDescent="0.3"/>
    <row r="13813" s="160" customFormat="1" x14ac:dyDescent="0.3"/>
    <row r="13814" s="160" customFormat="1" x14ac:dyDescent="0.3"/>
    <row r="13815" s="160" customFormat="1" x14ac:dyDescent="0.3"/>
    <row r="13816" s="160" customFormat="1" x14ac:dyDescent="0.3"/>
    <row r="13817" s="160" customFormat="1" x14ac:dyDescent="0.3"/>
    <row r="13818" s="160" customFormat="1" x14ac:dyDescent="0.3"/>
    <row r="13819" s="160" customFormat="1" x14ac:dyDescent="0.3"/>
    <row r="13820" s="160" customFormat="1" x14ac:dyDescent="0.3"/>
    <row r="13821" s="160" customFormat="1" x14ac:dyDescent="0.3"/>
    <row r="13822" s="160" customFormat="1" x14ac:dyDescent="0.3"/>
    <row r="13823" s="160" customFormat="1" x14ac:dyDescent="0.3"/>
    <row r="13824" s="160" customFormat="1" x14ac:dyDescent="0.3"/>
    <row r="13825" s="160" customFormat="1" x14ac:dyDescent="0.3"/>
    <row r="13826" s="160" customFormat="1" x14ac:dyDescent="0.3"/>
    <row r="13827" s="160" customFormat="1" x14ac:dyDescent="0.3"/>
    <row r="13828" s="160" customFormat="1" x14ac:dyDescent="0.3"/>
    <row r="13829" s="160" customFormat="1" x14ac:dyDescent="0.3"/>
    <row r="13830" s="160" customFormat="1" x14ac:dyDescent="0.3"/>
    <row r="13831" s="160" customFormat="1" x14ac:dyDescent="0.3"/>
    <row r="13832" s="160" customFormat="1" x14ac:dyDescent="0.3"/>
    <row r="13833" s="160" customFormat="1" x14ac:dyDescent="0.3"/>
    <row r="13834" s="160" customFormat="1" x14ac:dyDescent="0.3"/>
    <row r="13835" s="160" customFormat="1" x14ac:dyDescent="0.3"/>
    <row r="13836" s="160" customFormat="1" x14ac:dyDescent="0.3"/>
    <row r="13837" s="160" customFormat="1" x14ac:dyDescent="0.3"/>
    <row r="13838" s="160" customFormat="1" x14ac:dyDescent="0.3"/>
    <row r="13839" s="160" customFormat="1" x14ac:dyDescent="0.3"/>
    <row r="13840" s="160" customFormat="1" x14ac:dyDescent="0.3"/>
    <row r="13841" s="160" customFormat="1" x14ac:dyDescent="0.3"/>
    <row r="13842" s="160" customFormat="1" x14ac:dyDescent="0.3"/>
    <row r="13843" s="160" customFormat="1" x14ac:dyDescent="0.3"/>
    <row r="13844" s="160" customFormat="1" x14ac:dyDescent="0.3"/>
    <row r="13845" s="160" customFormat="1" x14ac:dyDescent="0.3"/>
    <row r="13846" s="160" customFormat="1" x14ac:dyDescent="0.3"/>
    <row r="13847" s="160" customFormat="1" x14ac:dyDescent="0.3"/>
    <row r="13848" s="160" customFormat="1" x14ac:dyDescent="0.3"/>
    <row r="13849" s="160" customFormat="1" x14ac:dyDescent="0.3"/>
    <row r="13850" s="160" customFormat="1" x14ac:dyDescent="0.3"/>
    <row r="13851" s="160" customFormat="1" x14ac:dyDescent="0.3"/>
    <row r="13852" s="160" customFormat="1" x14ac:dyDescent="0.3"/>
    <row r="13853" s="160" customFormat="1" x14ac:dyDescent="0.3"/>
    <row r="13854" s="160" customFormat="1" x14ac:dyDescent="0.3"/>
    <row r="13855" s="160" customFormat="1" x14ac:dyDescent="0.3"/>
    <row r="13856" s="160" customFormat="1" x14ac:dyDescent="0.3"/>
    <row r="13857" s="160" customFormat="1" x14ac:dyDescent="0.3"/>
    <row r="13858" s="160" customFormat="1" x14ac:dyDescent="0.3"/>
    <row r="13859" s="160" customFormat="1" x14ac:dyDescent="0.3"/>
    <row r="13860" s="160" customFormat="1" x14ac:dyDescent="0.3"/>
    <row r="13861" s="160" customFormat="1" x14ac:dyDescent="0.3"/>
    <row r="13862" s="160" customFormat="1" x14ac:dyDescent="0.3"/>
    <row r="13863" s="160" customFormat="1" x14ac:dyDescent="0.3"/>
    <row r="13864" s="160" customFormat="1" x14ac:dyDescent="0.3"/>
    <row r="13865" s="160" customFormat="1" x14ac:dyDescent="0.3"/>
    <row r="13866" s="160" customFormat="1" x14ac:dyDescent="0.3"/>
    <row r="13867" s="160" customFormat="1" x14ac:dyDescent="0.3"/>
    <row r="13868" s="160" customFormat="1" x14ac:dyDescent="0.3"/>
    <row r="13869" s="160" customFormat="1" x14ac:dyDescent="0.3"/>
    <row r="13870" s="160" customFormat="1" x14ac:dyDescent="0.3"/>
    <row r="13871" s="160" customFormat="1" x14ac:dyDescent="0.3"/>
    <row r="13872" s="160" customFormat="1" x14ac:dyDescent="0.3"/>
    <row r="13873" s="160" customFormat="1" x14ac:dyDescent="0.3"/>
    <row r="13874" s="160" customFormat="1" x14ac:dyDescent="0.3"/>
    <row r="13875" s="160" customFormat="1" x14ac:dyDescent="0.3"/>
    <row r="13876" s="160" customFormat="1" x14ac:dyDescent="0.3"/>
    <row r="13877" s="160" customFormat="1" x14ac:dyDescent="0.3"/>
    <row r="13878" s="160" customFormat="1" x14ac:dyDescent="0.3"/>
    <row r="13879" s="160" customFormat="1" x14ac:dyDescent="0.3"/>
    <row r="13880" s="160" customFormat="1" x14ac:dyDescent="0.3"/>
    <row r="13881" s="160" customFormat="1" x14ac:dyDescent="0.3"/>
    <row r="13882" s="160" customFormat="1" x14ac:dyDescent="0.3"/>
    <row r="13883" s="160" customFormat="1" x14ac:dyDescent="0.3"/>
    <row r="13884" s="160" customFormat="1" x14ac:dyDescent="0.3"/>
    <row r="13885" s="160" customFormat="1" x14ac:dyDescent="0.3"/>
    <row r="13886" s="160" customFormat="1" x14ac:dyDescent="0.3"/>
    <row r="13887" s="160" customFormat="1" x14ac:dyDescent="0.3"/>
    <row r="13888" s="160" customFormat="1" x14ac:dyDescent="0.3"/>
    <row r="13889" s="160" customFormat="1" x14ac:dyDescent="0.3"/>
    <row r="13890" s="160" customFormat="1" x14ac:dyDescent="0.3"/>
    <row r="13891" s="160" customFormat="1" x14ac:dyDescent="0.3"/>
    <row r="13892" s="160" customFormat="1" x14ac:dyDescent="0.3"/>
    <row r="13893" s="160" customFormat="1" x14ac:dyDescent="0.3"/>
    <row r="13894" s="160" customFormat="1" x14ac:dyDescent="0.3"/>
    <row r="13895" s="160" customFormat="1" x14ac:dyDescent="0.3"/>
    <row r="13896" s="160" customFormat="1" x14ac:dyDescent="0.3"/>
    <row r="13897" s="160" customFormat="1" x14ac:dyDescent="0.3"/>
    <row r="13898" s="160" customFormat="1" x14ac:dyDescent="0.3"/>
    <row r="13899" s="160" customFormat="1" x14ac:dyDescent="0.3"/>
    <row r="13900" s="160" customFormat="1" x14ac:dyDescent="0.3"/>
    <row r="13901" s="160" customFormat="1" x14ac:dyDescent="0.3"/>
    <row r="13902" s="160" customFormat="1" x14ac:dyDescent="0.3"/>
    <row r="13903" s="160" customFormat="1" x14ac:dyDescent="0.3"/>
    <row r="13904" s="160" customFormat="1" x14ac:dyDescent="0.3"/>
    <row r="13905" s="160" customFormat="1" x14ac:dyDescent="0.3"/>
    <row r="13906" s="160" customFormat="1" x14ac:dyDescent="0.3"/>
    <row r="13907" s="160" customFormat="1" x14ac:dyDescent="0.3"/>
    <row r="13908" s="160" customFormat="1" x14ac:dyDescent="0.3"/>
    <row r="13909" s="160" customFormat="1" x14ac:dyDescent="0.3"/>
    <row r="13910" s="160" customFormat="1" x14ac:dyDescent="0.3"/>
    <row r="13911" s="160" customFormat="1" x14ac:dyDescent="0.3"/>
    <row r="13912" s="160" customFormat="1" x14ac:dyDescent="0.3"/>
    <row r="13913" s="160" customFormat="1" x14ac:dyDescent="0.3"/>
    <row r="13914" s="160" customFormat="1" x14ac:dyDescent="0.3"/>
    <row r="13915" s="160" customFormat="1" x14ac:dyDescent="0.3"/>
    <row r="13916" s="160" customFormat="1" x14ac:dyDescent="0.3"/>
    <row r="13917" s="160" customFormat="1" x14ac:dyDescent="0.3"/>
    <row r="13918" s="160" customFormat="1" x14ac:dyDescent="0.3"/>
    <row r="13919" s="160" customFormat="1" x14ac:dyDescent="0.3"/>
    <row r="13920" s="160" customFormat="1" x14ac:dyDescent="0.3"/>
    <row r="13921" s="160" customFormat="1" x14ac:dyDescent="0.3"/>
    <row r="13922" s="160" customFormat="1" x14ac:dyDescent="0.3"/>
    <row r="13923" s="160" customFormat="1" x14ac:dyDescent="0.3"/>
    <row r="13924" s="160" customFormat="1" x14ac:dyDescent="0.3"/>
    <row r="13925" s="160" customFormat="1" x14ac:dyDescent="0.3"/>
    <row r="13926" s="160" customFormat="1" x14ac:dyDescent="0.3"/>
    <row r="13927" s="160" customFormat="1" x14ac:dyDescent="0.3"/>
    <row r="13928" s="160" customFormat="1" x14ac:dyDescent="0.3"/>
    <row r="13929" s="160" customFormat="1" x14ac:dyDescent="0.3"/>
    <row r="13930" s="160" customFormat="1" x14ac:dyDescent="0.3"/>
    <row r="13931" s="160" customFormat="1" x14ac:dyDescent="0.3"/>
    <row r="13932" s="160" customFormat="1" x14ac:dyDescent="0.3"/>
    <row r="13933" s="160" customFormat="1" x14ac:dyDescent="0.3"/>
    <row r="13934" s="160" customFormat="1" x14ac:dyDescent="0.3"/>
    <row r="13935" s="160" customFormat="1" x14ac:dyDescent="0.3"/>
    <row r="13936" s="160" customFormat="1" x14ac:dyDescent="0.3"/>
    <row r="13937" s="160" customFormat="1" x14ac:dyDescent="0.3"/>
    <row r="13938" s="160" customFormat="1" x14ac:dyDescent="0.3"/>
    <row r="13939" s="160" customFormat="1" x14ac:dyDescent="0.3"/>
    <row r="13940" s="160" customFormat="1" x14ac:dyDescent="0.3"/>
    <row r="13941" s="160" customFormat="1" x14ac:dyDescent="0.3"/>
    <row r="13942" s="160" customFormat="1" x14ac:dyDescent="0.3"/>
    <row r="13943" s="160" customFormat="1" x14ac:dyDescent="0.3"/>
    <row r="13944" s="160" customFormat="1" x14ac:dyDescent="0.3"/>
    <row r="13945" s="160" customFormat="1" x14ac:dyDescent="0.3"/>
    <row r="13946" s="160" customFormat="1" x14ac:dyDescent="0.3"/>
    <row r="13947" s="160" customFormat="1" x14ac:dyDescent="0.3"/>
    <row r="13948" s="160" customFormat="1" x14ac:dyDescent="0.3"/>
    <row r="13949" s="160" customFormat="1" x14ac:dyDescent="0.3"/>
    <row r="13950" s="160" customFormat="1" x14ac:dyDescent="0.3"/>
    <row r="13951" s="160" customFormat="1" x14ac:dyDescent="0.3"/>
    <row r="13952" s="160" customFormat="1" x14ac:dyDescent="0.3"/>
    <row r="13953" s="160" customFormat="1" x14ac:dyDescent="0.3"/>
    <row r="13954" s="160" customFormat="1" x14ac:dyDescent="0.3"/>
    <row r="13955" s="160" customFormat="1" x14ac:dyDescent="0.3"/>
    <row r="13956" s="160" customFormat="1" x14ac:dyDescent="0.3"/>
    <row r="13957" s="160" customFormat="1" x14ac:dyDescent="0.3"/>
    <row r="13958" s="160" customFormat="1" x14ac:dyDescent="0.3"/>
    <row r="13959" s="160" customFormat="1" x14ac:dyDescent="0.3"/>
    <row r="13960" s="160" customFormat="1" x14ac:dyDescent="0.3"/>
    <row r="13961" s="160" customFormat="1" x14ac:dyDescent="0.3"/>
    <row r="13962" s="160" customFormat="1" x14ac:dyDescent="0.3"/>
    <row r="13963" s="160" customFormat="1" x14ac:dyDescent="0.3"/>
    <row r="13964" s="160" customFormat="1" x14ac:dyDescent="0.3"/>
    <row r="13965" s="160" customFormat="1" x14ac:dyDescent="0.3"/>
    <row r="13966" s="160" customFormat="1" x14ac:dyDescent="0.3"/>
    <row r="13967" s="160" customFormat="1" x14ac:dyDescent="0.3"/>
    <row r="13968" s="160" customFormat="1" x14ac:dyDescent="0.3"/>
    <row r="13969" s="160" customFormat="1" x14ac:dyDescent="0.3"/>
    <row r="13970" s="160" customFormat="1" x14ac:dyDescent="0.3"/>
    <row r="13971" s="160" customFormat="1" x14ac:dyDescent="0.3"/>
    <row r="13972" s="160" customFormat="1" x14ac:dyDescent="0.3"/>
    <row r="13973" s="160" customFormat="1" x14ac:dyDescent="0.3"/>
    <row r="13974" s="160" customFormat="1" x14ac:dyDescent="0.3"/>
    <row r="13975" s="160" customFormat="1" x14ac:dyDescent="0.3"/>
    <row r="13976" s="160" customFormat="1" x14ac:dyDescent="0.3"/>
    <row r="13977" s="160" customFormat="1" x14ac:dyDescent="0.3"/>
    <row r="13978" s="160" customFormat="1" x14ac:dyDescent="0.3"/>
    <row r="13979" s="160" customFormat="1" x14ac:dyDescent="0.3"/>
    <row r="13980" s="160" customFormat="1" x14ac:dyDescent="0.3"/>
    <row r="13981" s="160" customFormat="1" x14ac:dyDescent="0.3"/>
    <row r="13982" s="160" customFormat="1" x14ac:dyDescent="0.3"/>
    <row r="13983" s="160" customFormat="1" x14ac:dyDescent="0.3"/>
    <row r="13984" s="160" customFormat="1" x14ac:dyDescent="0.3"/>
    <row r="13985" s="160" customFormat="1" x14ac:dyDescent="0.3"/>
    <row r="13986" s="160" customFormat="1" x14ac:dyDescent="0.3"/>
    <row r="13987" s="160" customFormat="1" x14ac:dyDescent="0.3"/>
    <row r="13988" s="160" customFormat="1" x14ac:dyDescent="0.3"/>
    <row r="13989" s="160" customFormat="1" x14ac:dyDescent="0.3"/>
    <row r="13990" s="160" customFormat="1" x14ac:dyDescent="0.3"/>
    <row r="13991" s="160" customFormat="1" x14ac:dyDescent="0.3"/>
    <row r="13992" s="160" customFormat="1" x14ac:dyDescent="0.3"/>
    <row r="13993" s="160" customFormat="1" x14ac:dyDescent="0.3"/>
    <row r="13994" s="160" customFormat="1" x14ac:dyDescent="0.3"/>
    <row r="13995" s="160" customFormat="1" x14ac:dyDescent="0.3"/>
    <row r="13996" s="160" customFormat="1" x14ac:dyDescent="0.3"/>
    <row r="13997" s="160" customFormat="1" x14ac:dyDescent="0.3"/>
    <row r="13998" s="160" customFormat="1" x14ac:dyDescent="0.3"/>
    <row r="13999" s="160" customFormat="1" x14ac:dyDescent="0.3"/>
    <row r="14000" s="160" customFormat="1" x14ac:dyDescent="0.3"/>
    <row r="14001" s="160" customFormat="1" x14ac:dyDescent="0.3"/>
    <row r="14002" s="160" customFormat="1" x14ac:dyDescent="0.3"/>
    <row r="14003" s="160" customFormat="1" x14ac:dyDescent="0.3"/>
    <row r="14004" s="160" customFormat="1" x14ac:dyDescent="0.3"/>
    <row r="14005" s="160" customFormat="1" x14ac:dyDescent="0.3"/>
    <row r="14006" s="160" customFormat="1" x14ac:dyDescent="0.3"/>
    <row r="14007" s="160" customFormat="1" x14ac:dyDescent="0.3"/>
    <row r="14008" s="160" customFormat="1" x14ac:dyDescent="0.3"/>
    <row r="14009" s="160" customFormat="1" x14ac:dyDescent="0.3"/>
    <row r="14010" s="160" customFormat="1" x14ac:dyDescent="0.3"/>
    <row r="14011" s="160" customFormat="1" x14ac:dyDescent="0.3"/>
    <row r="14012" s="160" customFormat="1" x14ac:dyDescent="0.3"/>
    <row r="14013" s="160" customFormat="1" x14ac:dyDescent="0.3"/>
    <row r="14014" s="160" customFormat="1" x14ac:dyDescent="0.3"/>
    <row r="14015" s="160" customFormat="1" x14ac:dyDescent="0.3"/>
    <row r="14016" s="160" customFormat="1" x14ac:dyDescent="0.3"/>
    <row r="14017" s="160" customFormat="1" x14ac:dyDescent="0.3"/>
    <row r="14018" s="160" customFormat="1" x14ac:dyDescent="0.3"/>
    <row r="14019" s="160" customFormat="1" x14ac:dyDescent="0.3"/>
    <row r="14020" s="160" customFormat="1" x14ac:dyDescent="0.3"/>
    <row r="14021" s="160" customFormat="1" x14ac:dyDescent="0.3"/>
    <row r="14022" s="160" customFormat="1" x14ac:dyDescent="0.3"/>
    <row r="14023" s="160" customFormat="1" x14ac:dyDescent="0.3"/>
    <row r="14024" s="160" customFormat="1" x14ac:dyDescent="0.3"/>
    <row r="14025" s="160" customFormat="1" x14ac:dyDescent="0.3"/>
    <row r="14026" s="160" customFormat="1" x14ac:dyDescent="0.3"/>
    <row r="14027" s="160" customFormat="1" x14ac:dyDescent="0.3"/>
    <row r="14028" s="160" customFormat="1" x14ac:dyDescent="0.3"/>
    <row r="14029" s="160" customFormat="1" x14ac:dyDescent="0.3"/>
    <row r="14030" s="160" customFormat="1" x14ac:dyDescent="0.3"/>
    <row r="14031" s="160" customFormat="1" x14ac:dyDescent="0.3"/>
    <row r="14032" s="160" customFormat="1" x14ac:dyDescent="0.3"/>
    <row r="14033" s="160" customFormat="1" x14ac:dyDescent="0.3"/>
    <row r="14034" s="160" customFormat="1" x14ac:dyDescent="0.3"/>
    <row r="14035" s="160" customFormat="1" x14ac:dyDescent="0.3"/>
    <row r="14036" s="160" customFormat="1" x14ac:dyDescent="0.3"/>
    <row r="14037" s="160" customFormat="1" x14ac:dyDescent="0.3"/>
    <row r="14038" s="160" customFormat="1" x14ac:dyDescent="0.3"/>
    <row r="14039" s="160" customFormat="1" x14ac:dyDescent="0.3"/>
    <row r="14040" s="160" customFormat="1" x14ac:dyDescent="0.3"/>
    <row r="14041" s="160" customFormat="1" x14ac:dyDescent="0.3"/>
    <row r="14042" s="160" customFormat="1" x14ac:dyDescent="0.3"/>
    <row r="14043" s="160" customFormat="1" x14ac:dyDescent="0.3"/>
    <row r="14044" s="160" customFormat="1" x14ac:dyDescent="0.3"/>
    <row r="14045" s="160" customFormat="1" x14ac:dyDescent="0.3"/>
    <row r="14046" s="160" customFormat="1" x14ac:dyDescent="0.3"/>
    <row r="14047" s="160" customFormat="1" x14ac:dyDescent="0.3"/>
    <row r="14048" s="160" customFormat="1" x14ac:dyDescent="0.3"/>
    <row r="14049" s="160" customFormat="1" x14ac:dyDescent="0.3"/>
    <row r="14050" s="160" customFormat="1" x14ac:dyDescent="0.3"/>
    <row r="14051" s="160" customFormat="1" x14ac:dyDescent="0.3"/>
    <row r="14052" s="160" customFormat="1" x14ac:dyDescent="0.3"/>
    <row r="14053" s="160" customFormat="1" x14ac:dyDescent="0.3"/>
    <row r="14054" s="160" customFormat="1" x14ac:dyDescent="0.3"/>
    <row r="14055" s="160" customFormat="1" x14ac:dyDescent="0.3"/>
    <row r="14056" s="160" customFormat="1" x14ac:dyDescent="0.3"/>
    <row r="14057" s="160" customFormat="1" x14ac:dyDescent="0.3"/>
    <row r="14058" s="160" customFormat="1" x14ac:dyDescent="0.3"/>
    <row r="14059" s="160" customFormat="1" x14ac:dyDescent="0.3"/>
    <row r="14060" s="160" customFormat="1" x14ac:dyDescent="0.3"/>
    <row r="14061" s="160" customFormat="1" x14ac:dyDescent="0.3"/>
    <row r="14062" s="160" customFormat="1" x14ac:dyDescent="0.3"/>
    <row r="14063" s="160" customFormat="1" x14ac:dyDescent="0.3"/>
    <row r="14064" s="160" customFormat="1" x14ac:dyDescent="0.3"/>
    <row r="14065" s="160" customFormat="1" x14ac:dyDescent="0.3"/>
    <row r="14066" s="160" customFormat="1" x14ac:dyDescent="0.3"/>
    <row r="14067" s="160" customFormat="1" x14ac:dyDescent="0.3"/>
    <row r="14068" s="160" customFormat="1" x14ac:dyDescent="0.3"/>
    <row r="14069" s="160" customFormat="1" x14ac:dyDescent="0.3"/>
    <row r="14070" s="160" customFormat="1" x14ac:dyDescent="0.3"/>
    <row r="14071" s="160" customFormat="1" x14ac:dyDescent="0.3"/>
    <row r="14072" s="160" customFormat="1" x14ac:dyDescent="0.3"/>
    <row r="14073" s="160" customFormat="1" x14ac:dyDescent="0.3"/>
    <row r="14074" s="160" customFormat="1" x14ac:dyDescent="0.3"/>
    <row r="14075" s="160" customFormat="1" x14ac:dyDescent="0.3"/>
    <row r="14076" s="160" customFormat="1" x14ac:dyDescent="0.3"/>
    <row r="14077" s="160" customFormat="1" x14ac:dyDescent="0.3"/>
    <row r="14078" s="160" customFormat="1" x14ac:dyDescent="0.3"/>
    <row r="14079" s="160" customFormat="1" x14ac:dyDescent="0.3"/>
    <row r="14080" s="160" customFormat="1" x14ac:dyDescent="0.3"/>
    <row r="14081" s="160" customFormat="1" x14ac:dyDescent="0.3"/>
    <row r="14082" s="160" customFormat="1" x14ac:dyDescent="0.3"/>
    <row r="14083" s="160" customFormat="1" x14ac:dyDescent="0.3"/>
    <row r="14084" s="160" customFormat="1" x14ac:dyDescent="0.3"/>
    <row r="14085" s="160" customFormat="1" x14ac:dyDescent="0.3"/>
    <row r="14086" s="160" customFormat="1" x14ac:dyDescent="0.3"/>
    <row r="14087" s="160" customFormat="1" x14ac:dyDescent="0.3"/>
    <row r="14088" s="160" customFormat="1" x14ac:dyDescent="0.3"/>
    <row r="14089" s="160" customFormat="1" x14ac:dyDescent="0.3"/>
    <row r="14090" s="160" customFormat="1" x14ac:dyDescent="0.3"/>
    <row r="14091" s="160" customFormat="1" x14ac:dyDescent="0.3"/>
    <row r="14092" s="160" customFormat="1" x14ac:dyDescent="0.3"/>
    <row r="14093" s="160" customFormat="1" x14ac:dyDescent="0.3"/>
    <row r="14094" s="160" customFormat="1" x14ac:dyDescent="0.3"/>
    <row r="14095" s="160" customFormat="1" x14ac:dyDescent="0.3"/>
    <row r="14096" s="160" customFormat="1" x14ac:dyDescent="0.3"/>
    <row r="14097" s="160" customFormat="1" x14ac:dyDescent="0.3"/>
    <row r="14098" s="160" customFormat="1" x14ac:dyDescent="0.3"/>
    <row r="14099" s="160" customFormat="1" x14ac:dyDescent="0.3"/>
    <row r="14100" s="160" customFormat="1" x14ac:dyDescent="0.3"/>
    <row r="14101" s="160" customFormat="1" x14ac:dyDescent="0.3"/>
    <row r="14102" s="160" customFormat="1" x14ac:dyDescent="0.3"/>
    <row r="14103" s="160" customFormat="1" x14ac:dyDescent="0.3"/>
    <row r="14104" s="160" customFormat="1" x14ac:dyDescent="0.3"/>
    <row r="14105" s="160" customFormat="1" x14ac:dyDescent="0.3"/>
    <row r="14106" s="160" customFormat="1" x14ac:dyDescent="0.3"/>
    <row r="14107" s="160" customFormat="1" x14ac:dyDescent="0.3"/>
    <row r="14108" s="160" customFormat="1" x14ac:dyDescent="0.3"/>
    <row r="14109" s="160" customFormat="1" x14ac:dyDescent="0.3"/>
    <row r="14110" s="160" customFormat="1" x14ac:dyDescent="0.3"/>
    <row r="14111" s="160" customFormat="1" x14ac:dyDescent="0.3"/>
    <row r="14112" s="160" customFormat="1" x14ac:dyDescent="0.3"/>
    <row r="14113" s="160" customFormat="1" x14ac:dyDescent="0.3"/>
    <row r="14114" s="160" customFormat="1" x14ac:dyDescent="0.3"/>
    <row r="14115" s="160" customFormat="1" x14ac:dyDescent="0.3"/>
    <row r="14116" s="160" customFormat="1" x14ac:dyDescent="0.3"/>
    <row r="14117" s="160" customFormat="1" x14ac:dyDescent="0.3"/>
    <row r="14118" s="160" customFormat="1" x14ac:dyDescent="0.3"/>
    <row r="14119" s="160" customFormat="1" x14ac:dyDescent="0.3"/>
    <row r="14120" s="160" customFormat="1" x14ac:dyDescent="0.3"/>
    <row r="14121" s="160" customFormat="1" x14ac:dyDescent="0.3"/>
    <row r="14122" s="160" customFormat="1" x14ac:dyDescent="0.3"/>
    <row r="14123" s="160" customFormat="1" x14ac:dyDescent="0.3"/>
    <row r="14124" s="160" customFormat="1" x14ac:dyDescent="0.3"/>
    <row r="14125" s="160" customFormat="1" x14ac:dyDescent="0.3"/>
    <row r="14126" s="160" customFormat="1" x14ac:dyDescent="0.3"/>
    <row r="14127" s="160" customFormat="1" x14ac:dyDescent="0.3"/>
    <row r="14128" s="160" customFormat="1" x14ac:dyDescent="0.3"/>
    <row r="14129" s="160" customFormat="1" x14ac:dyDescent="0.3"/>
    <row r="14130" s="160" customFormat="1" x14ac:dyDescent="0.3"/>
    <row r="14131" s="160" customFormat="1" x14ac:dyDescent="0.3"/>
    <row r="14132" s="160" customFormat="1" x14ac:dyDescent="0.3"/>
    <row r="14133" s="160" customFormat="1" x14ac:dyDescent="0.3"/>
    <row r="14134" s="160" customFormat="1" x14ac:dyDescent="0.3"/>
    <row r="14135" s="160" customFormat="1" x14ac:dyDescent="0.3"/>
    <row r="14136" s="160" customFormat="1" x14ac:dyDescent="0.3"/>
    <row r="14137" s="160" customFormat="1" x14ac:dyDescent="0.3"/>
    <row r="14138" s="160" customFormat="1" x14ac:dyDescent="0.3"/>
    <row r="14139" s="160" customFormat="1" x14ac:dyDescent="0.3"/>
    <row r="14140" s="160" customFormat="1" x14ac:dyDescent="0.3"/>
    <row r="14141" s="160" customFormat="1" x14ac:dyDescent="0.3"/>
    <row r="14142" s="160" customFormat="1" x14ac:dyDescent="0.3"/>
    <row r="14143" s="160" customFormat="1" x14ac:dyDescent="0.3"/>
    <row r="14144" s="160" customFormat="1" x14ac:dyDescent="0.3"/>
    <row r="14145" s="160" customFormat="1" x14ac:dyDescent="0.3"/>
    <row r="14146" s="160" customFormat="1" x14ac:dyDescent="0.3"/>
    <row r="14147" s="160" customFormat="1" x14ac:dyDescent="0.3"/>
    <row r="14148" s="160" customFormat="1" x14ac:dyDescent="0.3"/>
    <row r="14149" s="160" customFormat="1" x14ac:dyDescent="0.3"/>
    <row r="14150" s="160" customFormat="1" x14ac:dyDescent="0.3"/>
    <row r="14151" s="160" customFormat="1" x14ac:dyDescent="0.3"/>
    <row r="14152" s="160" customFormat="1" x14ac:dyDescent="0.3"/>
    <row r="14153" s="160" customFormat="1" x14ac:dyDescent="0.3"/>
    <row r="14154" s="160" customFormat="1" x14ac:dyDescent="0.3"/>
    <row r="14155" s="160" customFormat="1" x14ac:dyDescent="0.3"/>
    <row r="14156" s="160" customFormat="1" x14ac:dyDescent="0.3"/>
    <row r="14157" s="160" customFormat="1" x14ac:dyDescent="0.3"/>
    <row r="14158" s="160" customFormat="1" x14ac:dyDescent="0.3"/>
    <row r="14159" s="160" customFormat="1" x14ac:dyDescent="0.3"/>
    <row r="14160" s="160" customFormat="1" x14ac:dyDescent="0.3"/>
    <row r="14161" s="160" customFormat="1" x14ac:dyDescent="0.3"/>
    <row r="14162" s="160" customFormat="1" x14ac:dyDescent="0.3"/>
    <row r="14163" s="160" customFormat="1" x14ac:dyDescent="0.3"/>
    <row r="14164" s="160" customFormat="1" x14ac:dyDescent="0.3"/>
    <row r="14165" s="160" customFormat="1" x14ac:dyDescent="0.3"/>
    <row r="14166" s="160" customFormat="1" x14ac:dyDescent="0.3"/>
    <row r="14167" s="160" customFormat="1" x14ac:dyDescent="0.3"/>
    <row r="14168" s="160" customFormat="1" x14ac:dyDescent="0.3"/>
    <row r="14169" s="160" customFormat="1" x14ac:dyDescent="0.3"/>
    <row r="14170" s="160" customFormat="1" x14ac:dyDescent="0.3"/>
    <row r="14171" s="160" customFormat="1" x14ac:dyDescent="0.3"/>
    <row r="14172" s="160" customFormat="1" x14ac:dyDescent="0.3"/>
    <row r="14173" s="160" customFormat="1" x14ac:dyDescent="0.3"/>
    <row r="14174" s="160" customFormat="1" x14ac:dyDescent="0.3"/>
    <row r="14175" s="160" customFormat="1" x14ac:dyDescent="0.3"/>
    <row r="14176" s="160" customFormat="1" x14ac:dyDescent="0.3"/>
    <row r="14177" s="160" customFormat="1" x14ac:dyDescent="0.3"/>
    <row r="14178" s="160" customFormat="1" x14ac:dyDescent="0.3"/>
    <row r="14179" s="160" customFormat="1" x14ac:dyDescent="0.3"/>
    <row r="14180" s="160" customFormat="1" x14ac:dyDescent="0.3"/>
    <row r="14181" s="160" customFormat="1" x14ac:dyDescent="0.3"/>
    <row r="14182" s="160" customFormat="1" x14ac:dyDescent="0.3"/>
    <row r="14183" s="160" customFormat="1" x14ac:dyDescent="0.3"/>
    <row r="14184" s="160" customFormat="1" x14ac:dyDescent="0.3"/>
    <row r="14185" s="160" customFormat="1" x14ac:dyDescent="0.3"/>
    <row r="14186" s="160" customFormat="1" x14ac:dyDescent="0.3"/>
    <row r="14187" s="160" customFormat="1" x14ac:dyDescent="0.3"/>
    <row r="14188" s="160" customFormat="1" x14ac:dyDescent="0.3"/>
    <row r="14189" s="160" customFormat="1" x14ac:dyDescent="0.3"/>
    <row r="14190" s="160" customFormat="1" x14ac:dyDescent="0.3"/>
    <row r="14191" s="160" customFormat="1" x14ac:dyDescent="0.3"/>
    <row r="14192" s="160" customFormat="1" x14ac:dyDescent="0.3"/>
    <row r="14193" s="160" customFormat="1" x14ac:dyDescent="0.3"/>
    <row r="14194" s="160" customFormat="1" x14ac:dyDescent="0.3"/>
    <row r="14195" s="160" customFormat="1" x14ac:dyDescent="0.3"/>
    <row r="14196" s="160" customFormat="1" x14ac:dyDescent="0.3"/>
    <row r="14197" s="160" customFormat="1" x14ac:dyDescent="0.3"/>
    <row r="14198" s="160" customFormat="1" x14ac:dyDescent="0.3"/>
    <row r="14199" s="160" customFormat="1" x14ac:dyDescent="0.3"/>
    <row r="14200" s="160" customFormat="1" x14ac:dyDescent="0.3"/>
    <row r="14201" s="160" customFormat="1" x14ac:dyDescent="0.3"/>
    <row r="14202" s="160" customFormat="1" x14ac:dyDescent="0.3"/>
    <row r="14203" s="160" customFormat="1" x14ac:dyDescent="0.3"/>
    <row r="14204" s="160" customFormat="1" x14ac:dyDescent="0.3"/>
    <row r="14205" s="160" customFormat="1" x14ac:dyDescent="0.3"/>
    <row r="14206" s="160" customFormat="1" x14ac:dyDescent="0.3"/>
    <row r="14207" s="160" customFormat="1" x14ac:dyDescent="0.3"/>
    <row r="14208" s="160" customFormat="1" x14ac:dyDescent="0.3"/>
    <row r="14209" s="160" customFormat="1" x14ac:dyDescent="0.3"/>
    <row r="14210" s="160" customFormat="1" x14ac:dyDescent="0.3"/>
    <row r="14211" s="160" customFormat="1" x14ac:dyDescent="0.3"/>
    <row r="14212" s="160" customFormat="1" x14ac:dyDescent="0.3"/>
    <row r="14213" s="160" customFormat="1" x14ac:dyDescent="0.3"/>
    <row r="14214" s="160" customFormat="1" x14ac:dyDescent="0.3"/>
    <row r="14215" s="160" customFormat="1" x14ac:dyDescent="0.3"/>
    <row r="14216" s="160" customFormat="1" x14ac:dyDescent="0.3"/>
    <row r="14217" s="160" customFormat="1" x14ac:dyDescent="0.3"/>
    <row r="14218" s="160" customFormat="1" x14ac:dyDescent="0.3"/>
    <row r="14219" s="160" customFormat="1" x14ac:dyDescent="0.3"/>
    <row r="14220" s="160" customFormat="1" x14ac:dyDescent="0.3"/>
    <row r="14221" s="160" customFormat="1" x14ac:dyDescent="0.3"/>
    <row r="14222" s="160" customFormat="1" x14ac:dyDescent="0.3"/>
    <row r="14223" s="160" customFormat="1" x14ac:dyDescent="0.3"/>
    <row r="14224" s="160" customFormat="1" x14ac:dyDescent="0.3"/>
    <row r="14225" s="160" customFormat="1" x14ac:dyDescent="0.3"/>
    <row r="14226" s="160" customFormat="1" x14ac:dyDescent="0.3"/>
    <row r="14227" s="160" customFormat="1" x14ac:dyDescent="0.3"/>
    <row r="14228" s="160" customFormat="1" x14ac:dyDescent="0.3"/>
    <row r="14229" s="160" customFormat="1" x14ac:dyDescent="0.3"/>
    <row r="14230" s="160" customFormat="1" x14ac:dyDescent="0.3"/>
    <row r="14231" s="160" customFormat="1" x14ac:dyDescent="0.3"/>
    <row r="14232" s="160" customFormat="1" x14ac:dyDescent="0.3"/>
    <row r="14233" s="160" customFormat="1" x14ac:dyDescent="0.3"/>
    <row r="14234" s="160" customFormat="1" x14ac:dyDescent="0.3"/>
    <row r="14235" s="160" customFormat="1" x14ac:dyDescent="0.3"/>
    <row r="14236" s="160" customFormat="1" x14ac:dyDescent="0.3"/>
    <row r="14237" s="160" customFormat="1" x14ac:dyDescent="0.3"/>
    <row r="14238" s="160" customFormat="1" x14ac:dyDescent="0.3"/>
    <row r="14239" s="160" customFormat="1" x14ac:dyDescent="0.3"/>
    <row r="14240" s="160" customFormat="1" x14ac:dyDescent="0.3"/>
    <row r="14241" s="160" customFormat="1" x14ac:dyDescent="0.3"/>
    <row r="14242" s="160" customFormat="1" x14ac:dyDescent="0.3"/>
    <row r="14243" s="160" customFormat="1" x14ac:dyDescent="0.3"/>
    <row r="14244" s="160" customFormat="1" x14ac:dyDescent="0.3"/>
    <row r="14245" s="160" customFormat="1" x14ac:dyDescent="0.3"/>
    <row r="14246" s="160" customFormat="1" x14ac:dyDescent="0.3"/>
    <row r="14247" s="160" customFormat="1" x14ac:dyDescent="0.3"/>
    <row r="14248" s="160" customFormat="1" x14ac:dyDescent="0.3"/>
    <row r="14249" s="160" customFormat="1" x14ac:dyDescent="0.3"/>
    <row r="14250" s="160" customFormat="1" x14ac:dyDescent="0.3"/>
    <row r="14251" s="160" customFormat="1" x14ac:dyDescent="0.3"/>
    <row r="14252" s="160" customFormat="1" x14ac:dyDescent="0.3"/>
    <row r="14253" s="160" customFormat="1" x14ac:dyDescent="0.3"/>
    <row r="14254" s="160" customFormat="1" x14ac:dyDescent="0.3"/>
    <row r="14255" s="160" customFormat="1" x14ac:dyDescent="0.3"/>
    <row r="14256" s="160" customFormat="1" x14ac:dyDescent="0.3"/>
    <row r="14257" s="160" customFormat="1" x14ac:dyDescent="0.3"/>
    <row r="14258" s="160" customFormat="1" x14ac:dyDescent="0.3"/>
    <row r="14259" s="160" customFormat="1" x14ac:dyDescent="0.3"/>
    <row r="14260" s="160" customFormat="1" x14ac:dyDescent="0.3"/>
    <row r="14261" s="160" customFormat="1" x14ac:dyDescent="0.3"/>
    <row r="14262" s="160" customFormat="1" x14ac:dyDescent="0.3"/>
    <row r="14263" s="160" customFormat="1" x14ac:dyDescent="0.3"/>
    <row r="14264" s="160" customFormat="1" x14ac:dyDescent="0.3"/>
    <row r="14265" s="160" customFormat="1" x14ac:dyDescent="0.3"/>
    <row r="14266" s="160" customFormat="1" x14ac:dyDescent="0.3"/>
    <row r="14267" s="160" customFormat="1" x14ac:dyDescent="0.3"/>
    <row r="14268" s="160" customFormat="1" x14ac:dyDescent="0.3"/>
    <row r="14269" s="160" customFormat="1" x14ac:dyDescent="0.3"/>
    <row r="14270" s="160" customFormat="1" x14ac:dyDescent="0.3"/>
    <row r="14271" s="160" customFormat="1" x14ac:dyDescent="0.3"/>
    <row r="14272" s="160" customFormat="1" x14ac:dyDescent="0.3"/>
    <row r="14273" s="160" customFormat="1" x14ac:dyDescent="0.3"/>
    <row r="14274" s="160" customFormat="1" x14ac:dyDescent="0.3"/>
    <row r="14275" s="160" customFormat="1" x14ac:dyDescent="0.3"/>
    <row r="14276" s="160" customFormat="1" x14ac:dyDescent="0.3"/>
    <row r="14277" s="160" customFormat="1" x14ac:dyDescent="0.3"/>
    <row r="14278" s="160" customFormat="1" x14ac:dyDescent="0.3"/>
    <row r="14279" s="160" customFormat="1" x14ac:dyDescent="0.3"/>
    <row r="14280" s="160" customFormat="1" x14ac:dyDescent="0.3"/>
    <row r="14281" s="160" customFormat="1" x14ac:dyDescent="0.3"/>
    <row r="14282" s="160" customFormat="1" x14ac:dyDescent="0.3"/>
    <row r="14283" s="160" customFormat="1" x14ac:dyDescent="0.3"/>
    <row r="14284" s="160" customFormat="1" x14ac:dyDescent="0.3"/>
    <row r="14285" s="160" customFormat="1" x14ac:dyDescent="0.3"/>
    <row r="14286" s="160" customFormat="1" x14ac:dyDescent="0.3"/>
    <row r="14287" s="160" customFormat="1" x14ac:dyDescent="0.3"/>
    <row r="14288" s="160" customFormat="1" x14ac:dyDescent="0.3"/>
    <row r="14289" s="160" customFormat="1" x14ac:dyDescent="0.3"/>
    <row r="14290" s="160" customFormat="1" x14ac:dyDescent="0.3"/>
    <row r="14291" s="160" customFormat="1" x14ac:dyDescent="0.3"/>
    <row r="14292" s="160" customFormat="1" x14ac:dyDescent="0.3"/>
    <row r="14293" s="160" customFormat="1" x14ac:dyDescent="0.3"/>
    <row r="14294" s="160" customFormat="1" x14ac:dyDescent="0.3"/>
    <row r="14295" s="160" customFormat="1" x14ac:dyDescent="0.3"/>
    <row r="14296" s="160" customFormat="1" x14ac:dyDescent="0.3"/>
    <row r="14297" s="160" customFormat="1" x14ac:dyDescent="0.3"/>
    <row r="14298" s="160" customFormat="1" x14ac:dyDescent="0.3"/>
    <row r="14299" s="160" customFormat="1" x14ac:dyDescent="0.3"/>
    <row r="14300" s="160" customFormat="1" x14ac:dyDescent="0.3"/>
    <row r="14301" s="160" customFormat="1" x14ac:dyDescent="0.3"/>
    <row r="14302" s="160" customFormat="1" x14ac:dyDescent="0.3"/>
    <row r="14303" s="160" customFormat="1" x14ac:dyDescent="0.3"/>
    <row r="14304" s="160" customFormat="1" x14ac:dyDescent="0.3"/>
    <row r="14305" s="160" customFormat="1" x14ac:dyDescent="0.3"/>
    <row r="14306" s="160" customFormat="1" x14ac:dyDescent="0.3"/>
    <row r="14307" s="160" customFormat="1" x14ac:dyDescent="0.3"/>
    <row r="14308" s="160" customFormat="1" x14ac:dyDescent="0.3"/>
    <row r="14309" s="160" customFormat="1" x14ac:dyDescent="0.3"/>
    <row r="14310" s="160" customFormat="1" x14ac:dyDescent="0.3"/>
    <row r="14311" s="160" customFormat="1" x14ac:dyDescent="0.3"/>
    <row r="14312" s="160" customFormat="1" x14ac:dyDescent="0.3"/>
    <row r="14313" s="160" customFormat="1" x14ac:dyDescent="0.3"/>
    <row r="14314" s="160" customFormat="1" x14ac:dyDescent="0.3"/>
    <row r="14315" s="160" customFormat="1" x14ac:dyDescent="0.3"/>
    <row r="14316" s="160" customFormat="1" x14ac:dyDescent="0.3"/>
    <row r="14317" s="160" customFormat="1" x14ac:dyDescent="0.3"/>
    <row r="14318" s="160" customFormat="1" x14ac:dyDescent="0.3"/>
    <row r="14319" s="160" customFormat="1" x14ac:dyDescent="0.3"/>
    <row r="14320" s="160" customFormat="1" x14ac:dyDescent="0.3"/>
    <row r="14321" s="160" customFormat="1" x14ac:dyDescent="0.3"/>
    <row r="14322" s="160" customFormat="1" x14ac:dyDescent="0.3"/>
    <row r="14323" s="160" customFormat="1" x14ac:dyDescent="0.3"/>
    <row r="14324" s="160" customFormat="1" x14ac:dyDescent="0.3"/>
    <row r="14325" s="160" customFormat="1" x14ac:dyDescent="0.3"/>
    <row r="14326" s="160" customFormat="1" x14ac:dyDescent="0.3"/>
    <row r="14327" s="160" customFormat="1" x14ac:dyDescent="0.3"/>
    <row r="14328" s="160" customFormat="1" x14ac:dyDescent="0.3"/>
    <row r="14329" s="160" customFormat="1" x14ac:dyDescent="0.3"/>
    <row r="14330" s="160" customFormat="1" x14ac:dyDescent="0.3"/>
    <row r="14331" s="160" customFormat="1" x14ac:dyDescent="0.3"/>
    <row r="14332" s="160" customFormat="1" x14ac:dyDescent="0.3"/>
    <row r="14333" s="160" customFormat="1" x14ac:dyDescent="0.3"/>
    <row r="14334" s="160" customFormat="1" x14ac:dyDescent="0.3"/>
    <row r="14335" s="160" customFormat="1" x14ac:dyDescent="0.3"/>
    <row r="14336" s="160" customFormat="1" x14ac:dyDescent="0.3"/>
    <row r="14337" s="160" customFormat="1" x14ac:dyDescent="0.3"/>
    <row r="14338" s="160" customFormat="1" x14ac:dyDescent="0.3"/>
    <row r="14339" s="160" customFormat="1" x14ac:dyDescent="0.3"/>
    <row r="14340" s="160" customFormat="1" x14ac:dyDescent="0.3"/>
    <row r="14341" s="160" customFormat="1" x14ac:dyDescent="0.3"/>
    <row r="14342" s="160" customFormat="1" x14ac:dyDescent="0.3"/>
    <row r="14343" s="160" customFormat="1" x14ac:dyDescent="0.3"/>
    <row r="14344" s="160" customFormat="1" x14ac:dyDescent="0.3"/>
    <row r="14345" s="160" customFormat="1" x14ac:dyDescent="0.3"/>
    <row r="14346" s="160" customFormat="1" x14ac:dyDescent="0.3"/>
    <row r="14347" s="160" customFormat="1" x14ac:dyDescent="0.3"/>
    <row r="14348" s="160" customFormat="1" x14ac:dyDescent="0.3"/>
    <row r="14349" s="160" customFormat="1" x14ac:dyDescent="0.3"/>
    <row r="14350" s="160" customFormat="1" x14ac:dyDescent="0.3"/>
    <row r="14351" s="160" customFormat="1" x14ac:dyDescent="0.3"/>
    <row r="14352" s="160" customFormat="1" x14ac:dyDescent="0.3"/>
    <row r="14353" s="160" customFormat="1" x14ac:dyDescent="0.3"/>
    <row r="14354" s="160" customFormat="1" x14ac:dyDescent="0.3"/>
    <row r="14355" s="160" customFormat="1" x14ac:dyDescent="0.3"/>
    <row r="14356" s="160" customFormat="1" x14ac:dyDescent="0.3"/>
    <row r="14357" s="160" customFormat="1" x14ac:dyDescent="0.3"/>
    <row r="14358" s="160" customFormat="1" x14ac:dyDescent="0.3"/>
    <row r="14359" s="160" customFormat="1" x14ac:dyDescent="0.3"/>
    <row r="14360" s="160" customFormat="1" x14ac:dyDescent="0.3"/>
    <row r="14361" s="160" customFormat="1" x14ac:dyDescent="0.3"/>
    <row r="14362" s="160" customFormat="1" x14ac:dyDescent="0.3"/>
    <row r="14363" s="160" customFormat="1" x14ac:dyDescent="0.3"/>
    <row r="14364" s="160" customFormat="1" x14ac:dyDescent="0.3"/>
    <row r="14365" s="160" customFormat="1" x14ac:dyDescent="0.3"/>
    <row r="14366" s="160" customFormat="1" x14ac:dyDescent="0.3"/>
    <row r="14367" s="160" customFormat="1" x14ac:dyDescent="0.3"/>
    <row r="14368" s="160" customFormat="1" x14ac:dyDescent="0.3"/>
    <row r="14369" s="160" customFormat="1" x14ac:dyDescent="0.3"/>
    <row r="14370" s="160" customFormat="1" x14ac:dyDescent="0.3"/>
    <row r="14371" s="160" customFormat="1" x14ac:dyDescent="0.3"/>
    <row r="14372" s="160" customFormat="1" x14ac:dyDescent="0.3"/>
    <row r="14373" s="160" customFormat="1" x14ac:dyDescent="0.3"/>
    <row r="14374" s="160" customFormat="1" x14ac:dyDescent="0.3"/>
    <row r="14375" s="160" customFormat="1" x14ac:dyDescent="0.3"/>
    <row r="14376" s="160" customFormat="1" x14ac:dyDescent="0.3"/>
    <row r="14377" s="160" customFormat="1" x14ac:dyDescent="0.3"/>
    <row r="14378" s="160" customFormat="1" x14ac:dyDescent="0.3"/>
    <row r="14379" s="160" customFormat="1" x14ac:dyDescent="0.3"/>
    <row r="14380" s="160" customFormat="1" x14ac:dyDescent="0.3"/>
    <row r="14381" s="160" customFormat="1" x14ac:dyDescent="0.3"/>
    <row r="14382" s="160" customFormat="1" x14ac:dyDescent="0.3"/>
    <row r="14383" s="160" customFormat="1" x14ac:dyDescent="0.3"/>
    <row r="14384" s="160" customFormat="1" x14ac:dyDescent="0.3"/>
    <row r="14385" s="160" customFormat="1" x14ac:dyDescent="0.3"/>
    <row r="14386" s="160" customFormat="1" x14ac:dyDescent="0.3"/>
    <row r="14387" s="160" customFormat="1" x14ac:dyDescent="0.3"/>
    <row r="14388" s="160" customFormat="1" x14ac:dyDescent="0.3"/>
    <row r="14389" s="160" customFormat="1" x14ac:dyDescent="0.3"/>
    <row r="14390" s="160" customFormat="1" x14ac:dyDescent="0.3"/>
    <row r="14391" s="160" customFormat="1" x14ac:dyDescent="0.3"/>
    <row r="14392" s="160" customFormat="1" x14ac:dyDescent="0.3"/>
    <row r="14393" s="160" customFormat="1" x14ac:dyDescent="0.3"/>
    <row r="14394" s="160" customFormat="1" x14ac:dyDescent="0.3"/>
    <row r="14395" s="160" customFormat="1" x14ac:dyDescent="0.3"/>
    <row r="14396" s="160" customFormat="1" x14ac:dyDescent="0.3"/>
    <row r="14397" s="160" customFormat="1" x14ac:dyDescent="0.3"/>
    <row r="14398" s="160" customFormat="1" x14ac:dyDescent="0.3"/>
    <row r="14399" s="160" customFormat="1" x14ac:dyDescent="0.3"/>
    <row r="14400" s="160" customFormat="1" x14ac:dyDescent="0.3"/>
    <row r="14401" s="160" customFormat="1" x14ac:dyDescent="0.3"/>
    <row r="14402" s="160" customFormat="1" x14ac:dyDescent="0.3"/>
    <row r="14403" s="160" customFormat="1" x14ac:dyDescent="0.3"/>
    <row r="14404" s="160" customFormat="1" x14ac:dyDescent="0.3"/>
    <row r="14405" s="160" customFormat="1" x14ac:dyDescent="0.3"/>
    <row r="14406" s="160" customFormat="1" x14ac:dyDescent="0.3"/>
    <row r="14407" s="160" customFormat="1" x14ac:dyDescent="0.3"/>
    <row r="14408" s="160" customFormat="1" x14ac:dyDescent="0.3"/>
    <row r="14409" s="160" customFormat="1" x14ac:dyDescent="0.3"/>
    <row r="14410" s="160" customFormat="1" x14ac:dyDescent="0.3"/>
    <row r="14411" s="160" customFormat="1" x14ac:dyDescent="0.3"/>
    <row r="14412" s="160" customFormat="1" x14ac:dyDescent="0.3"/>
    <row r="14413" s="160" customFormat="1" x14ac:dyDescent="0.3"/>
    <row r="14414" s="160" customFormat="1" x14ac:dyDescent="0.3"/>
    <row r="14415" s="160" customFormat="1" x14ac:dyDescent="0.3"/>
    <row r="14416" s="160" customFormat="1" x14ac:dyDescent="0.3"/>
    <row r="14417" s="160" customFormat="1" x14ac:dyDescent="0.3"/>
    <row r="14418" s="160" customFormat="1" x14ac:dyDescent="0.3"/>
    <row r="14419" s="160" customFormat="1" x14ac:dyDescent="0.3"/>
    <row r="14420" s="160" customFormat="1" x14ac:dyDescent="0.3"/>
    <row r="14421" s="160" customFormat="1" x14ac:dyDescent="0.3"/>
    <row r="14422" s="160" customFormat="1" x14ac:dyDescent="0.3"/>
    <row r="14423" s="160" customFormat="1" x14ac:dyDescent="0.3"/>
    <row r="14424" s="160" customFormat="1" x14ac:dyDescent="0.3"/>
    <row r="14425" s="160" customFormat="1" x14ac:dyDescent="0.3"/>
    <row r="14426" s="160" customFormat="1" x14ac:dyDescent="0.3"/>
    <row r="14427" s="160" customFormat="1" x14ac:dyDescent="0.3"/>
    <row r="14428" s="160" customFormat="1" x14ac:dyDescent="0.3"/>
    <row r="14429" s="160" customFormat="1" x14ac:dyDescent="0.3"/>
    <row r="14430" s="160" customFormat="1" x14ac:dyDescent="0.3"/>
    <row r="14431" s="160" customFormat="1" x14ac:dyDescent="0.3"/>
    <row r="14432" s="160" customFormat="1" x14ac:dyDescent="0.3"/>
    <row r="14433" s="160" customFormat="1" x14ac:dyDescent="0.3"/>
    <row r="14434" s="160" customFormat="1" x14ac:dyDescent="0.3"/>
    <row r="14435" s="160" customFormat="1" x14ac:dyDescent="0.3"/>
    <row r="14436" s="160" customFormat="1" x14ac:dyDescent="0.3"/>
    <row r="14437" s="160" customFormat="1" x14ac:dyDescent="0.3"/>
    <row r="14438" s="160" customFormat="1" x14ac:dyDescent="0.3"/>
    <row r="14439" s="160" customFormat="1" x14ac:dyDescent="0.3"/>
    <row r="14440" s="160" customFormat="1" x14ac:dyDescent="0.3"/>
    <row r="14441" s="160" customFormat="1" x14ac:dyDescent="0.3"/>
    <row r="14442" s="160" customFormat="1" x14ac:dyDescent="0.3"/>
    <row r="14443" s="160" customFormat="1" x14ac:dyDescent="0.3"/>
    <row r="14444" s="160" customFormat="1" x14ac:dyDescent="0.3"/>
    <row r="14445" s="160" customFormat="1" x14ac:dyDescent="0.3"/>
    <row r="14446" s="160" customFormat="1" x14ac:dyDescent="0.3"/>
    <row r="14447" s="160" customFormat="1" x14ac:dyDescent="0.3"/>
    <row r="14448" s="160" customFormat="1" x14ac:dyDescent="0.3"/>
    <row r="14449" s="160" customFormat="1" x14ac:dyDescent="0.3"/>
    <row r="14450" s="160" customFormat="1" x14ac:dyDescent="0.3"/>
    <row r="14451" s="160" customFormat="1" x14ac:dyDescent="0.3"/>
    <row r="14452" s="160" customFormat="1" x14ac:dyDescent="0.3"/>
    <row r="14453" s="160" customFormat="1" x14ac:dyDescent="0.3"/>
    <row r="14454" s="160" customFormat="1" x14ac:dyDescent="0.3"/>
    <row r="14455" s="160" customFormat="1" x14ac:dyDescent="0.3"/>
    <row r="14456" s="160" customFormat="1" x14ac:dyDescent="0.3"/>
    <row r="14457" s="160" customFormat="1" x14ac:dyDescent="0.3"/>
    <row r="14458" s="160" customFormat="1" x14ac:dyDescent="0.3"/>
    <row r="14459" s="160" customFormat="1" x14ac:dyDescent="0.3"/>
    <row r="14460" s="160" customFormat="1" x14ac:dyDescent="0.3"/>
    <row r="14461" s="160" customFormat="1" x14ac:dyDescent="0.3"/>
    <row r="14462" s="160" customFormat="1" x14ac:dyDescent="0.3"/>
    <row r="14463" s="160" customFormat="1" x14ac:dyDescent="0.3"/>
    <row r="14464" s="160" customFormat="1" x14ac:dyDescent="0.3"/>
    <row r="14465" s="160" customFormat="1" x14ac:dyDescent="0.3"/>
    <row r="14466" s="160" customFormat="1" x14ac:dyDescent="0.3"/>
    <row r="14467" s="160" customFormat="1" x14ac:dyDescent="0.3"/>
    <row r="14468" s="160" customFormat="1" x14ac:dyDescent="0.3"/>
    <row r="14469" s="160" customFormat="1" x14ac:dyDescent="0.3"/>
    <row r="14470" s="160" customFormat="1" x14ac:dyDescent="0.3"/>
    <row r="14471" s="160" customFormat="1" x14ac:dyDescent="0.3"/>
    <row r="14472" s="160" customFormat="1" x14ac:dyDescent="0.3"/>
    <row r="14473" s="160" customFormat="1" x14ac:dyDescent="0.3"/>
    <row r="14474" s="160" customFormat="1" x14ac:dyDescent="0.3"/>
    <row r="14475" s="160" customFormat="1" x14ac:dyDescent="0.3"/>
    <row r="14476" s="160" customFormat="1" x14ac:dyDescent="0.3"/>
    <row r="14477" s="160" customFormat="1" x14ac:dyDescent="0.3"/>
    <row r="14478" s="160" customFormat="1" x14ac:dyDescent="0.3"/>
    <row r="14479" s="160" customFormat="1" x14ac:dyDescent="0.3"/>
    <row r="14480" s="160" customFormat="1" x14ac:dyDescent="0.3"/>
    <row r="14481" s="160" customFormat="1" x14ac:dyDescent="0.3"/>
    <row r="14482" s="160" customFormat="1" x14ac:dyDescent="0.3"/>
    <row r="14483" s="160" customFormat="1" x14ac:dyDescent="0.3"/>
    <row r="14484" s="160" customFormat="1" x14ac:dyDescent="0.3"/>
    <row r="14485" s="160" customFormat="1" x14ac:dyDescent="0.3"/>
    <row r="14486" s="160" customFormat="1" x14ac:dyDescent="0.3"/>
    <row r="14487" s="160" customFormat="1" x14ac:dyDescent="0.3"/>
    <row r="14488" s="160" customFormat="1" x14ac:dyDescent="0.3"/>
    <row r="14489" s="160" customFormat="1" x14ac:dyDescent="0.3"/>
    <row r="14490" s="160" customFormat="1" x14ac:dyDescent="0.3"/>
    <row r="14491" s="160" customFormat="1" x14ac:dyDescent="0.3"/>
    <row r="14492" s="160" customFormat="1" x14ac:dyDescent="0.3"/>
    <row r="14493" s="160" customFormat="1" x14ac:dyDescent="0.3"/>
    <row r="14494" s="160" customFormat="1" x14ac:dyDescent="0.3"/>
    <row r="14495" s="160" customFormat="1" x14ac:dyDescent="0.3"/>
    <row r="14496" s="160" customFormat="1" x14ac:dyDescent="0.3"/>
    <row r="14497" s="160" customFormat="1" x14ac:dyDescent="0.3"/>
    <row r="14498" s="160" customFormat="1" x14ac:dyDescent="0.3"/>
    <row r="14499" s="160" customFormat="1" x14ac:dyDescent="0.3"/>
    <row r="14500" s="160" customFormat="1" x14ac:dyDescent="0.3"/>
    <row r="14501" s="160" customFormat="1" x14ac:dyDescent="0.3"/>
    <row r="14502" s="160" customFormat="1" x14ac:dyDescent="0.3"/>
    <row r="14503" s="160" customFormat="1" x14ac:dyDescent="0.3"/>
    <row r="14504" s="160" customFormat="1" x14ac:dyDescent="0.3"/>
    <row r="14505" s="160" customFormat="1" x14ac:dyDescent="0.3"/>
    <row r="14506" s="160" customFormat="1" x14ac:dyDescent="0.3"/>
    <row r="14507" s="160" customFormat="1" x14ac:dyDescent="0.3"/>
    <row r="14508" s="160" customFormat="1" x14ac:dyDescent="0.3"/>
    <row r="14509" s="160" customFormat="1" x14ac:dyDescent="0.3"/>
    <row r="14510" s="160" customFormat="1" x14ac:dyDescent="0.3"/>
    <row r="14511" s="160" customFormat="1" x14ac:dyDescent="0.3"/>
    <row r="14512" s="160" customFormat="1" x14ac:dyDescent="0.3"/>
    <row r="14513" s="160" customFormat="1" x14ac:dyDescent="0.3"/>
    <row r="14514" s="160" customFormat="1" x14ac:dyDescent="0.3"/>
    <row r="14515" s="160" customFormat="1" x14ac:dyDescent="0.3"/>
    <row r="14516" s="160" customFormat="1" x14ac:dyDescent="0.3"/>
    <row r="14517" s="160" customFormat="1" x14ac:dyDescent="0.3"/>
    <row r="14518" s="160" customFormat="1" x14ac:dyDescent="0.3"/>
    <row r="14519" s="160" customFormat="1" x14ac:dyDescent="0.3"/>
    <row r="14520" s="160" customFormat="1" x14ac:dyDescent="0.3"/>
    <row r="14521" s="160" customFormat="1" x14ac:dyDescent="0.3"/>
    <row r="14522" s="160" customFormat="1" x14ac:dyDescent="0.3"/>
    <row r="14523" s="160" customFormat="1" x14ac:dyDescent="0.3"/>
    <row r="14524" s="160" customFormat="1" x14ac:dyDescent="0.3"/>
    <row r="14525" s="160" customFormat="1" x14ac:dyDescent="0.3"/>
    <row r="14526" s="160" customFormat="1" x14ac:dyDescent="0.3"/>
    <row r="14527" s="160" customFormat="1" x14ac:dyDescent="0.3"/>
    <row r="14528" s="160" customFormat="1" x14ac:dyDescent="0.3"/>
    <row r="14529" s="160" customFormat="1" x14ac:dyDescent="0.3"/>
    <row r="14530" s="160" customFormat="1" x14ac:dyDescent="0.3"/>
    <row r="14531" s="160" customFormat="1" x14ac:dyDescent="0.3"/>
    <row r="14532" s="160" customFormat="1" x14ac:dyDescent="0.3"/>
    <row r="14533" s="160" customFormat="1" x14ac:dyDescent="0.3"/>
    <row r="14534" s="160" customFormat="1" x14ac:dyDescent="0.3"/>
    <row r="14535" s="160" customFormat="1" x14ac:dyDescent="0.3"/>
    <row r="14536" s="160" customFormat="1" x14ac:dyDescent="0.3"/>
    <row r="14537" s="160" customFormat="1" x14ac:dyDescent="0.3"/>
    <row r="14538" s="160" customFormat="1" x14ac:dyDescent="0.3"/>
    <row r="14539" s="160" customFormat="1" x14ac:dyDescent="0.3"/>
    <row r="14540" s="160" customFormat="1" x14ac:dyDescent="0.3"/>
    <row r="14541" s="160" customFormat="1" x14ac:dyDescent="0.3"/>
    <row r="14542" s="160" customFormat="1" x14ac:dyDescent="0.3"/>
    <row r="14543" s="160" customFormat="1" x14ac:dyDescent="0.3"/>
    <row r="14544" s="160" customFormat="1" x14ac:dyDescent="0.3"/>
    <row r="14545" s="160" customFormat="1" x14ac:dyDescent="0.3"/>
    <row r="14546" s="160" customFormat="1" x14ac:dyDescent="0.3"/>
    <row r="14547" s="160" customFormat="1" x14ac:dyDescent="0.3"/>
    <row r="14548" s="160" customFormat="1" x14ac:dyDescent="0.3"/>
    <row r="14549" s="160" customFormat="1" x14ac:dyDescent="0.3"/>
    <row r="14550" s="160" customFormat="1" x14ac:dyDescent="0.3"/>
    <row r="14551" s="160" customFormat="1" x14ac:dyDescent="0.3"/>
    <row r="14552" s="160" customFormat="1" x14ac:dyDescent="0.3"/>
    <row r="14553" s="160" customFormat="1" x14ac:dyDescent="0.3"/>
    <row r="14554" s="160" customFormat="1" x14ac:dyDescent="0.3"/>
    <row r="14555" s="160" customFormat="1" x14ac:dyDescent="0.3"/>
    <row r="14556" s="160" customFormat="1" x14ac:dyDescent="0.3"/>
    <row r="14557" s="160" customFormat="1" x14ac:dyDescent="0.3"/>
    <row r="14558" s="160" customFormat="1" x14ac:dyDescent="0.3"/>
    <row r="14559" s="160" customFormat="1" x14ac:dyDescent="0.3"/>
    <row r="14560" s="160" customFormat="1" x14ac:dyDescent="0.3"/>
    <row r="14561" s="160" customFormat="1" x14ac:dyDescent="0.3"/>
    <row r="14562" s="160" customFormat="1" x14ac:dyDescent="0.3"/>
    <row r="14563" s="160" customFormat="1" x14ac:dyDescent="0.3"/>
    <row r="14564" s="160" customFormat="1" x14ac:dyDescent="0.3"/>
    <row r="14565" s="160" customFormat="1" x14ac:dyDescent="0.3"/>
    <row r="14566" s="160" customFormat="1" x14ac:dyDescent="0.3"/>
    <row r="14567" s="160" customFormat="1" x14ac:dyDescent="0.3"/>
    <row r="14568" s="160" customFormat="1" x14ac:dyDescent="0.3"/>
    <row r="14569" s="160" customFormat="1" x14ac:dyDescent="0.3"/>
    <row r="14570" s="160" customFormat="1" x14ac:dyDescent="0.3"/>
    <row r="14571" s="160" customFormat="1" x14ac:dyDescent="0.3"/>
    <row r="14572" s="160" customFormat="1" x14ac:dyDescent="0.3"/>
    <row r="14573" s="160" customFormat="1" x14ac:dyDescent="0.3"/>
    <row r="14574" s="160" customFormat="1" x14ac:dyDescent="0.3"/>
    <row r="14575" s="160" customFormat="1" x14ac:dyDescent="0.3"/>
    <row r="14576" s="160" customFormat="1" x14ac:dyDescent="0.3"/>
    <row r="14577" s="160" customFormat="1" x14ac:dyDescent="0.3"/>
    <row r="14578" s="160" customFormat="1" x14ac:dyDescent="0.3"/>
    <row r="14579" s="160" customFormat="1" x14ac:dyDescent="0.3"/>
    <row r="14580" s="160" customFormat="1" x14ac:dyDescent="0.3"/>
    <row r="14581" s="160" customFormat="1" x14ac:dyDescent="0.3"/>
    <row r="14582" s="160" customFormat="1" x14ac:dyDescent="0.3"/>
    <row r="14583" s="160" customFormat="1" x14ac:dyDescent="0.3"/>
    <row r="14584" s="160" customFormat="1" x14ac:dyDescent="0.3"/>
    <row r="14585" s="160" customFormat="1" x14ac:dyDescent="0.3"/>
    <row r="14586" s="160" customFormat="1" x14ac:dyDescent="0.3"/>
    <row r="14587" s="160" customFormat="1" x14ac:dyDescent="0.3"/>
    <row r="14588" s="160" customFormat="1" x14ac:dyDescent="0.3"/>
    <row r="14589" s="160" customFormat="1" x14ac:dyDescent="0.3"/>
    <row r="14590" s="160" customFormat="1" x14ac:dyDescent="0.3"/>
    <row r="14591" s="160" customFormat="1" x14ac:dyDescent="0.3"/>
    <row r="14592" s="160" customFormat="1" x14ac:dyDescent="0.3"/>
    <row r="14593" s="160" customFormat="1" x14ac:dyDescent="0.3"/>
    <row r="14594" s="160" customFormat="1" x14ac:dyDescent="0.3"/>
    <row r="14595" s="160" customFormat="1" x14ac:dyDescent="0.3"/>
    <row r="14596" s="160" customFormat="1" x14ac:dyDescent="0.3"/>
    <row r="14597" s="160" customFormat="1" x14ac:dyDescent="0.3"/>
    <row r="14598" s="160" customFormat="1" x14ac:dyDescent="0.3"/>
    <row r="14599" s="160" customFormat="1" x14ac:dyDescent="0.3"/>
    <row r="14600" s="160" customFormat="1" x14ac:dyDescent="0.3"/>
    <row r="14601" s="160" customFormat="1" x14ac:dyDescent="0.3"/>
    <row r="14602" s="160" customFormat="1" x14ac:dyDescent="0.3"/>
    <row r="14603" s="160" customFormat="1" x14ac:dyDescent="0.3"/>
    <row r="14604" s="160" customFormat="1" x14ac:dyDescent="0.3"/>
    <row r="14605" s="160" customFormat="1" x14ac:dyDescent="0.3"/>
    <row r="14606" s="160" customFormat="1" x14ac:dyDescent="0.3"/>
    <row r="14607" s="160" customFormat="1" x14ac:dyDescent="0.3"/>
    <row r="14608" s="160" customFormat="1" x14ac:dyDescent="0.3"/>
    <row r="14609" s="160" customFormat="1" x14ac:dyDescent="0.3"/>
    <row r="14610" s="160" customFormat="1" x14ac:dyDescent="0.3"/>
    <row r="14611" s="160" customFormat="1" x14ac:dyDescent="0.3"/>
    <row r="14612" s="160" customFormat="1" x14ac:dyDescent="0.3"/>
    <row r="14613" s="160" customFormat="1" x14ac:dyDescent="0.3"/>
    <row r="14614" s="160" customFormat="1" x14ac:dyDescent="0.3"/>
    <row r="14615" s="160" customFormat="1" x14ac:dyDescent="0.3"/>
    <row r="14616" s="160" customFormat="1" x14ac:dyDescent="0.3"/>
    <row r="14617" s="160" customFormat="1" x14ac:dyDescent="0.3"/>
    <row r="14618" s="160" customFormat="1" x14ac:dyDescent="0.3"/>
    <row r="14619" s="160" customFormat="1" x14ac:dyDescent="0.3"/>
    <row r="14620" s="160" customFormat="1" x14ac:dyDescent="0.3"/>
    <row r="14621" s="160" customFormat="1" x14ac:dyDescent="0.3"/>
    <row r="14622" s="160" customFormat="1" x14ac:dyDescent="0.3"/>
    <row r="14623" s="160" customFormat="1" x14ac:dyDescent="0.3"/>
    <row r="14624" s="160" customFormat="1" x14ac:dyDescent="0.3"/>
    <row r="14625" s="160" customFormat="1" x14ac:dyDescent="0.3"/>
    <row r="14626" s="160" customFormat="1" x14ac:dyDescent="0.3"/>
    <row r="14627" s="160" customFormat="1" x14ac:dyDescent="0.3"/>
    <row r="14628" s="160" customFormat="1" x14ac:dyDescent="0.3"/>
    <row r="14629" s="160" customFormat="1" x14ac:dyDescent="0.3"/>
    <row r="14630" s="160" customFormat="1" x14ac:dyDescent="0.3"/>
    <row r="14631" s="160" customFormat="1" x14ac:dyDescent="0.3"/>
    <row r="14632" s="160" customFormat="1" x14ac:dyDescent="0.3"/>
    <row r="14633" s="160" customFormat="1" x14ac:dyDescent="0.3"/>
    <row r="14634" s="160" customFormat="1" x14ac:dyDescent="0.3"/>
    <row r="14635" s="160" customFormat="1" x14ac:dyDescent="0.3"/>
    <row r="14636" s="160" customFormat="1" x14ac:dyDescent="0.3"/>
    <row r="14637" s="160" customFormat="1" x14ac:dyDescent="0.3"/>
    <row r="14638" s="160" customFormat="1" x14ac:dyDescent="0.3"/>
    <row r="14639" s="160" customFormat="1" x14ac:dyDescent="0.3"/>
    <row r="14640" s="160" customFormat="1" x14ac:dyDescent="0.3"/>
    <row r="14641" s="160" customFormat="1" x14ac:dyDescent="0.3"/>
    <row r="14642" s="160" customFormat="1" x14ac:dyDescent="0.3"/>
    <row r="14643" s="160" customFormat="1" x14ac:dyDescent="0.3"/>
    <row r="14644" s="160" customFormat="1" x14ac:dyDescent="0.3"/>
    <row r="14645" s="160" customFormat="1" x14ac:dyDescent="0.3"/>
    <row r="14646" s="160" customFormat="1" x14ac:dyDescent="0.3"/>
    <row r="14647" s="160" customFormat="1" x14ac:dyDescent="0.3"/>
    <row r="14648" s="160" customFormat="1" x14ac:dyDescent="0.3"/>
    <row r="14649" s="160" customFormat="1" x14ac:dyDescent="0.3"/>
    <row r="14650" s="160" customFormat="1" x14ac:dyDescent="0.3"/>
    <row r="14651" s="160" customFormat="1" x14ac:dyDescent="0.3"/>
    <row r="14652" s="160" customFormat="1" x14ac:dyDescent="0.3"/>
    <row r="14653" s="160" customFormat="1" x14ac:dyDescent="0.3"/>
    <row r="14654" s="160" customFormat="1" x14ac:dyDescent="0.3"/>
    <row r="14655" s="160" customFormat="1" x14ac:dyDescent="0.3"/>
    <row r="14656" s="160" customFormat="1" x14ac:dyDescent="0.3"/>
    <row r="14657" s="160" customFormat="1" x14ac:dyDescent="0.3"/>
    <row r="14658" s="160" customFormat="1" x14ac:dyDescent="0.3"/>
    <row r="14659" s="160" customFormat="1" x14ac:dyDescent="0.3"/>
    <row r="14660" s="160" customFormat="1" x14ac:dyDescent="0.3"/>
    <row r="14661" s="160" customFormat="1" x14ac:dyDescent="0.3"/>
    <row r="14662" s="160" customFormat="1" x14ac:dyDescent="0.3"/>
    <row r="14663" s="160" customFormat="1" x14ac:dyDescent="0.3"/>
    <row r="14664" s="160" customFormat="1" x14ac:dyDescent="0.3"/>
    <row r="14665" s="160" customFormat="1" x14ac:dyDescent="0.3"/>
    <row r="14666" s="160" customFormat="1" x14ac:dyDescent="0.3"/>
    <row r="14667" s="160" customFormat="1" x14ac:dyDescent="0.3"/>
    <row r="14668" s="160" customFormat="1" x14ac:dyDescent="0.3"/>
    <row r="14669" s="160" customFormat="1" x14ac:dyDescent="0.3"/>
    <row r="14670" s="160" customFormat="1" x14ac:dyDescent="0.3"/>
    <row r="14671" s="160" customFormat="1" x14ac:dyDescent="0.3"/>
    <row r="14672" s="160" customFormat="1" x14ac:dyDescent="0.3"/>
    <row r="14673" s="160" customFormat="1" x14ac:dyDescent="0.3"/>
    <row r="14674" s="160" customFormat="1" x14ac:dyDescent="0.3"/>
    <row r="14675" s="160" customFormat="1" x14ac:dyDescent="0.3"/>
    <row r="14676" s="160" customFormat="1" x14ac:dyDescent="0.3"/>
    <row r="14677" s="160" customFormat="1" x14ac:dyDescent="0.3"/>
    <row r="14678" s="160" customFormat="1" x14ac:dyDescent="0.3"/>
    <row r="14679" s="160" customFormat="1" x14ac:dyDescent="0.3"/>
    <row r="14680" s="160" customFormat="1" x14ac:dyDescent="0.3"/>
    <row r="14681" s="160" customFormat="1" x14ac:dyDescent="0.3"/>
    <row r="14682" s="160" customFormat="1" x14ac:dyDescent="0.3"/>
    <row r="14683" s="160" customFormat="1" x14ac:dyDescent="0.3"/>
    <row r="14684" s="160" customFormat="1" x14ac:dyDescent="0.3"/>
    <row r="14685" s="160" customFormat="1" x14ac:dyDescent="0.3"/>
    <row r="14686" s="160" customFormat="1" x14ac:dyDescent="0.3"/>
    <row r="14687" s="160" customFormat="1" x14ac:dyDescent="0.3"/>
    <row r="14688" s="160" customFormat="1" x14ac:dyDescent="0.3"/>
    <row r="14689" s="160" customFormat="1" x14ac:dyDescent="0.3"/>
    <row r="14690" s="160" customFormat="1" x14ac:dyDescent="0.3"/>
    <row r="14691" s="160" customFormat="1" x14ac:dyDescent="0.3"/>
    <row r="14692" s="160" customFormat="1" x14ac:dyDescent="0.3"/>
    <row r="14693" s="160" customFormat="1" x14ac:dyDescent="0.3"/>
    <row r="14694" s="160" customFormat="1" x14ac:dyDescent="0.3"/>
    <row r="14695" s="160" customFormat="1" x14ac:dyDescent="0.3"/>
    <row r="14696" s="160" customFormat="1" x14ac:dyDescent="0.3"/>
    <row r="14697" s="160" customFormat="1" x14ac:dyDescent="0.3"/>
    <row r="14698" s="160" customFormat="1" x14ac:dyDescent="0.3"/>
    <row r="14699" s="160" customFormat="1" x14ac:dyDescent="0.3"/>
    <row r="14700" s="160" customFormat="1" x14ac:dyDescent="0.3"/>
    <row r="14701" s="160" customFormat="1" x14ac:dyDescent="0.3"/>
    <row r="14702" s="160" customFormat="1" x14ac:dyDescent="0.3"/>
    <row r="14703" s="160" customFormat="1" x14ac:dyDescent="0.3"/>
    <row r="14704" s="160" customFormat="1" x14ac:dyDescent="0.3"/>
    <row r="14705" s="160" customFormat="1" x14ac:dyDescent="0.3"/>
    <row r="14706" s="160" customFormat="1" x14ac:dyDescent="0.3"/>
    <row r="14707" s="160" customFormat="1" x14ac:dyDescent="0.3"/>
    <row r="14708" s="160" customFormat="1" x14ac:dyDescent="0.3"/>
    <row r="14709" s="160" customFormat="1" x14ac:dyDescent="0.3"/>
    <row r="14710" s="160" customFormat="1" x14ac:dyDescent="0.3"/>
    <row r="14711" s="160" customFormat="1" x14ac:dyDescent="0.3"/>
    <row r="14712" s="160" customFormat="1" x14ac:dyDescent="0.3"/>
    <row r="14713" s="160" customFormat="1" x14ac:dyDescent="0.3"/>
    <row r="14714" s="160" customFormat="1" x14ac:dyDescent="0.3"/>
    <row r="14715" s="160" customFormat="1" x14ac:dyDescent="0.3"/>
    <row r="14716" s="160" customFormat="1" x14ac:dyDescent="0.3"/>
    <row r="14717" s="160" customFormat="1" x14ac:dyDescent="0.3"/>
    <row r="14718" s="160" customFormat="1" x14ac:dyDescent="0.3"/>
    <row r="14719" s="160" customFormat="1" x14ac:dyDescent="0.3"/>
    <row r="14720" s="160" customFormat="1" x14ac:dyDescent="0.3"/>
    <row r="14721" s="160" customFormat="1" x14ac:dyDescent="0.3"/>
    <row r="14722" s="160" customFormat="1" x14ac:dyDescent="0.3"/>
    <row r="14723" s="160" customFormat="1" x14ac:dyDescent="0.3"/>
    <row r="14724" s="160" customFormat="1" x14ac:dyDescent="0.3"/>
    <row r="14725" s="160" customFormat="1" x14ac:dyDescent="0.3"/>
    <row r="14726" s="160" customFormat="1" x14ac:dyDescent="0.3"/>
    <row r="14727" s="160" customFormat="1" x14ac:dyDescent="0.3"/>
    <row r="14728" s="160" customFormat="1" x14ac:dyDescent="0.3"/>
    <row r="14729" s="160" customFormat="1" x14ac:dyDescent="0.3"/>
    <row r="14730" s="160" customFormat="1" x14ac:dyDescent="0.3"/>
    <row r="14731" s="160" customFormat="1" x14ac:dyDescent="0.3"/>
    <row r="14732" s="160" customFormat="1" x14ac:dyDescent="0.3"/>
    <row r="14733" s="160" customFormat="1" x14ac:dyDescent="0.3"/>
    <row r="14734" s="160" customFormat="1" x14ac:dyDescent="0.3"/>
    <row r="14735" s="160" customFormat="1" x14ac:dyDescent="0.3"/>
    <row r="14736" s="160" customFormat="1" x14ac:dyDescent="0.3"/>
    <row r="14737" s="160" customFormat="1" x14ac:dyDescent="0.3"/>
    <row r="14738" s="160" customFormat="1" x14ac:dyDescent="0.3"/>
    <row r="14739" s="160" customFormat="1" x14ac:dyDescent="0.3"/>
    <row r="14740" s="160" customFormat="1" x14ac:dyDescent="0.3"/>
    <row r="14741" s="160" customFormat="1" x14ac:dyDescent="0.3"/>
    <row r="14742" s="160" customFormat="1" x14ac:dyDescent="0.3"/>
    <row r="14743" s="160" customFormat="1" x14ac:dyDescent="0.3"/>
    <row r="14744" s="160" customFormat="1" x14ac:dyDescent="0.3"/>
    <row r="14745" s="160" customFormat="1" x14ac:dyDescent="0.3"/>
    <row r="14746" s="160" customFormat="1" x14ac:dyDescent="0.3"/>
    <row r="14747" s="160" customFormat="1" x14ac:dyDescent="0.3"/>
    <row r="14748" s="160" customFormat="1" x14ac:dyDescent="0.3"/>
    <row r="14749" s="160" customFormat="1" x14ac:dyDescent="0.3"/>
    <row r="14750" s="160" customFormat="1" x14ac:dyDescent="0.3"/>
    <row r="14751" s="160" customFormat="1" x14ac:dyDescent="0.3"/>
    <row r="14752" s="160" customFormat="1" x14ac:dyDescent="0.3"/>
    <row r="14753" s="160" customFormat="1" x14ac:dyDescent="0.3"/>
    <row r="14754" s="160" customFormat="1" x14ac:dyDescent="0.3"/>
    <row r="14755" s="160" customFormat="1" x14ac:dyDescent="0.3"/>
    <row r="14756" s="160" customFormat="1" x14ac:dyDescent="0.3"/>
    <row r="14757" s="160" customFormat="1" x14ac:dyDescent="0.3"/>
    <row r="14758" s="160" customFormat="1" x14ac:dyDescent="0.3"/>
    <row r="14759" s="160" customFormat="1" x14ac:dyDescent="0.3"/>
    <row r="14760" s="160" customFormat="1" x14ac:dyDescent="0.3"/>
    <row r="14761" s="160" customFormat="1" x14ac:dyDescent="0.3"/>
    <row r="14762" s="160" customFormat="1" x14ac:dyDescent="0.3"/>
    <row r="14763" s="160" customFormat="1" x14ac:dyDescent="0.3"/>
    <row r="14764" s="160" customFormat="1" x14ac:dyDescent="0.3"/>
    <row r="14765" s="160" customFormat="1" x14ac:dyDescent="0.3"/>
    <row r="14766" s="160" customFormat="1" x14ac:dyDescent="0.3"/>
    <row r="14767" s="160" customFormat="1" x14ac:dyDescent="0.3"/>
    <row r="14768" s="160" customFormat="1" x14ac:dyDescent="0.3"/>
    <row r="14769" s="160" customFormat="1" x14ac:dyDescent="0.3"/>
    <row r="14770" s="160" customFormat="1" x14ac:dyDescent="0.3"/>
    <row r="14771" s="160" customFormat="1" x14ac:dyDescent="0.3"/>
    <row r="14772" s="160" customFormat="1" x14ac:dyDescent="0.3"/>
    <row r="14773" s="160" customFormat="1" x14ac:dyDescent="0.3"/>
    <row r="14774" s="160" customFormat="1" x14ac:dyDescent="0.3"/>
    <row r="14775" s="160" customFormat="1" x14ac:dyDescent="0.3"/>
    <row r="14776" s="160" customFormat="1" x14ac:dyDescent="0.3"/>
    <row r="14777" s="160" customFormat="1" x14ac:dyDescent="0.3"/>
    <row r="14778" s="160" customFormat="1" x14ac:dyDescent="0.3"/>
    <row r="14779" s="160" customFormat="1" x14ac:dyDescent="0.3"/>
    <row r="14780" s="160" customFormat="1" x14ac:dyDescent="0.3"/>
    <row r="14781" s="160" customFormat="1" x14ac:dyDescent="0.3"/>
    <row r="14782" s="160" customFormat="1" x14ac:dyDescent="0.3"/>
    <row r="14783" s="160" customFormat="1" x14ac:dyDescent="0.3"/>
    <row r="14784" s="160" customFormat="1" x14ac:dyDescent="0.3"/>
    <row r="14785" s="160" customFormat="1" x14ac:dyDescent="0.3"/>
    <row r="14786" s="160" customFormat="1" x14ac:dyDescent="0.3"/>
    <row r="14787" s="160" customFormat="1" x14ac:dyDescent="0.3"/>
    <row r="14788" s="160" customFormat="1" x14ac:dyDescent="0.3"/>
    <row r="14789" s="160" customFormat="1" x14ac:dyDescent="0.3"/>
    <row r="14790" s="160" customFormat="1" x14ac:dyDescent="0.3"/>
    <row r="14791" s="160" customFormat="1" x14ac:dyDescent="0.3"/>
    <row r="14792" s="160" customFormat="1" x14ac:dyDescent="0.3"/>
    <row r="14793" s="160" customFormat="1" x14ac:dyDescent="0.3"/>
    <row r="14794" s="160" customFormat="1" x14ac:dyDescent="0.3"/>
    <row r="14795" s="160" customFormat="1" x14ac:dyDescent="0.3"/>
    <row r="14796" s="160" customFormat="1" x14ac:dyDescent="0.3"/>
    <row r="14797" s="160" customFormat="1" x14ac:dyDescent="0.3"/>
    <row r="14798" s="160" customFormat="1" x14ac:dyDescent="0.3"/>
    <row r="14799" s="160" customFormat="1" x14ac:dyDescent="0.3"/>
    <row r="14800" s="160" customFormat="1" x14ac:dyDescent="0.3"/>
    <row r="14801" s="160" customFormat="1" x14ac:dyDescent="0.3"/>
    <row r="14802" s="160" customFormat="1" x14ac:dyDescent="0.3"/>
    <row r="14803" s="160" customFormat="1" x14ac:dyDescent="0.3"/>
    <row r="14804" s="160" customFormat="1" x14ac:dyDescent="0.3"/>
    <row r="14805" s="160" customFormat="1" x14ac:dyDescent="0.3"/>
    <row r="14806" s="160" customFormat="1" x14ac:dyDescent="0.3"/>
    <row r="14807" s="160" customFormat="1" x14ac:dyDescent="0.3"/>
    <row r="14808" s="160" customFormat="1" x14ac:dyDescent="0.3"/>
    <row r="14809" s="160" customFormat="1" x14ac:dyDescent="0.3"/>
    <row r="14810" s="160" customFormat="1" x14ac:dyDescent="0.3"/>
    <row r="14811" s="160" customFormat="1" x14ac:dyDescent="0.3"/>
    <row r="14812" s="160" customFormat="1" x14ac:dyDescent="0.3"/>
    <row r="14813" s="160" customFormat="1" x14ac:dyDescent="0.3"/>
    <row r="14814" s="160" customFormat="1" x14ac:dyDescent="0.3"/>
    <row r="14815" s="160" customFormat="1" x14ac:dyDescent="0.3"/>
    <row r="14816" s="160" customFormat="1" x14ac:dyDescent="0.3"/>
    <row r="14817" s="160" customFormat="1" x14ac:dyDescent="0.3"/>
    <row r="14818" s="160" customFormat="1" x14ac:dyDescent="0.3"/>
    <row r="14819" s="160" customFormat="1" x14ac:dyDescent="0.3"/>
    <row r="14820" s="160" customFormat="1" x14ac:dyDescent="0.3"/>
    <row r="14821" s="160" customFormat="1" x14ac:dyDescent="0.3"/>
    <row r="14822" s="160" customFormat="1" x14ac:dyDescent="0.3"/>
    <row r="14823" s="160" customFormat="1" x14ac:dyDescent="0.3"/>
    <row r="14824" s="160" customFormat="1" x14ac:dyDescent="0.3"/>
    <row r="14825" s="160" customFormat="1" x14ac:dyDescent="0.3"/>
    <row r="14826" s="160" customFormat="1" x14ac:dyDescent="0.3"/>
    <row r="14827" s="160" customFormat="1" x14ac:dyDescent="0.3"/>
    <row r="14828" s="160" customFormat="1" x14ac:dyDescent="0.3"/>
    <row r="14829" s="160" customFormat="1" x14ac:dyDescent="0.3"/>
    <row r="14830" s="160" customFormat="1" x14ac:dyDescent="0.3"/>
    <row r="14831" s="160" customFormat="1" x14ac:dyDescent="0.3"/>
    <row r="14832" s="160" customFormat="1" x14ac:dyDescent="0.3"/>
    <row r="14833" s="160" customFormat="1" x14ac:dyDescent="0.3"/>
    <row r="14834" s="160" customFormat="1" x14ac:dyDescent="0.3"/>
    <row r="14835" s="160" customFormat="1" x14ac:dyDescent="0.3"/>
    <row r="14836" s="160" customFormat="1" x14ac:dyDescent="0.3"/>
    <row r="14837" s="160" customFormat="1" x14ac:dyDescent="0.3"/>
    <row r="14838" s="160" customFormat="1" x14ac:dyDescent="0.3"/>
    <row r="14839" s="160" customFormat="1" x14ac:dyDescent="0.3"/>
    <row r="14840" s="160" customFormat="1" x14ac:dyDescent="0.3"/>
    <row r="14841" s="160" customFormat="1" x14ac:dyDescent="0.3"/>
    <row r="14842" s="160" customFormat="1" x14ac:dyDescent="0.3"/>
    <row r="14843" s="160" customFormat="1" x14ac:dyDescent="0.3"/>
    <row r="14844" s="160" customFormat="1" x14ac:dyDescent="0.3"/>
    <row r="14845" s="160" customFormat="1" x14ac:dyDescent="0.3"/>
    <row r="14846" s="160" customFormat="1" x14ac:dyDescent="0.3"/>
    <row r="14847" s="160" customFormat="1" x14ac:dyDescent="0.3"/>
    <row r="14848" s="160" customFormat="1" x14ac:dyDescent="0.3"/>
    <row r="14849" s="160" customFormat="1" x14ac:dyDescent="0.3"/>
    <row r="14850" s="160" customFormat="1" x14ac:dyDescent="0.3"/>
    <row r="14851" s="160" customFormat="1" x14ac:dyDescent="0.3"/>
    <row r="14852" s="160" customFormat="1" x14ac:dyDescent="0.3"/>
    <row r="14853" s="160" customFormat="1" x14ac:dyDescent="0.3"/>
    <row r="14854" s="160" customFormat="1" x14ac:dyDescent="0.3"/>
    <row r="14855" s="160" customFormat="1" x14ac:dyDescent="0.3"/>
    <row r="14856" s="160" customFormat="1" x14ac:dyDescent="0.3"/>
    <row r="14857" s="160" customFormat="1" x14ac:dyDescent="0.3"/>
    <row r="14858" s="160" customFormat="1" x14ac:dyDescent="0.3"/>
    <row r="14859" s="160" customFormat="1" x14ac:dyDescent="0.3"/>
    <row r="14860" s="160" customFormat="1" x14ac:dyDescent="0.3"/>
    <row r="14861" s="160" customFormat="1" x14ac:dyDescent="0.3"/>
    <row r="14862" s="160" customFormat="1" x14ac:dyDescent="0.3"/>
    <row r="14863" s="160" customFormat="1" x14ac:dyDescent="0.3"/>
    <row r="14864" s="160" customFormat="1" x14ac:dyDescent="0.3"/>
    <row r="14865" s="160" customFormat="1" x14ac:dyDescent="0.3"/>
    <row r="14866" s="160" customFormat="1" x14ac:dyDescent="0.3"/>
    <row r="14867" s="160" customFormat="1" x14ac:dyDescent="0.3"/>
    <row r="14868" s="160" customFormat="1" x14ac:dyDescent="0.3"/>
    <row r="14869" s="160" customFormat="1" x14ac:dyDescent="0.3"/>
    <row r="14870" s="160" customFormat="1" x14ac:dyDescent="0.3"/>
    <row r="14871" s="160" customFormat="1" x14ac:dyDescent="0.3"/>
    <row r="14872" s="160" customFormat="1" x14ac:dyDescent="0.3"/>
    <row r="14873" s="160" customFormat="1" x14ac:dyDescent="0.3"/>
    <row r="14874" s="160" customFormat="1" x14ac:dyDescent="0.3"/>
    <row r="14875" s="160" customFormat="1" x14ac:dyDescent="0.3"/>
    <row r="14876" s="160" customFormat="1" x14ac:dyDescent="0.3"/>
    <row r="14877" s="160" customFormat="1" x14ac:dyDescent="0.3"/>
    <row r="14878" s="160" customFormat="1" x14ac:dyDescent="0.3"/>
    <row r="14879" s="160" customFormat="1" x14ac:dyDescent="0.3"/>
    <row r="14880" s="160" customFormat="1" x14ac:dyDescent="0.3"/>
    <row r="14881" s="160" customFormat="1" x14ac:dyDescent="0.3"/>
    <row r="14882" s="160" customFormat="1" x14ac:dyDescent="0.3"/>
    <row r="14883" s="160" customFormat="1" x14ac:dyDescent="0.3"/>
    <row r="14884" s="160" customFormat="1" x14ac:dyDescent="0.3"/>
    <row r="14885" s="160" customFormat="1" x14ac:dyDescent="0.3"/>
    <row r="14886" s="160" customFormat="1" x14ac:dyDescent="0.3"/>
    <row r="14887" s="160" customFormat="1" x14ac:dyDescent="0.3"/>
    <row r="14888" s="160" customFormat="1" x14ac:dyDescent="0.3"/>
    <row r="14889" s="160" customFormat="1" x14ac:dyDescent="0.3"/>
    <row r="14890" s="160" customFormat="1" x14ac:dyDescent="0.3"/>
    <row r="14891" s="160" customFormat="1" x14ac:dyDescent="0.3"/>
    <row r="14892" s="160" customFormat="1" x14ac:dyDescent="0.3"/>
    <row r="14893" s="160" customFormat="1" x14ac:dyDescent="0.3"/>
    <row r="14894" s="160" customFormat="1" x14ac:dyDescent="0.3"/>
    <row r="14895" s="160" customFormat="1" x14ac:dyDescent="0.3"/>
    <row r="14896" s="160" customFormat="1" x14ac:dyDescent="0.3"/>
    <row r="14897" s="160" customFormat="1" x14ac:dyDescent="0.3"/>
    <row r="14898" s="160" customFormat="1" x14ac:dyDescent="0.3"/>
    <row r="14899" s="160" customFormat="1" x14ac:dyDescent="0.3"/>
    <row r="14900" s="160" customFormat="1" x14ac:dyDescent="0.3"/>
    <row r="14901" s="160" customFormat="1" x14ac:dyDescent="0.3"/>
    <row r="14902" s="160" customFormat="1" x14ac:dyDescent="0.3"/>
    <row r="14903" s="160" customFormat="1" x14ac:dyDescent="0.3"/>
    <row r="14904" s="160" customFormat="1" x14ac:dyDescent="0.3"/>
    <row r="14905" s="160" customFormat="1" x14ac:dyDescent="0.3"/>
    <row r="14906" s="160" customFormat="1" x14ac:dyDescent="0.3"/>
    <row r="14907" s="160" customFormat="1" x14ac:dyDescent="0.3"/>
    <row r="14908" s="160" customFormat="1" x14ac:dyDescent="0.3"/>
    <row r="14909" s="160" customFormat="1" x14ac:dyDescent="0.3"/>
    <row r="14910" s="160" customFormat="1" x14ac:dyDescent="0.3"/>
    <row r="14911" s="160" customFormat="1" x14ac:dyDescent="0.3"/>
    <row r="14912" s="160" customFormat="1" x14ac:dyDescent="0.3"/>
    <row r="14913" s="160" customFormat="1" x14ac:dyDescent="0.3"/>
    <row r="14914" s="160" customFormat="1" x14ac:dyDescent="0.3"/>
    <row r="14915" s="160" customFormat="1" x14ac:dyDescent="0.3"/>
    <row r="14916" s="160" customFormat="1" x14ac:dyDescent="0.3"/>
    <row r="14917" s="160" customFormat="1" x14ac:dyDescent="0.3"/>
    <row r="14918" s="160" customFormat="1" x14ac:dyDescent="0.3"/>
    <row r="14919" s="160" customFormat="1" x14ac:dyDescent="0.3"/>
    <row r="14920" s="160" customFormat="1" x14ac:dyDescent="0.3"/>
    <row r="14921" s="160" customFormat="1" x14ac:dyDescent="0.3"/>
    <row r="14922" s="160" customFormat="1" x14ac:dyDescent="0.3"/>
    <row r="14923" s="160" customFormat="1" x14ac:dyDescent="0.3"/>
    <row r="14924" s="160" customFormat="1" x14ac:dyDescent="0.3"/>
    <row r="14925" s="160" customFormat="1" x14ac:dyDescent="0.3"/>
    <row r="14926" s="160" customFormat="1" x14ac:dyDescent="0.3"/>
    <row r="14927" s="160" customFormat="1" x14ac:dyDescent="0.3"/>
    <row r="14928" s="160" customFormat="1" x14ac:dyDescent="0.3"/>
    <row r="14929" s="160" customFormat="1" x14ac:dyDescent="0.3"/>
    <row r="14930" s="160" customFormat="1" x14ac:dyDescent="0.3"/>
    <row r="14931" s="160" customFormat="1" x14ac:dyDescent="0.3"/>
    <row r="14932" s="160" customFormat="1" x14ac:dyDescent="0.3"/>
    <row r="14933" s="160" customFormat="1" x14ac:dyDescent="0.3"/>
    <row r="14934" s="160" customFormat="1" x14ac:dyDescent="0.3"/>
    <row r="14935" s="160" customFormat="1" x14ac:dyDescent="0.3"/>
    <row r="14936" s="160" customFormat="1" x14ac:dyDescent="0.3"/>
    <row r="14937" s="160" customFormat="1" x14ac:dyDescent="0.3"/>
    <row r="14938" s="160" customFormat="1" x14ac:dyDescent="0.3"/>
    <row r="14939" s="160" customFormat="1" x14ac:dyDescent="0.3"/>
    <row r="14940" s="160" customFormat="1" x14ac:dyDescent="0.3"/>
    <row r="14941" s="160" customFormat="1" x14ac:dyDescent="0.3"/>
    <row r="14942" s="160" customFormat="1" x14ac:dyDescent="0.3"/>
    <row r="14943" s="160" customFormat="1" x14ac:dyDescent="0.3"/>
    <row r="14944" s="160" customFormat="1" x14ac:dyDescent="0.3"/>
    <row r="14945" s="160" customFormat="1" x14ac:dyDescent="0.3"/>
    <row r="14946" s="160" customFormat="1" x14ac:dyDescent="0.3"/>
    <row r="14947" s="160" customFormat="1" x14ac:dyDescent="0.3"/>
    <row r="14948" s="160" customFormat="1" x14ac:dyDescent="0.3"/>
    <row r="14949" s="160" customFormat="1" x14ac:dyDescent="0.3"/>
    <row r="14950" s="160" customFormat="1" x14ac:dyDescent="0.3"/>
    <row r="14951" s="160" customFormat="1" x14ac:dyDescent="0.3"/>
    <row r="14952" s="160" customFormat="1" x14ac:dyDescent="0.3"/>
    <row r="14953" s="160" customFormat="1" x14ac:dyDescent="0.3"/>
    <row r="14954" s="160" customFormat="1" x14ac:dyDescent="0.3"/>
    <row r="14955" s="160" customFormat="1" x14ac:dyDescent="0.3"/>
    <row r="14956" s="160" customFormat="1" x14ac:dyDescent="0.3"/>
    <row r="14957" s="160" customFormat="1" x14ac:dyDescent="0.3"/>
    <row r="14958" s="160" customFormat="1" x14ac:dyDescent="0.3"/>
    <row r="14959" s="160" customFormat="1" x14ac:dyDescent="0.3"/>
    <row r="14960" s="160" customFormat="1" x14ac:dyDescent="0.3"/>
    <row r="14961" s="160" customFormat="1" x14ac:dyDescent="0.3"/>
    <row r="14962" s="160" customFormat="1" x14ac:dyDescent="0.3"/>
    <row r="14963" s="160" customFormat="1" x14ac:dyDescent="0.3"/>
    <row r="14964" s="160" customFormat="1" x14ac:dyDescent="0.3"/>
    <row r="14965" s="160" customFormat="1" x14ac:dyDescent="0.3"/>
    <row r="14966" s="160" customFormat="1" x14ac:dyDescent="0.3"/>
    <row r="14967" s="160" customFormat="1" x14ac:dyDescent="0.3"/>
    <row r="14968" s="160" customFormat="1" x14ac:dyDescent="0.3"/>
    <row r="14969" s="160" customFormat="1" x14ac:dyDescent="0.3"/>
    <row r="14970" s="160" customFormat="1" x14ac:dyDescent="0.3"/>
    <row r="14971" s="160" customFormat="1" x14ac:dyDescent="0.3"/>
    <row r="14972" s="160" customFormat="1" x14ac:dyDescent="0.3"/>
    <row r="14973" s="160" customFormat="1" x14ac:dyDescent="0.3"/>
    <row r="14974" s="160" customFormat="1" x14ac:dyDescent="0.3"/>
    <row r="14975" s="160" customFormat="1" x14ac:dyDescent="0.3"/>
    <row r="14976" s="160" customFormat="1" x14ac:dyDescent="0.3"/>
    <row r="14977" s="160" customFormat="1" x14ac:dyDescent="0.3"/>
    <row r="14978" s="160" customFormat="1" x14ac:dyDescent="0.3"/>
    <row r="14979" s="160" customFormat="1" x14ac:dyDescent="0.3"/>
    <row r="14980" s="160" customFormat="1" x14ac:dyDescent="0.3"/>
    <row r="14981" s="160" customFormat="1" x14ac:dyDescent="0.3"/>
    <row r="14982" s="160" customFormat="1" x14ac:dyDescent="0.3"/>
    <row r="14983" s="160" customFormat="1" x14ac:dyDescent="0.3"/>
    <row r="14984" s="160" customFormat="1" x14ac:dyDescent="0.3"/>
    <row r="14985" s="160" customFormat="1" x14ac:dyDescent="0.3"/>
    <row r="14986" s="160" customFormat="1" x14ac:dyDescent="0.3"/>
    <row r="14987" s="160" customFormat="1" x14ac:dyDescent="0.3"/>
    <row r="14988" s="160" customFormat="1" x14ac:dyDescent="0.3"/>
    <row r="14989" s="160" customFormat="1" x14ac:dyDescent="0.3"/>
    <row r="14990" s="160" customFormat="1" x14ac:dyDescent="0.3"/>
    <row r="14991" s="160" customFormat="1" x14ac:dyDescent="0.3"/>
    <row r="14992" s="160" customFormat="1" x14ac:dyDescent="0.3"/>
    <row r="14993" s="160" customFormat="1" x14ac:dyDescent="0.3"/>
    <row r="14994" s="160" customFormat="1" x14ac:dyDescent="0.3"/>
    <row r="14995" s="160" customFormat="1" x14ac:dyDescent="0.3"/>
    <row r="14996" s="160" customFormat="1" x14ac:dyDescent="0.3"/>
    <row r="14997" s="160" customFormat="1" x14ac:dyDescent="0.3"/>
    <row r="14998" s="160" customFormat="1" x14ac:dyDescent="0.3"/>
    <row r="14999" s="160" customFormat="1" x14ac:dyDescent="0.3"/>
    <row r="15000" s="160" customFormat="1" x14ac:dyDescent="0.3"/>
    <row r="15001" s="160" customFormat="1" x14ac:dyDescent="0.3"/>
    <row r="15002" s="160" customFormat="1" x14ac:dyDescent="0.3"/>
    <row r="15003" s="160" customFormat="1" x14ac:dyDescent="0.3"/>
    <row r="15004" s="160" customFormat="1" x14ac:dyDescent="0.3"/>
    <row r="15005" s="160" customFormat="1" x14ac:dyDescent="0.3"/>
    <row r="15006" s="160" customFormat="1" x14ac:dyDescent="0.3"/>
    <row r="15007" s="160" customFormat="1" x14ac:dyDescent="0.3"/>
    <row r="15008" s="160" customFormat="1" x14ac:dyDescent="0.3"/>
    <row r="15009" s="160" customFormat="1" x14ac:dyDescent="0.3"/>
    <row r="15010" s="160" customFormat="1" x14ac:dyDescent="0.3"/>
    <row r="15011" s="160" customFormat="1" x14ac:dyDescent="0.3"/>
    <row r="15012" s="160" customFormat="1" x14ac:dyDescent="0.3"/>
    <row r="15013" s="160" customFormat="1" x14ac:dyDescent="0.3"/>
    <row r="15014" s="160" customFormat="1" x14ac:dyDescent="0.3"/>
    <row r="15015" s="160" customFormat="1" x14ac:dyDescent="0.3"/>
    <row r="15016" s="160" customFormat="1" x14ac:dyDescent="0.3"/>
    <row r="15017" s="160" customFormat="1" x14ac:dyDescent="0.3"/>
    <row r="15018" s="160" customFormat="1" x14ac:dyDescent="0.3"/>
    <row r="15019" s="160" customFormat="1" x14ac:dyDescent="0.3"/>
    <row r="15020" s="160" customFormat="1" x14ac:dyDescent="0.3"/>
    <row r="15021" s="160" customFormat="1" x14ac:dyDescent="0.3"/>
    <row r="15022" s="160" customFormat="1" x14ac:dyDescent="0.3"/>
    <row r="15023" s="160" customFormat="1" x14ac:dyDescent="0.3"/>
    <row r="15024" s="160" customFormat="1" x14ac:dyDescent="0.3"/>
    <row r="15025" s="160" customFormat="1" x14ac:dyDescent="0.3"/>
    <row r="15026" s="160" customFormat="1" x14ac:dyDescent="0.3"/>
    <row r="15027" s="160" customFormat="1" x14ac:dyDescent="0.3"/>
    <row r="15028" s="160" customFormat="1" x14ac:dyDescent="0.3"/>
    <row r="15029" s="160" customFormat="1" x14ac:dyDescent="0.3"/>
    <row r="15030" s="160" customFormat="1" x14ac:dyDescent="0.3"/>
    <row r="15031" s="160" customFormat="1" x14ac:dyDescent="0.3"/>
    <row r="15032" s="160" customFormat="1" x14ac:dyDescent="0.3"/>
    <row r="15033" s="160" customFormat="1" x14ac:dyDescent="0.3"/>
    <row r="15034" s="160" customFormat="1" x14ac:dyDescent="0.3"/>
    <row r="15035" s="160" customFormat="1" x14ac:dyDescent="0.3"/>
    <row r="15036" s="160" customFormat="1" x14ac:dyDescent="0.3"/>
    <row r="15037" s="160" customFormat="1" x14ac:dyDescent="0.3"/>
    <row r="15038" s="160" customFormat="1" x14ac:dyDescent="0.3"/>
    <row r="15039" s="160" customFormat="1" x14ac:dyDescent="0.3"/>
    <row r="15040" s="160" customFormat="1" x14ac:dyDescent="0.3"/>
    <row r="15041" s="160" customFormat="1" x14ac:dyDescent="0.3"/>
    <row r="15042" s="160" customFormat="1" x14ac:dyDescent="0.3"/>
    <row r="15043" s="160" customFormat="1" x14ac:dyDescent="0.3"/>
    <row r="15044" s="160" customFormat="1" x14ac:dyDescent="0.3"/>
    <row r="15045" s="160" customFormat="1" x14ac:dyDescent="0.3"/>
    <row r="15046" s="160" customFormat="1" x14ac:dyDescent="0.3"/>
    <row r="15047" s="160" customFormat="1" x14ac:dyDescent="0.3"/>
    <row r="15048" s="160" customFormat="1" x14ac:dyDescent="0.3"/>
    <row r="15049" s="160" customFormat="1" x14ac:dyDescent="0.3"/>
    <row r="15050" s="160" customFormat="1" x14ac:dyDescent="0.3"/>
    <row r="15051" s="160" customFormat="1" x14ac:dyDescent="0.3"/>
    <row r="15052" s="160" customFormat="1" x14ac:dyDescent="0.3"/>
    <row r="15053" s="160" customFormat="1" x14ac:dyDescent="0.3"/>
    <row r="15054" s="160" customFormat="1" x14ac:dyDescent="0.3"/>
    <row r="15055" s="160" customFormat="1" x14ac:dyDescent="0.3"/>
    <row r="15056" s="160" customFormat="1" x14ac:dyDescent="0.3"/>
    <row r="15057" s="160" customFormat="1" x14ac:dyDescent="0.3"/>
    <row r="15058" s="160" customFormat="1" x14ac:dyDescent="0.3"/>
    <row r="15059" s="160" customFormat="1" x14ac:dyDescent="0.3"/>
    <row r="15060" s="160" customFormat="1" x14ac:dyDescent="0.3"/>
    <row r="15061" s="160" customFormat="1" x14ac:dyDescent="0.3"/>
    <row r="15062" s="160" customFormat="1" x14ac:dyDescent="0.3"/>
    <row r="15063" s="160" customFormat="1" x14ac:dyDescent="0.3"/>
    <row r="15064" s="160" customFormat="1" x14ac:dyDescent="0.3"/>
    <row r="15065" s="160" customFormat="1" x14ac:dyDescent="0.3"/>
    <row r="15066" s="160" customFormat="1" x14ac:dyDescent="0.3"/>
    <row r="15067" s="160" customFormat="1" x14ac:dyDescent="0.3"/>
    <row r="15068" s="160" customFormat="1" x14ac:dyDescent="0.3"/>
    <row r="15069" s="160" customFormat="1" x14ac:dyDescent="0.3"/>
    <row r="15070" s="160" customFormat="1" x14ac:dyDescent="0.3"/>
    <row r="15071" s="160" customFormat="1" x14ac:dyDescent="0.3"/>
    <row r="15072" s="160" customFormat="1" x14ac:dyDescent="0.3"/>
    <row r="15073" s="160" customFormat="1" x14ac:dyDescent="0.3"/>
    <row r="15074" s="160" customFormat="1" x14ac:dyDescent="0.3"/>
    <row r="15075" s="160" customFormat="1" x14ac:dyDescent="0.3"/>
    <row r="15076" s="160" customFormat="1" x14ac:dyDescent="0.3"/>
    <row r="15077" s="160" customFormat="1" x14ac:dyDescent="0.3"/>
    <row r="15078" s="160" customFormat="1" x14ac:dyDescent="0.3"/>
    <row r="15079" s="160" customFormat="1" x14ac:dyDescent="0.3"/>
    <row r="15080" s="160" customFormat="1" x14ac:dyDescent="0.3"/>
    <row r="15081" s="160" customFormat="1" x14ac:dyDescent="0.3"/>
    <row r="15082" s="160" customFormat="1" x14ac:dyDescent="0.3"/>
    <row r="15083" s="160" customFormat="1" x14ac:dyDescent="0.3"/>
    <row r="15084" s="160" customFormat="1" x14ac:dyDescent="0.3"/>
    <row r="15085" s="160" customFormat="1" x14ac:dyDescent="0.3"/>
    <row r="15086" s="160" customFormat="1" x14ac:dyDescent="0.3"/>
    <row r="15087" s="160" customFormat="1" x14ac:dyDescent="0.3"/>
    <row r="15088" s="160" customFormat="1" x14ac:dyDescent="0.3"/>
    <row r="15089" s="160" customFormat="1" x14ac:dyDescent="0.3"/>
    <row r="15090" s="160" customFormat="1" x14ac:dyDescent="0.3"/>
    <row r="15091" s="160" customFormat="1" x14ac:dyDescent="0.3"/>
    <row r="15092" s="160" customFormat="1" x14ac:dyDescent="0.3"/>
    <row r="15093" s="160" customFormat="1" x14ac:dyDescent="0.3"/>
    <row r="15094" s="160" customFormat="1" x14ac:dyDescent="0.3"/>
    <row r="15095" s="160" customFormat="1" x14ac:dyDescent="0.3"/>
    <row r="15096" s="160" customFormat="1" x14ac:dyDescent="0.3"/>
    <row r="15097" s="160" customFormat="1" x14ac:dyDescent="0.3"/>
    <row r="15098" s="160" customFormat="1" x14ac:dyDescent="0.3"/>
    <row r="15099" s="160" customFormat="1" x14ac:dyDescent="0.3"/>
    <row r="15100" s="160" customFormat="1" x14ac:dyDescent="0.3"/>
    <row r="15101" s="160" customFormat="1" x14ac:dyDescent="0.3"/>
    <row r="15102" s="160" customFormat="1" x14ac:dyDescent="0.3"/>
    <row r="15103" s="160" customFormat="1" x14ac:dyDescent="0.3"/>
    <row r="15104" s="160" customFormat="1" x14ac:dyDescent="0.3"/>
    <row r="15105" s="160" customFormat="1" x14ac:dyDescent="0.3"/>
    <row r="15106" s="160" customFormat="1" x14ac:dyDescent="0.3"/>
    <row r="15107" s="160" customFormat="1" x14ac:dyDescent="0.3"/>
    <row r="15108" s="160" customFormat="1" x14ac:dyDescent="0.3"/>
    <row r="15109" s="160" customFormat="1" x14ac:dyDescent="0.3"/>
    <row r="15110" s="160" customFormat="1" x14ac:dyDescent="0.3"/>
    <row r="15111" s="160" customFormat="1" x14ac:dyDescent="0.3"/>
    <row r="15112" s="160" customFormat="1" x14ac:dyDescent="0.3"/>
    <row r="15113" s="160" customFormat="1" x14ac:dyDescent="0.3"/>
    <row r="15114" s="160" customFormat="1" x14ac:dyDescent="0.3"/>
    <row r="15115" s="160" customFormat="1" x14ac:dyDescent="0.3"/>
    <row r="15116" s="160" customFormat="1" x14ac:dyDescent="0.3"/>
    <row r="15117" s="160" customFormat="1" x14ac:dyDescent="0.3"/>
    <row r="15118" s="160" customFormat="1" x14ac:dyDescent="0.3"/>
    <row r="15119" s="160" customFormat="1" x14ac:dyDescent="0.3"/>
    <row r="15120" s="160" customFormat="1" x14ac:dyDescent="0.3"/>
    <row r="15121" s="160" customFormat="1" x14ac:dyDescent="0.3"/>
    <row r="15122" s="160" customFormat="1" x14ac:dyDescent="0.3"/>
    <row r="15123" s="160" customFormat="1" x14ac:dyDescent="0.3"/>
    <row r="15124" s="160" customFormat="1" x14ac:dyDescent="0.3"/>
    <row r="15125" s="160" customFormat="1" x14ac:dyDescent="0.3"/>
    <row r="15126" s="160" customFormat="1" x14ac:dyDescent="0.3"/>
    <row r="15127" s="160" customFormat="1" x14ac:dyDescent="0.3"/>
    <row r="15128" s="160" customFormat="1" x14ac:dyDescent="0.3"/>
    <row r="15129" s="160" customFormat="1" x14ac:dyDescent="0.3"/>
    <row r="15130" s="160" customFormat="1" x14ac:dyDescent="0.3"/>
    <row r="15131" s="160" customFormat="1" x14ac:dyDescent="0.3"/>
    <row r="15132" s="160" customFormat="1" x14ac:dyDescent="0.3"/>
    <row r="15133" s="160" customFormat="1" x14ac:dyDescent="0.3"/>
    <row r="15134" s="160" customFormat="1" x14ac:dyDescent="0.3"/>
    <row r="15135" s="160" customFormat="1" x14ac:dyDescent="0.3"/>
    <row r="15136" s="160" customFormat="1" x14ac:dyDescent="0.3"/>
    <row r="15137" s="160" customFormat="1" x14ac:dyDescent="0.3"/>
    <row r="15138" s="160" customFormat="1" x14ac:dyDescent="0.3"/>
    <row r="15139" s="160" customFormat="1" x14ac:dyDescent="0.3"/>
    <row r="15140" s="160" customFormat="1" x14ac:dyDescent="0.3"/>
    <row r="15141" s="160" customFormat="1" x14ac:dyDescent="0.3"/>
    <row r="15142" s="160" customFormat="1" x14ac:dyDescent="0.3"/>
    <row r="15143" s="160" customFormat="1" x14ac:dyDescent="0.3"/>
    <row r="15144" s="160" customFormat="1" x14ac:dyDescent="0.3"/>
    <row r="15145" s="160" customFormat="1" x14ac:dyDescent="0.3"/>
    <row r="15146" s="160" customFormat="1" x14ac:dyDescent="0.3"/>
    <row r="15147" s="160" customFormat="1" x14ac:dyDescent="0.3"/>
    <row r="15148" s="160" customFormat="1" x14ac:dyDescent="0.3"/>
    <row r="15149" s="160" customFormat="1" x14ac:dyDescent="0.3"/>
    <row r="15150" s="160" customFormat="1" x14ac:dyDescent="0.3"/>
    <row r="15151" s="160" customFormat="1" x14ac:dyDescent="0.3"/>
    <row r="15152" s="160" customFormat="1" x14ac:dyDescent="0.3"/>
    <row r="15153" s="160" customFormat="1" x14ac:dyDescent="0.3"/>
    <row r="15154" s="160" customFormat="1" x14ac:dyDescent="0.3"/>
    <row r="15155" s="160" customFormat="1" x14ac:dyDescent="0.3"/>
    <row r="15156" s="160" customFormat="1" x14ac:dyDescent="0.3"/>
    <row r="15157" s="160" customFormat="1" x14ac:dyDescent="0.3"/>
    <row r="15158" s="160" customFormat="1" x14ac:dyDescent="0.3"/>
    <row r="15159" s="160" customFormat="1" x14ac:dyDescent="0.3"/>
    <row r="15160" s="160" customFormat="1" x14ac:dyDescent="0.3"/>
    <row r="15161" s="160" customFormat="1" x14ac:dyDescent="0.3"/>
    <row r="15162" s="160" customFormat="1" x14ac:dyDescent="0.3"/>
    <row r="15163" s="160" customFormat="1" x14ac:dyDescent="0.3"/>
    <row r="15164" s="160" customFormat="1" x14ac:dyDescent="0.3"/>
    <row r="15165" s="160" customFormat="1" x14ac:dyDescent="0.3"/>
    <row r="15166" s="160" customFormat="1" x14ac:dyDescent="0.3"/>
    <row r="15167" s="160" customFormat="1" x14ac:dyDescent="0.3"/>
    <row r="15168" s="160" customFormat="1" x14ac:dyDescent="0.3"/>
    <row r="15169" s="160" customFormat="1" x14ac:dyDescent="0.3"/>
    <row r="15170" s="160" customFormat="1" x14ac:dyDescent="0.3"/>
    <row r="15171" s="160" customFormat="1" x14ac:dyDescent="0.3"/>
    <row r="15172" s="160" customFormat="1" x14ac:dyDescent="0.3"/>
    <row r="15173" s="160" customFormat="1" x14ac:dyDescent="0.3"/>
    <row r="15174" s="160" customFormat="1" x14ac:dyDescent="0.3"/>
    <row r="15175" s="160" customFormat="1" x14ac:dyDescent="0.3"/>
    <row r="15176" s="160" customFormat="1" x14ac:dyDescent="0.3"/>
    <row r="15177" s="160" customFormat="1" x14ac:dyDescent="0.3"/>
    <row r="15178" s="160" customFormat="1" x14ac:dyDescent="0.3"/>
    <row r="15179" s="160" customFormat="1" x14ac:dyDescent="0.3"/>
    <row r="15180" s="160" customFormat="1" x14ac:dyDescent="0.3"/>
    <row r="15181" s="160" customFormat="1" x14ac:dyDescent="0.3"/>
    <row r="15182" s="160" customFormat="1" x14ac:dyDescent="0.3"/>
    <row r="15183" s="160" customFormat="1" x14ac:dyDescent="0.3"/>
    <row r="15184" s="160" customFormat="1" x14ac:dyDescent="0.3"/>
    <row r="15185" s="160" customFormat="1" x14ac:dyDescent="0.3"/>
    <row r="15186" s="160" customFormat="1" x14ac:dyDescent="0.3"/>
    <row r="15187" s="160" customFormat="1" x14ac:dyDescent="0.3"/>
    <row r="15188" s="160" customFormat="1" x14ac:dyDescent="0.3"/>
    <row r="15189" s="160" customFormat="1" x14ac:dyDescent="0.3"/>
    <row r="15190" s="160" customFormat="1" x14ac:dyDescent="0.3"/>
    <row r="15191" s="160" customFormat="1" x14ac:dyDescent="0.3"/>
    <row r="15192" s="160" customFormat="1" x14ac:dyDescent="0.3"/>
    <row r="15193" s="160" customFormat="1" x14ac:dyDescent="0.3"/>
    <row r="15194" s="160" customFormat="1" x14ac:dyDescent="0.3"/>
    <row r="15195" s="160" customFormat="1" x14ac:dyDescent="0.3"/>
    <row r="15196" s="160" customFormat="1" x14ac:dyDescent="0.3"/>
    <row r="15197" s="160" customFormat="1" x14ac:dyDescent="0.3"/>
    <row r="15198" s="160" customFormat="1" x14ac:dyDescent="0.3"/>
    <row r="15199" s="160" customFormat="1" x14ac:dyDescent="0.3"/>
    <row r="15200" s="160" customFormat="1" x14ac:dyDescent="0.3"/>
    <row r="15201" s="160" customFormat="1" x14ac:dyDescent="0.3"/>
    <row r="15202" s="160" customFormat="1" x14ac:dyDescent="0.3"/>
    <row r="15203" s="160" customFormat="1" x14ac:dyDescent="0.3"/>
    <row r="15204" s="160" customFormat="1" x14ac:dyDescent="0.3"/>
    <row r="15205" s="160" customFormat="1" x14ac:dyDescent="0.3"/>
    <row r="15206" s="160" customFormat="1" x14ac:dyDescent="0.3"/>
    <row r="15207" s="160" customFormat="1" x14ac:dyDescent="0.3"/>
    <row r="15208" s="160" customFormat="1" x14ac:dyDescent="0.3"/>
    <row r="15209" s="160" customFormat="1" x14ac:dyDescent="0.3"/>
    <row r="15210" s="160" customFormat="1" x14ac:dyDescent="0.3"/>
    <row r="15211" s="160" customFormat="1" x14ac:dyDescent="0.3"/>
    <row r="15212" s="160" customFormat="1" x14ac:dyDescent="0.3"/>
    <row r="15213" s="160" customFormat="1" x14ac:dyDescent="0.3"/>
    <row r="15214" s="160" customFormat="1" x14ac:dyDescent="0.3"/>
    <row r="15215" s="160" customFormat="1" x14ac:dyDescent="0.3"/>
    <row r="15216" s="160" customFormat="1" x14ac:dyDescent="0.3"/>
    <row r="15217" s="160" customFormat="1" x14ac:dyDescent="0.3"/>
    <row r="15218" s="160" customFormat="1" x14ac:dyDescent="0.3"/>
    <row r="15219" s="160" customFormat="1" x14ac:dyDescent="0.3"/>
    <row r="15220" s="160" customFormat="1" x14ac:dyDescent="0.3"/>
    <row r="15221" s="160" customFormat="1" x14ac:dyDescent="0.3"/>
    <row r="15222" s="160" customFormat="1" x14ac:dyDescent="0.3"/>
    <row r="15223" s="160" customFormat="1" x14ac:dyDescent="0.3"/>
    <row r="15224" s="160" customFormat="1" x14ac:dyDescent="0.3"/>
    <row r="15225" s="160" customFormat="1" x14ac:dyDescent="0.3"/>
    <row r="15226" s="160" customFormat="1" x14ac:dyDescent="0.3"/>
    <row r="15227" s="160" customFormat="1" x14ac:dyDescent="0.3"/>
    <row r="15228" s="160" customFormat="1" x14ac:dyDescent="0.3"/>
    <row r="15229" s="160" customFormat="1" x14ac:dyDescent="0.3"/>
    <row r="15230" s="160" customFormat="1" x14ac:dyDescent="0.3"/>
    <row r="15231" s="160" customFormat="1" x14ac:dyDescent="0.3"/>
    <row r="15232" s="160" customFormat="1" x14ac:dyDescent="0.3"/>
    <row r="15233" s="160" customFormat="1" x14ac:dyDescent="0.3"/>
    <row r="15234" s="160" customFormat="1" x14ac:dyDescent="0.3"/>
    <row r="15235" s="160" customFormat="1" x14ac:dyDescent="0.3"/>
    <row r="15236" s="160" customFormat="1" x14ac:dyDescent="0.3"/>
    <row r="15237" s="160" customFormat="1" x14ac:dyDescent="0.3"/>
    <row r="15238" s="160" customFormat="1" x14ac:dyDescent="0.3"/>
    <row r="15239" s="160" customFormat="1" x14ac:dyDescent="0.3"/>
    <row r="15240" s="160" customFormat="1" x14ac:dyDescent="0.3"/>
    <row r="15241" s="160" customFormat="1" x14ac:dyDescent="0.3"/>
    <row r="15242" s="160" customFormat="1" x14ac:dyDescent="0.3"/>
    <row r="15243" s="160" customFormat="1" x14ac:dyDescent="0.3"/>
    <row r="15244" s="160" customFormat="1" x14ac:dyDescent="0.3"/>
    <row r="15245" s="160" customFormat="1" x14ac:dyDescent="0.3"/>
    <row r="15246" s="160" customFormat="1" x14ac:dyDescent="0.3"/>
    <row r="15247" s="160" customFormat="1" x14ac:dyDescent="0.3"/>
    <row r="15248" s="160" customFormat="1" x14ac:dyDescent="0.3"/>
    <row r="15249" s="160" customFormat="1" x14ac:dyDescent="0.3"/>
    <row r="15250" s="160" customFormat="1" x14ac:dyDescent="0.3"/>
    <row r="15251" s="160" customFormat="1" x14ac:dyDescent="0.3"/>
    <row r="15252" s="160" customFormat="1" x14ac:dyDescent="0.3"/>
    <row r="15253" s="160" customFormat="1" x14ac:dyDescent="0.3"/>
    <row r="15254" s="160" customFormat="1" x14ac:dyDescent="0.3"/>
    <row r="15255" s="160" customFormat="1" x14ac:dyDescent="0.3"/>
    <row r="15256" s="160" customFormat="1" x14ac:dyDescent="0.3"/>
    <row r="15257" s="160" customFormat="1" x14ac:dyDescent="0.3"/>
    <row r="15258" s="160" customFormat="1" x14ac:dyDescent="0.3"/>
    <row r="15259" s="160" customFormat="1" x14ac:dyDescent="0.3"/>
    <row r="15260" s="160" customFormat="1" x14ac:dyDescent="0.3"/>
    <row r="15261" s="160" customFormat="1" x14ac:dyDescent="0.3"/>
    <row r="15262" s="160" customFormat="1" x14ac:dyDescent="0.3"/>
    <row r="15263" s="160" customFormat="1" x14ac:dyDescent="0.3"/>
    <row r="15264" s="160" customFormat="1" x14ac:dyDescent="0.3"/>
    <row r="15265" s="160" customFormat="1" x14ac:dyDescent="0.3"/>
    <row r="15266" s="160" customFormat="1" x14ac:dyDescent="0.3"/>
    <row r="15267" s="160" customFormat="1" x14ac:dyDescent="0.3"/>
    <row r="15268" s="160" customFormat="1" x14ac:dyDescent="0.3"/>
    <row r="15269" s="160" customFormat="1" x14ac:dyDescent="0.3"/>
    <row r="15270" s="160" customFormat="1" x14ac:dyDescent="0.3"/>
    <row r="15271" s="160" customFormat="1" x14ac:dyDescent="0.3"/>
    <row r="15272" s="160" customFormat="1" x14ac:dyDescent="0.3"/>
    <row r="15273" s="160" customFormat="1" x14ac:dyDescent="0.3"/>
    <row r="15274" s="160" customFormat="1" x14ac:dyDescent="0.3"/>
    <row r="15275" s="160" customFormat="1" x14ac:dyDescent="0.3"/>
    <row r="15276" s="160" customFormat="1" x14ac:dyDescent="0.3"/>
    <row r="15277" s="160" customFormat="1" x14ac:dyDescent="0.3"/>
    <row r="15278" s="160" customFormat="1" x14ac:dyDescent="0.3"/>
    <row r="15279" s="160" customFormat="1" x14ac:dyDescent="0.3"/>
    <row r="15280" s="160" customFormat="1" x14ac:dyDescent="0.3"/>
    <row r="15281" s="160" customFormat="1" x14ac:dyDescent="0.3"/>
    <row r="15282" s="160" customFormat="1" x14ac:dyDescent="0.3"/>
    <row r="15283" s="160" customFormat="1" x14ac:dyDescent="0.3"/>
    <row r="15284" s="160" customFormat="1" x14ac:dyDescent="0.3"/>
    <row r="15285" s="160" customFormat="1" x14ac:dyDescent="0.3"/>
    <row r="15286" s="160" customFormat="1" x14ac:dyDescent="0.3"/>
    <row r="15287" s="160" customFormat="1" x14ac:dyDescent="0.3"/>
    <row r="15288" s="160" customFormat="1" x14ac:dyDescent="0.3"/>
    <row r="15289" s="160" customFormat="1" x14ac:dyDescent="0.3"/>
    <row r="15290" s="160" customFormat="1" x14ac:dyDescent="0.3"/>
    <row r="15291" s="160" customFormat="1" x14ac:dyDescent="0.3"/>
    <row r="15292" s="160" customFormat="1" x14ac:dyDescent="0.3"/>
    <row r="15293" s="160" customFormat="1" x14ac:dyDescent="0.3"/>
    <row r="15294" s="160" customFormat="1" x14ac:dyDescent="0.3"/>
    <row r="15295" s="160" customFormat="1" x14ac:dyDescent="0.3"/>
    <row r="15296" s="160" customFormat="1" x14ac:dyDescent="0.3"/>
    <row r="15297" s="160" customFormat="1" x14ac:dyDescent="0.3"/>
    <row r="15298" s="160" customFormat="1" x14ac:dyDescent="0.3"/>
    <row r="15299" s="160" customFormat="1" x14ac:dyDescent="0.3"/>
    <row r="15300" s="160" customFormat="1" x14ac:dyDescent="0.3"/>
    <row r="15301" s="160" customFormat="1" x14ac:dyDescent="0.3"/>
    <row r="15302" s="160" customFormat="1" x14ac:dyDescent="0.3"/>
    <row r="15303" s="160" customFormat="1" x14ac:dyDescent="0.3"/>
    <row r="15304" s="160" customFormat="1" x14ac:dyDescent="0.3"/>
    <row r="15305" s="160" customFormat="1" x14ac:dyDescent="0.3"/>
    <row r="15306" s="160" customFormat="1" x14ac:dyDescent="0.3"/>
    <row r="15307" s="160" customFormat="1" x14ac:dyDescent="0.3"/>
    <row r="15308" s="160" customFormat="1" x14ac:dyDescent="0.3"/>
    <row r="15309" s="160" customFormat="1" x14ac:dyDescent="0.3"/>
    <row r="15310" s="160" customFormat="1" x14ac:dyDescent="0.3"/>
    <row r="15311" s="160" customFormat="1" x14ac:dyDescent="0.3"/>
    <row r="15312" s="160" customFormat="1" x14ac:dyDescent="0.3"/>
    <row r="15313" s="160" customFormat="1" x14ac:dyDescent="0.3"/>
    <row r="15314" s="160" customFormat="1" x14ac:dyDescent="0.3"/>
    <row r="15315" s="160" customFormat="1" x14ac:dyDescent="0.3"/>
    <row r="15316" s="160" customFormat="1" x14ac:dyDescent="0.3"/>
    <row r="15317" s="160" customFormat="1" x14ac:dyDescent="0.3"/>
    <row r="15318" s="160" customFormat="1" x14ac:dyDescent="0.3"/>
    <row r="15319" s="160" customFormat="1" x14ac:dyDescent="0.3"/>
    <row r="15320" s="160" customFormat="1" x14ac:dyDescent="0.3"/>
    <row r="15321" s="160" customFormat="1" x14ac:dyDescent="0.3"/>
    <row r="15322" s="160" customFormat="1" x14ac:dyDescent="0.3"/>
    <row r="15323" s="160" customFormat="1" x14ac:dyDescent="0.3"/>
    <row r="15324" s="160" customFormat="1" x14ac:dyDescent="0.3"/>
    <row r="15325" s="160" customFormat="1" x14ac:dyDescent="0.3"/>
    <row r="15326" s="160" customFormat="1" x14ac:dyDescent="0.3"/>
    <row r="15327" s="160" customFormat="1" x14ac:dyDescent="0.3"/>
    <row r="15328" s="160" customFormat="1" x14ac:dyDescent="0.3"/>
    <row r="15329" s="160" customFormat="1" x14ac:dyDescent="0.3"/>
    <row r="15330" s="160" customFormat="1" x14ac:dyDescent="0.3"/>
    <row r="15331" s="160" customFormat="1" x14ac:dyDescent="0.3"/>
    <row r="15332" s="160" customFormat="1" x14ac:dyDescent="0.3"/>
    <row r="15333" s="160" customFormat="1" x14ac:dyDescent="0.3"/>
    <row r="15334" s="160" customFormat="1" x14ac:dyDescent="0.3"/>
    <row r="15335" s="160" customFormat="1" x14ac:dyDescent="0.3"/>
    <row r="15336" s="160" customFormat="1" x14ac:dyDescent="0.3"/>
    <row r="15337" s="160" customFormat="1" x14ac:dyDescent="0.3"/>
    <row r="15338" s="160" customFormat="1" x14ac:dyDescent="0.3"/>
    <row r="15339" s="160" customFormat="1" x14ac:dyDescent="0.3"/>
    <row r="15340" s="160" customFormat="1" x14ac:dyDescent="0.3"/>
    <row r="15341" s="160" customFormat="1" x14ac:dyDescent="0.3"/>
    <row r="15342" s="160" customFormat="1" x14ac:dyDescent="0.3"/>
    <row r="15343" s="160" customFormat="1" x14ac:dyDescent="0.3"/>
    <row r="15344" s="160" customFormat="1" x14ac:dyDescent="0.3"/>
    <row r="15345" s="160" customFormat="1" x14ac:dyDescent="0.3"/>
    <row r="15346" s="160" customFormat="1" x14ac:dyDescent="0.3"/>
    <row r="15347" s="160" customFormat="1" x14ac:dyDescent="0.3"/>
    <row r="15348" s="160" customFormat="1" x14ac:dyDescent="0.3"/>
    <row r="15349" s="160" customFormat="1" x14ac:dyDescent="0.3"/>
    <row r="15350" s="160" customFormat="1" x14ac:dyDescent="0.3"/>
    <row r="15351" s="160" customFormat="1" x14ac:dyDescent="0.3"/>
    <row r="15352" s="160" customFormat="1" x14ac:dyDescent="0.3"/>
    <row r="15353" s="160" customFormat="1" x14ac:dyDescent="0.3"/>
    <row r="15354" s="160" customFormat="1" x14ac:dyDescent="0.3"/>
    <row r="15355" s="160" customFormat="1" x14ac:dyDescent="0.3"/>
    <row r="15356" s="160" customFormat="1" x14ac:dyDescent="0.3"/>
    <row r="15357" s="160" customFormat="1" x14ac:dyDescent="0.3"/>
    <row r="15358" s="160" customFormat="1" x14ac:dyDescent="0.3"/>
    <row r="15359" s="160" customFormat="1" x14ac:dyDescent="0.3"/>
    <row r="15360" s="160" customFormat="1" x14ac:dyDescent="0.3"/>
    <row r="15361" s="160" customFormat="1" x14ac:dyDescent="0.3"/>
    <row r="15362" s="160" customFormat="1" x14ac:dyDescent="0.3"/>
    <row r="15363" s="160" customFormat="1" x14ac:dyDescent="0.3"/>
    <row r="15364" s="160" customFormat="1" x14ac:dyDescent="0.3"/>
    <row r="15365" s="160" customFormat="1" x14ac:dyDescent="0.3"/>
    <row r="15366" s="160" customFormat="1" x14ac:dyDescent="0.3"/>
    <row r="15367" s="160" customFormat="1" x14ac:dyDescent="0.3"/>
    <row r="15368" s="160" customFormat="1" x14ac:dyDescent="0.3"/>
    <row r="15369" s="160" customFormat="1" x14ac:dyDescent="0.3"/>
    <row r="15370" s="160" customFormat="1" x14ac:dyDescent="0.3"/>
    <row r="15371" s="160" customFormat="1" x14ac:dyDescent="0.3"/>
    <row r="15372" s="160" customFormat="1" x14ac:dyDescent="0.3"/>
    <row r="15373" s="160" customFormat="1" x14ac:dyDescent="0.3"/>
    <row r="15374" s="160" customFormat="1" x14ac:dyDescent="0.3"/>
    <row r="15375" s="160" customFormat="1" x14ac:dyDescent="0.3"/>
    <row r="15376" s="160" customFormat="1" x14ac:dyDescent="0.3"/>
    <row r="15377" s="160" customFormat="1" x14ac:dyDescent="0.3"/>
    <row r="15378" s="160" customFormat="1" x14ac:dyDescent="0.3"/>
    <row r="15379" s="160" customFormat="1" x14ac:dyDescent="0.3"/>
    <row r="15380" s="160" customFormat="1" x14ac:dyDescent="0.3"/>
    <row r="15381" s="160" customFormat="1" x14ac:dyDescent="0.3"/>
    <row r="15382" s="160" customFormat="1" x14ac:dyDescent="0.3"/>
    <row r="15383" s="160" customFormat="1" x14ac:dyDescent="0.3"/>
    <row r="15384" s="160" customFormat="1" x14ac:dyDescent="0.3"/>
    <row r="15385" s="160" customFormat="1" x14ac:dyDescent="0.3"/>
    <row r="15386" s="160" customFormat="1" x14ac:dyDescent="0.3"/>
    <row r="15387" s="160" customFormat="1" x14ac:dyDescent="0.3"/>
    <row r="15388" s="160" customFormat="1" x14ac:dyDescent="0.3"/>
    <row r="15389" s="160" customFormat="1" x14ac:dyDescent="0.3"/>
    <row r="15390" s="160" customFormat="1" x14ac:dyDescent="0.3"/>
    <row r="15391" s="160" customFormat="1" x14ac:dyDescent="0.3"/>
    <row r="15392" s="160" customFormat="1" x14ac:dyDescent="0.3"/>
    <row r="15393" s="160" customFormat="1" x14ac:dyDescent="0.3"/>
    <row r="15394" s="160" customFormat="1" x14ac:dyDescent="0.3"/>
    <row r="15395" s="160" customFormat="1" x14ac:dyDescent="0.3"/>
    <row r="15396" s="160" customFormat="1" x14ac:dyDescent="0.3"/>
    <row r="15397" s="160" customFormat="1" x14ac:dyDescent="0.3"/>
    <row r="15398" s="160" customFormat="1" x14ac:dyDescent="0.3"/>
    <row r="15399" s="160" customFormat="1" x14ac:dyDescent="0.3"/>
    <row r="15400" s="160" customFormat="1" x14ac:dyDescent="0.3"/>
    <row r="15401" s="160" customFormat="1" x14ac:dyDescent="0.3"/>
    <row r="15402" s="160" customFormat="1" x14ac:dyDescent="0.3"/>
    <row r="15403" s="160" customFormat="1" x14ac:dyDescent="0.3"/>
    <row r="15404" s="160" customFormat="1" x14ac:dyDescent="0.3"/>
    <row r="15405" s="160" customFormat="1" x14ac:dyDescent="0.3"/>
    <row r="15406" s="160" customFormat="1" x14ac:dyDescent="0.3"/>
    <row r="15407" s="160" customFormat="1" x14ac:dyDescent="0.3"/>
    <row r="15408" s="160" customFormat="1" x14ac:dyDescent="0.3"/>
    <row r="15409" s="160" customFormat="1" x14ac:dyDescent="0.3"/>
    <row r="15410" s="160" customFormat="1" x14ac:dyDescent="0.3"/>
    <row r="15411" s="160" customFormat="1" x14ac:dyDescent="0.3"/>
    <row r="15412" s="160" customFormat="1" x14ac:dyDescent="0.3"/>
    <row r="15413" s="160" customFormat="1" x14ac:dyDescent="0.3"/>
    <row r="15414" s="160" customFormat="1" x14ac:dyDescent="0.3"/>
    <row r="15415" s="160" customFormat="1" x14ac:dyDescent="0.3"/>
    <row r="15416" s="160" customFormat="1" x14ac:dyDescent="0.3"/>
    <row r="15417" s="160" customFormat="1" x14ac:dyDescent="0.3"/>
    <row r="15418" s="160" customFormat="1" x14ac:dyDescent="0.3"/>
    <row r="15419" s="160" customFormat="1" x14ac:dyDescent="0.3"/>
    <row r="15420" s="160" customFormat="1" x14ac:dyDescent="0.3"/>
    <row r="15421" s="160" customFormat="1" x14ac:dyDescent="0.3"/>
    <row r="15422" s="160" customFormat="1" x14ac:dyDescent="0.3"/>
    <row r="15423" s="160" customFormat="1" x14ac:dyDescent="0.3"/>
    <row r="15424" s="160" customFormat="1" x14ac:dyDescent="0.3"/>
    <row r="15425" s="160" customFormat="1" x14ac:dyDescent="0.3"/>
    <row r="15426" s="160" customFormat="1" x14ac:dyDescent="0.3"/>
    <row r="15427" s="160" customFormat="1" x14ac:dyDescent="0.3"/>
    <row r="15428" s="160" customFormat="1" x14ac:dyDescent="0.3"/>
    <row r="15429" s="160" customFormat="1" x14ac:dyDescent="0.3"/>
    <row r="15430" s="160" customFormat="1" x14ac:dyDescent="0.3"/>
    <row r="15431" s="160" customFormat="1" x14ac:dyDescent="0.3"/>
    <row r="15432" s="160" customFormat="1" x14ac:dyDescent="0.3"/>
    <row r="15433" s="160" customFormat="1" x14ac:dyDescent="0.3"/>
    <row r="15434" s="160" customFormat="1" x14ac:dyDescent="0.3"/>
    <row r="15435" s="160" customFormat="1" x14ac:dyDescent="0.3"/>
    <row r="15436" s="160" customFormat="1" x14ac:dyDescent="0.3"/>
    <row r="15437" s="160" customFormat="1" x14ac:dyDescent="0.3"/>
    <row r="15438" s="160" customFormat="1" x14ac:dyDescent="0.3"/>
    <row r="15439" s="160" customFormat="1" x14ac:dyDescent="0.3"/>
    <row r="15440" s="160" customFormat="1" x14ac:dyDescent="0.3"/>
    <row r="15441" s="160" customFormat="1" x14ac:dyDescent="0.3"/>
    <row r="15442" s="160" customFormat="1" x14ac:dyDescent="0.3"/>
    <row r="15443" s="160" customFormat="1" x14ac:dyDescent="0.3"/>
    <row r="15444" s="160" customFormat="1" x14ac:dyDescent="0.3"/>
    <row r="15445" s="160" customFormat="1" x14ac:dyDescent="0.3"/>
    <row r="15446" s="160" customFormat="1" x14ac:dyDescent="0.3"/>
    <row r="15447" s="160" customFormat="1" x14ac:dyDescent="0.3"/>
    <row r="15448" s="160" customFormat="1" x14ac:dyDescent="0.3"/>
    <row r="15449" s="160" customFormat="1" x14ac:dyDescent="0.3"/>
    <row r="15450" s="160" customFormat="1" x14ac:dyDescent="0.3"/>
    <row r="15451" s="160" customFormat="1" x14ac:dyDescent="0.3"/>
    <row r="15452" s="160" customFormat="1" x14ac:dyDescent="0.3"/>
    <row r="15453" s="160" customFormat="1" x14ac:dyDescent="0.3"/>
    <row r="15454" s="160" customFormat="1" x14ac:dyDescent="0.3"/>
    <row r="15455" s="160" customFormat="1" x14ac:dyDescent="0.3"/>
    <row r="15456" s="160" customFormat="1" x14ac:dyDescent="0.3"/>
    <row r="15457" s="160" customFormat="1" x14ac:dyDescent="0.3"/>
    <row r="15458" s="160" customFormat="1" x14ac:dyDescent="0.3"/>
    <row r="15459" s="160" customFormat="1" x14ac:dyDescent="0.3"/>
    <row r="15460" s="160" customFormat="1" x14ac:dyDescent="0.3"/>
    <row r="15461" s="160" customFormat="1" x14ac:dyDescent="0.3"/>
    <row r="15462" s="160" customFormat="1" x14ac:dyDescent="0.3"/>
    <row r="15463" s="160" customFormat="1" x14ac:dyDescent="0.3"/>
    <row r="15464" s="160" customFormat="1" x14ac:dyDescent="0.3"/>
    <row r="15465" s="160" customFormat="1" x14ac:dyDescent="0.3"/>
    <row r="15466" s="160" customFormat="1" x14ac:dyDescent="0.3"/>
    <row r="15467" s="160" customFormat="1" x14ac:dyDescent="0.3"/>
    <row r="15468" s="160" customFormat="1" x14ac:dyDescent="0.3"/>
    <row r="15469" s="160" customFormat="1" x14ac:dyDescent="0.3"/>
    <row r="15470" s="160" customFormat="1" x14ac:dyDescent="0.3"/>
    <row r="15471" s="160" customFormat="1" x14ac:dyDescent="0.3"/>
    <row r="15472" s="160" customFormat="1" x14ac:dyDescent="0.3"/>
    <row r="15473" s="160" customFormat="1" x14ac:dyDescent="0.3"/>
    <row r="15474" s="160" customFormat="1" x14ac:dyDescent="0.3"/>
    <row r="15475" s="160" customFormat="1" x14ac:dyDescent="0.3"/>
    <row r="15476" s="160" customFormat="1" x14ac:dyDescent="0.3"/>
    <row r="15477" s="160" customFormat="1" x14ac:dyDescent="0.3"/>
    <row r="15478" s="160" customFormat="1" x14ac:dyDescent="0.3"/>
    <row r="15479" s="160" customFormat="1" x14ac:dyDescent="0.3"/>
    <row r="15480" s="160" customFormat="1" x14ac:dyDescent="0.3"/>
    <row r="15481" s="160" customFormat="1" x14ac:dyDescent="0.3"/>
    <row r="15482" s="160" customFormat="1" x14ac:dyDescent="0.3"/>
    <row r="15483" s="160" customFormat="1" x14ac:dyDescent="0.3"/>
    <row r="15484" s="160" customFormat="1" x14ac:dyDescent="0.3"/>
    <row r="15485" s="160" customFormat="1" x14ac:dyDescent="0.3"/>
    <row r="15486" s="160" customFormat="1" x14ac:dyDescent="0.3"/>
    <row r="15487" s="160" customFormat="1" x14ac:dyDescent="0.3"/>
    <row r="15488" s="160" customFormat="1" x14ac:dyDescent="0.3"/>
    <row r="15489" s="160" customFormat="1" x14ac:dyDescent="0.3"/>
    <row r="15490" s="160" customFormat="1" x14ac:dyDescent="0.3"/>
    <row r="15491" s="160" customFormat="1" x14ac:dyDescent="0.3"/>
    <row r="15492" s="160" customFormat="1" x14ac:dyDescent="0.3"/>
    <row r="15493" s="160" customFormat="1" x14ac:dyDescent="0.3"/>
    <row r="15494" s="160" customFormat="1" x14ac:dyDescent="0.3"/>
    <row r="15495" s="160" customFormat="1" x14ac:dyDescent="0.3"/>
    <row r="15496" s="160" customFormat="1" x14ac:dyDescent="0.3"/>
    <row r="15497" s="160" customFormat="1" x14ac:dyDescent="0.3"/>
    <row r="15498" s="160" customFormat="1" x14ac:dyDescent="0.3"/>
    <row r="15499" s="160" customFormat="1" x14ac:dyDescent="0.3"/>
    <row r="15500" s="160" customFormat="1" x14ac:dyDescent="0.3"/>
    <row r="15501" s="160" customFormat="1" x14ac:dyDescent="0.3"/>
    <row r="15502" s="160" customFormat="1" x14ac:dyDescent="0.3"/>
    <row r="15503" s="160" customFormat="1" x14ac:dyDescent="0.3"/>
    <row r="15504" s="160" customFormat="1" x14ac:dyDescent="0.3"/>
    <row r="15505" s="160" customFormat="1" x14ac:dyDescent="0.3"/>
    <row r="15506" s="160" customFormat="1" x14ac:dyDescent="0.3"/>
    <row r="15507" s="160" customFormat="1" x14ac:dyDescent="0.3"/>
    <row r="15508" s="160" customFormat="1" x14ac:dyDescent="0.3"/>
    <row r="15509" s="160" customFormat="1" x14ac:dyDescent="0.3"/>
    <row r="15510" s="160" customFormat="1" x14ac:dyDescent="0.3"/>
    <row r="15511" s="160" customFormat="1" x14ac:dyDescent="0.3"/>
    <row r="15512" s="160" customFormat="1" x14ac:dyDescent="0.3"/>
    <row r="15513" s="160" customFormat="1" x14ac:dyDescent="0.3"/>
    <row r="15514" s="160" customFormat="1" x14ac:dyDescent="0.3"/>
    <row r="15515" s="160" customFormat="1" x14ac:dyDescent="0.3"/>
    <row r="15516" s="160" customFormat="1" x14ac:dyDescent="0.3"/>
    <row r="15517" s="160" customFormat="1" x14ac:dyDescent="0.3"/>
    <row r="15518" s="160" customFormat="1" x14ac:dyDescent="0.3"/>
    <row r="15519" s="160" customFormat="1" x14ac:dyDescent="0.3"/>
    <row r="15520" s="160" customFormat="1" x14ac:dyDescent="0.3"/>
    <row r="15521" s="160" customFormat="1" x14ac:dyDescent="0.3"/>
    <row r="15522" s="160" customFormat="1" x14ac:dyDescent="0.3"/>
    <row r="15523" s="160" customFormat="1" x14ac:dyDescent="0.3"/>
    <row r="15524" s="160" customFormat="1" x14ac:dyDescent="0.3"/>
    <row r="15525" s="160" customFormat="1" x14ac:dyDescent="0.3"/>
    <row r="15526" s="160" customFormat="1" x14ac:dyDescent="0.3"/>
    <row r="15527" s="160" customFormat="1" x14ac:dyDescent="0.3"/>
    <row r="15528" s="160" customFormat="1" x14ac:dyDescent="0.3"/>
    <row r="15529" s="160" customFormat="1" x14ac:dyDescent="0.3"/>
    <row r="15530" s="160" customFormat="1" x14ac:dyDescent="0.3"/>
    <row r="15531" s="160" customFormat="1" x14ac:dyDescent="0.3"/>
    <row r="15532" s="160" customFormat="1" x14ac:dyDescent="0.3"/>
    <row r="15533" s="160" customFormat="1" x14ac:dyDescent="0.3"/>
    <row r="15534" s="160" customFormat="1" x14ac:dyDescent="0.3"/>
    <row r="15535" s="160" customFormat="1" x14ac:dyDescent="0.3"/>
    <row r="15536" s="160" customFormat="1" x14ac:dyDescent="0.3"/>
    <row r="15537" s="160" customFormat="1" x14ac:dyDescent="0.3"/>
    <row r="15538" s="160" customFormat="1" x14ac:dyDescent="0.3"/>
    <row r="15539" s="160" customFormat="1" x14ac:dyDescent="0.3"/>
    <row r="15540" s="160" customFormat="1" x14ac:dyDescent="0.3"/>
    <row r="15541" s="160" customFormat="1" x14ac:dyDescent="0.3"/>
    <row r="15542" s="160" customFormat="1" x14ac:dyDescent="0.3"/>
    <row r="15543" s="160" customFormat="1" x14ac:dyDescent="0.3"/>
    <row r="15544" s="160" customFormat="1" x14ac:dyDescent="0.3"/>
    <row r="15545" s="160" customFormat="1" x14ac:dyDescent="0.3"/>
    <row r="15546" s="160" customFormat="1" x14ac:dyDescent="0.3"/>
    <row r="15547" s="160" customFormat="1" x14ac:dyDescent="0.3"/>
    <row r="15548" s="160" customFormat="1" x14ac:dyDescent="0.3"/>
    <row r="15549" s="160" customFormat="1" x14ac:dyDescent="0.3"/>
    <row r="15550" s="160" customFormat="1" x14ac:dyDescent="0.3"/>
    <row r="15551" s="160" customFormat="1" x14ac:dyDescent="0.3"/>
    <row r="15552" s="160" customFormat="1" x14ac:dyDescent="0.3"/>
    <row r="15553" s="160" customFormat="1" x14ac:dyDescent="0.3"/>
    <row r="15554" s="160" customFormat="1" x14ac:dyDescent="0.3"/>
    <row r="15555" s="160" customFormat="1" x14ac:dyDescent="0.3"/>
    <row r="15556" s="160" customFormat="1" x14ac:dyDescent="0.3"/>
    <row r="15557" s="160" customFormat="1" x14ac:dyDescent="0.3"/>
    <row r="15558" s="160" customFormat="1" x14ac:dyDescent="0.3"/>
    <row r="15559" s="160" customFormat="1" x14ac:dyDescent="0.3"/>
    <row r="15560" s="160" customFormat="1" x14ac:dyDescent="0.3"/>
    <row r="15561" s="160" customFormat="1" x14ac:dyDescent="0.3"/>
    <row r="15562" s="160" customFormat="1" x14ac:dyDescent="0.3"/>
    <row r="15563" s="160" customFormat="1" x14ac:dyDescent="0.3"/>
    <row r="15564" s="160" customFormat="1" x14ac:dyDescent="0.3"/>
    <row r="15565" s="160" customFormat="1" x14ac:dyDescent="0.3"/>
    <row r="15566" s="160" customFormat="1" x14ac:dyDescent="0.3"/>
    <row r="15567" s="160" customFormat="1" x14ac:dyDescent="0.3"/>
    <row r="15568" s="160" customFormat="1" x14ac:dyDescent="0.3"/>
    <row r="15569" s="160" customFormat="1" x14ac:dyDescent="0.3"/>
    <row r="15570" s="160" customFormat="1" x14ac:dyDescent="0.3"/>
    <row r="15571" s="160" customFormat="1" x14ac:dyDescent="0.3"/>
    <row r="15572" s="160" customFormat="1" x14ac:dyDescent="0.3"/>
    <row r="15573" s="160" customFormat="1" x14ac:dyDescent="0.3"/>
    <row r="15574" s="160" customFormat="1" x14ac:dyDescent="0.3"/>
    <row r="15575" s="160" customFormat="1" x14ac:dyDescent="0.3"/>
    <row r="15576" s="160" customFormat="1" x14ac:dyDescent="0.3"/>
    <row r="15577" s="160" customFormat="1" x14ac:dyDescent="0.3"/>
    <row r="15578" s="160" customFormat="1" x14ac:dyDescent="0.3"/>
    <row r="15579" s="160" customFormat="1" x14ac:dyDescent="0.3"/>
    <row r="15580" s="160" customFormat="1" x14ac:dyDescent="0.3"/>
    <row r="15581" s="160" customFormat="1" x14ac:dyDescent="0.3"/>
    <row r="15582" s="160" customFormat="1" x14ac:dyDescent="0.3"/>
    <row r="15583" s="160" customFormat="1" x14ac:dyDescent="0.3"/>
    <row r="15584" s="160" customFormat="1" x14ac:dyDescent="0.3"/>
    <row r="15585" s="160" customFormat="1" x14ac:dyDescent="0.3"/>
    <row r="15586" s="160" customFormat="1" x14ac:dyDescent="0.3"/>
    <row r="15587" s="160" customFormat="1" x14ac:dyDescent="0.3"/>
    <row r="15588" s="160" customFormat="1" x14ac:dyDescent="0.3"/>
    <row r="15589" s="160" customFormat="1" x14ac:dyDescent="0.3"/>
    <row r="15590" s="160" customFormat="1" x14ac:dyDescent="0.3"/>
    <row r="15591" s="160" customFormat="1" x14ac:dyDescent="0.3"/>
    <row r="15592" s="160" customFormat="1" x14ac:dyDescent="0.3"/>
    <row r="15593" s="160" customFormat="1" x14ac:dyDescent="0.3"/>
    <row r="15594" s="160" customFormat="1" x14ac:dyDescent="0.3"/>
    <row r="15595" s="160" customFormat="1" x14ac:dyDescent="0.3"/>
    <row r="15596" s="160" customFormat="1" x14ac:dyDescent="0.3"/>
    <row r="15597" s="160" customFormat="1" x14ac:dyDescent="0.3"/>
    <row r="15598" s="160" customFormat="1" x14ac:dyDescent="0.3"/>
    <row r="15599" s="160" customFormat="1" x14ac:dyDescent="0.3"/>
    <row r="15600" s="160" customFormat="1" x14ac:dyDescent="0.3"/>
    <row r="15601" s="160" customFormat="1" x14ac:dyDescent="0.3"/>
    <row r="15602" s="160" customFormat="1" x14ac:dyDescent="0.3"/>
    <row r="15603" s="160" customFormat="1" x14ac:dyDescent="0.3"/>
    <row r="15604" s="160" customFormat="1" x14ac:dyDescent="0.3"/>
    <row r="15605" s="160" customFormat="1" x14ac:dyDescent="0.3"/>
    <row r="15606" s="160" customFormat="1" x14ac:dyDescent="0.3"/>
    <row r="15607" s="160" customFormat="1" x14ac:dyDescent="0.3"/>
    <row r="15608" s="160" customFormat="1" x14ac:dyDescent="0.3"/>
    <row r="15609" s="160" customFormat="1" x14ac:dyDescent="0.3"/>
    <row r="15610" s="160" customFormat="1" x14ac:dyDescent="0.3"/>
    <row r="15611" s="160" customFormat="1" x14ac:dyDescent="0.3"/>
    <row r="15612" s="160" customFormat="1" x14ac:dyDescent="0.3"/>
    <row r="15613" s="160" customFormat="1" x14ac:dyDescent="0.3"/>
    <row r="15614" s="160" customFormat="1" x14ac:dyDescent="0.3"/>
    <row r="15615" s="160" customFormat="1" x14ac:dyDescent="0.3"/>
    <row r="15616" s="160" customFormat="1" x14ac:dyDescent="0.3"/>
    <row r="15617" s="160" customFormat="1" x14ac:dyDescent="0.3"/>
    <row r="15618" s="160" customFormat="1" x14ac:dyDescent="0.3"/>
    <row r="15619" s="160" customFormat="1" x14ac:dyDescent="0.3"/>
    <row r="15620" s="160" customFormat="1" x14ac:dyDescent="0.3"/>
    <row r="15621" s="160" customFormat="1" x14ac:dyDescent="0.3"/>
    <row r="15622" s="160" customFormat="1" x14ac:dyDescent="0.3"/>
    <row r="15623" s="160" customFormat="1" x14ac:dyDescent="0.3"/>
    <row r="15624" s="160" customFormat="1" x14ac:dyDescent="0.3"/>
    <row r="15625" s="160" customFormat="1" x14ac:dyDescent="0.3"/>
    <row r="15626" s="160" customFormat="1" x14ac:dyDescent="0.3"/>
    <row r="15627" s="160" customFormat="1" x14ac:dyDescent="0.3"/>
    <row r="15628" s="160" customFormat="1" x14ac:dyDescent="0.3"/>
    <row r="15629" s="160" customFormat="1" x14ac:dyDescent="0.3"/>
    <row r="15630" s="160" customFormat="1" x14ac:dyDescent="0.3"/>
    <row r="15631" s="160" customFormat="1" x14ac:dyDescent="0.3"/>
    <row r="15632" s="160" customFormat="1" x14ac:dyDescent="0.3"/>
    <row r="15633" s="160" customFormat="1" x14ac:dyDescent="0.3"/>
    <row r="15634" s="160" customFormat="1" x14ac:dyDescent="0.3"/>
    <row r="15635" s="160" customFormat="1" x14ac:dyDescent="0.3"/>
    <row r="15636" s="160" customFormat="1" x14ac:dyDescent="0.3"/>
    <row r="15637" s="160" customFormat="1" x14ac:dyDescent="0.3"/>
    <row r="15638" s="160" customFormat="1" x14ac:dyDescent="0.3"/>
    <row r="15639" s="160" customFormat="1" x14ac:dyDescent="0.3"/>
    <row r="15640" s="160" customFormat="1" x14ac:dyDescent="0.3"/>
    <row r="15641" s="160" customFormat="1" x14ac:dyDescent="0.3"/>
    <row r="15642" s="160" customFormat="1" x14ac:dyDescent="0.3"/>
    <row r="15643" s="160" customFormat="1" x14ac:dyDescent="0.3"/>
    <row r="15644" s="160" customFormat="1" x14ac:dyDescent="0.3"/>
    <row r="15645" s="160" customFormat="1" x14ac:dyDescent="0.3"/>
    <row r="15646" s="160" customFormat="1" x14ac:dyDescent="0.3"/>
    <row r="15647" s="160" customFormat="1" x14ac:dyDescent="0.3"/>
    <row r="15648" s="160" customFormat="1" x14ac:dyDescent="0.3"/>
    <row r="15649" s="160" customFormat="1" x14ac:dyDescent="0.3"/>
    <row r="15650" s="160" customFormat="1" x14ac:dyDescent="0.3"/>
    <row r="15651" s="160" customFormat="1" x14ac:dyDescent="0.3"/>
    <row r="15652" s="160" customFormat="1" x14ac:dyDescent="0.3"/>
    <row r="15653" s="160" customFormat="1" x14ac:dyDescent="0.3"/>
    <row r="15654" s="160" customFormat="1" x14ac:dyDescent="0.3"/>
    <row r="15655" s="160" customFormat="1" x14ac:dyDescent="0.3"/>
    <row r="15656" s="160" customFormat="1" x14ac:dyDescent="0.3"/>
    <row r="15657" s="160" customFormat="1" x14ac:dyDescent="0.3"/>
    <row r="15658" s="160" customFormat="1" x14ac:dyDescent="0.3"/>
    <row r="15659" s="160" customFormat="1" x14ac:dyDescent="0.3"/>
    <row r="15660" s="160" customFormat="1" x14ac:dyDescent="0.3"/>
    <row r="15661" s="160" customFormat="1" x14ac:dyDescent="0.3"/>
    <row r="15662" s="160" customFormat="1" x14ac:dyDescent="0.3"/>
    <row r="15663" s="160" customFormat="1" x14ac:dyDescent="0.3"/>
    <row r="15664" s="160" customFormat="1" x14ac:dyDescent="0.3"/>
    <row r="15665" s="160" customFormat="1" x14ac:dyDescent="0.3"/>
    <row r="15666" s="160" customFormat="1" x14ac:dyDescent="0.3"/>
    <row r="15667" s="160" customFormat="1" x14ac:dyDescent="0.3"/>
    <row r="15668" s="160" customFormat="1" x14ac:dyDescent="0.3"/>
    <row r="15669" s="160" customFormat="1" x14ac:dyDescent="0.3"/>
    <row r="15670" s="160" customFormat="1" x14ac:dyDescent="0.3"/>
    <row r="15671" s="160" customFormat="1" x14ac:dyDescent="0.3"/>
    <row r="15672" s="160" customFormat="1" x14ac:dyDescent="0.3"/>
    <row r="15673" s="160" customFormat="1" x14ac:dyDescent="0.3"/>
    <row r="15674" s="160" customFormat="1" x14ac:dyDescent="0.3"/>
    <row r="15675" s="160" customFormat="1" x14ac:dyDescent="0.3"/>
    <row r="15676" s="160" customFormat="1" x14ac:dyDescent="0.3"/>
    <row r="15677" s="160" customFormat="1" x14ac:dyDescent="0.3"/>
    <row r="15678" s="160" customFormat="1" x14ac:dyDescent="0.3"/>
    <row r="15679" s="160" customFormat="1" x14ac:dyDescent="0.3"/>
    <row r="15680" s="160" customFormat="1" x14ac:dyDescent="0.3"/>
    <row r="15681" s="160" customFormat="1" x14ac:dyDescent="0.3"/>
    <row r="15682" s="160" customFormat="1" x14ac:dyDescent="0.3"/>
    <row r="15683" s="160" customFormat="1" x14ac:dyDescent="0.3"/>
    <row r="15684" s="160" customFormat="1" x14ac:dyDescent="0.3"/>
    <row r="15685" s="160" customFormat="1" x14ac:dyDescent="0.3"/>
    <row r="15686" s="160" customFormat="1" x14ac:dyDescent="0.3"/>
    <row r="15687" s="160" customFormat="1" x14ac:dyDescent="0.3"/>
    <row r="15688" s="160" customFormat="1" x14ac:dyDescent="0.3"/>
    <row r="15689" s="160" customFormat="1" x14ac:dyDescent="0.3"/>
    <row r="15690" s="160" customFormat="1" x14ac:dyDescent="0.3"/>
    <row r="15691" s="160" customFormat="1" x14ac:dyDescent="0.3"/>
    <row r="15692" s="160" customFormat="1" x14ac:dyDescent="0.3"/>
    <row r="15693" s="160" customFormat="1" x14ac:dyDescent="0.3"/>
    <row r="15694" s="160" customFormat="1" x14ac:dyDescent="0.3"/>
    <row r="15695" s="160" customFormat="1" x14ac:dyDescent="0.3"/>
    <row r="15696" s="160" customFormat="1" x14ac:dyDescent="0.3"/>
    <row r="15697" s="160" customFormat="1" x14ac:dyDescent="0.3"/>
    <row r="15698" s="160" customFormat="1" x14ac:dyDescent="0.3"/>
    <row r="15699" s="160" customFormat="1" x14ac:dyDescent="0.3"/>
    <row r="15700" s="160" customFormat="1" x14ac:dyDescent="0.3"/>
    <row r="15701" s="160" customFormat="1" x14ac:dyDescent="0.3"/>
    <row r="15702" s="160" customFormat="1" x14ac:dyDescent="0.3"/>
    <row r="15703" s="160" customFormat="1" x14ac:dyDescent="0.3"/>
    <row r="15704" s="160" customFormat="1" x14ac:dyDescent="0.3"/>
    <row r="15705" s="160" customFormat="1" x14ac:dyDescent="0.3"/>
    <row r="15706" s="160" customFormat="1" x14ac:dyDescent="0.3"/>
    <row r="15707" s="160" customFormat="1" x14ac:dyDescent="0.3"/>
    <row r="15708" s="160" customFormat="1" x14ac:dyDescent="0.3"/>
    <row r="15709" s="160" customFormat="1" x14ac:dyDescent="0.3"/>
    <row r="15710" s="160" customFormat="1" x14ac:dyDescent="0.3"/>
    <row r="15711" s="160" customFormat="1" x14ac:dyDescent="0.3"/>
    <row r="15712" s="160" customFormat="1" x14ac:dyDescent="0.3"/>
    <row r="15713" s="160" customFormat="1" x14ac:dyDescent="0.3"/>
    <row r="15714" s="160" customFormat="1" x14ac:dyDescent="0.3"/>
    <row r="15715" s="160" customFormat="1" x14ac:dyDescent="0.3"/>
    <row r="15716" s="160" customFormat="1" x14ac:dyDescent="0.3"/>
    <row r="15717" s="160" customFormat="1" x14ac:dyDescent="0.3"/>
    <row r="15718" s="160" customFormat="1" x14ac:dyDescent="0.3"/>
    <row r="15719" s="160" customFormat="1" x14ac:dyDescent="0.3"/>
    <row r="15720" s="160" customFormat="1" x14ac:dyDescent="0.3"/>
    <row r="15721" s="160" customFormat="1" x14ac:dyDescent="0.3"/>
    <row r="15722" s="160" customFormat="1" x14ac:dyDescent="0.3"/>
    <row r="15723" s="160" customFormat="1" x14ac:dyDescent="0.3"/>
    <row r="15724" s="160" customFormat="1" x14ac:dyDescent="0.3"/>
    <row r="15725" s="160" customFormat="1" x14ac:dyDescent="0.3"/>
    <row r="15726" s="160" customFormat="1" x14ac:dyDescent="0.3"/>
    <row r="15727" s="160" customFormat="1" x14ac:dyDescent="0.3"/>
    <row r="15728" s="160" customFormat="1" x14ac:dyDescent="0.3"/>
    <row r="15729" s="160" customFormat="1" x14ac:dyDescent="0.3"/>
    <row r="15730" s="160" customFormat="1" x14ac:dyDescent="0.3"/>
    <row r="15731" s="160" customFormat="1" x14ac:dyDescent="0.3"/>
    <row r="15732" s="160" customFormat="1" x14ac:dyDescent="0.3"/>
    <row r="15733" s="160" customFormat="1" x14ac:dyDescent="0.3"/>
    <row r="15734" s="160" customFormat="1" x14ac:dyDescent="0.3"/>
    <row r="15735" s="160" customFormat="1" x14ac:dyDescent="0.3"/>
    <row r="15736" s="160" customFormat="1" x14ac:dyDescent="0.3"/>
    <row r="15737" s="160" customFormat="1" x14ac:dyDescent="0.3"/>
    <row r="15738" s="160" customFormat="1" x14ac:dyDescent="0.3"/>
    <row r="15739" s="160" customFormat="1" x14ac:dyDescent="0.3"/>
    <row r="15740" s="160" customFormat="1" x14ac:dyDescent="0.3"/>
    <row r="15741" s="160" customFormat="1" x14ac:dyDescent="0.3"/>
    <row r="15742" s="160" customFormat="1" x14ac:dyDescent="0.3"/>
    <row r="15743" s="160" customFormat="1" x14ac:dyDescent="0.3"/>
    <row r="15744" s="160" customFormat="1" x14ac:dyDescent="0.3"/>
    <row r="15745" s="160" customFormat="1" x14ac:dyDescent="0.3"/>
    <row r="15746" s="160" customFormat="1" x14ac:dyDescent="0.3"/>
    <row r="15747" s="160" customFormat="1" x14ac:dyDescent="0.3"/>
    <row r="15748" s="160" customFormat="1" x14ac:dyDescent="0.3"/>
    <row r="15749" s="160" customFormat="1" x14ac:dyDescent="0.3"/>
    <row r="15750" s="160" customFormat="1" x14ac:dyDescent="0.3"/>
    <row r="15751" s="160" customFormat="1" x14ac:dyDescent="0.3"/>
    <row r="15752" s="160" customFormat="1" x14ac:dyDescent="0.3"/>
    <row r="15753" s="160" customFormat="1" x14ac:dyDescent="0.3"/>
    <row r="15754" s="160" customFormat="1" x14ac:dyDescent="0.3"/>
    <row r="15755" s="160" customFormat="1" x14ac:dyDescent="0.3"/>
    <row r="15756" s="160" customFormat="1" x14ac:dyDescent="0.3"/>
    <row r="15757" s="160" customFormat="1" x14ac:dyDescent="0.3"/>
    <row r="15758" s="160" customFormat="1" x14ac:dyDescent="0.3"/>
    <row r="15759" s="160" customFormat="1" x14ac:dyDescent="0.3"/>
    <row r="15760" s="160" customFormat="1" x14ac:dyDescent="0.3"/>
    <row r="15761" s="160" customFormat="1" x14ac:dyDescent="0.3"/>
    <row r="15762" s="160" customFormat="1" x14ac:dyDescent="0.3"/>
    <row r="15763" s="160" customFormat="1" x14ac:dyDescent="0.3"/>
    <row r="15764" s="160" customFormat="1" x14ac:dyDescent="0.3"/>
    <row r="15765" s="160" customFormat="1" x14ac:dyDescent="0.3"/>
    <row r="15766" s="160" customFormat="1" x14ac:dyDescent="0.3"/>
    <row r="15767" s="160" customFormat="1" x14ac:dyDescent="0.3"/>
    <row r="15768" s="160" customFormat="1" x14ac:dyDescent="0.3"/>
    <row r="15769" s="160" customFormat="1" x14ac:dyDescent="0.3"/>
    <row r="15770" s="160" customFormat="1" x14ac:dyDescent="0.3"/>
    <row r="15771" s="160" customFormat="1" x14ac:dyDescent="0.3"/>
    <row r="15772" s="160" customFormat="1" x14ac:dyDescent="0.3"/>
    <row r="15773" s="160" customFormat="1" x14ac:dyDescent="0.3"/>
    <row r="15774" s="160" customFormat="1" x14ac:dyDescent="0.3"/>
    <row r="15775" s="160" customFormat="1" x14ac:dyDescent="0.3"/>
    <row r="15776" s="160" customFormat="1" x14ac:dyDescent="0.3"/>
    <row r="15777" s="160" customFormat="1" x14ac:dyDescent="0.3"/>
    <row r="15778" s="160" customFormat="1" x14ac:dyDescent="0.3"/>
    <row r="15779" s="160" customFormat="1" x14ac:dyDescent="0.3"/>
    <row r="15780" s="160" customFormat="1" x14ac:dyDescent="0.3"/>
    <row r="15781" s="160" customFormat="1" x14ac:dyDescent="0.3"/>
    <row r="15782" s="160" customFormat="1" x14ac:dyDescent="0.3"/>
    <row r="15783" s="160" customFormat="1" x14ac:dyDescent="0.3"/>
    <row r="15784" s="160" customFormat="1" x14ac:dyDescent="0.3"/>
    <row r="15785" s="160" customFormat="1" x14ac:dyDescent="0.3"/>
    <row r="15786" s="160" customFormat="1" x14ac:dyDescent="0.3"/>
    <row r="15787" s="160" customFormat="1" x14ac:dyDescent="0.3"/>
    <row r="15788" s="160" customFormat="1" x14ac:dyDescent="0.3"/>
    <row r="15789" s="160" customFormat="1" x14ac:dyDescent="0.3"/>
    <row r="15790" s="160" customFormat="1" x14ac:dyDescent="0.3"/>
    <row r="15791" s="160" customFormat="1" x14ac:dyDescent="0.3"/>
    <row r="15792" s="160" customFormat="1" x14ac:dyDescent="0.3"/>
    <row r="15793" s="160" customFormat="1" x14ac:dyDescent="0.3"/>
    <row r="15794" s="160" customFormat="1" x14ac:dyDescent="0.3"/>
    <row r="15795" s="160" customFormat="1" x14ac:dyDescent="0.3"/>
    <row r="15796" s="160" customFormat="1" x14ac:dyDescent="0.3"/>
    <row r="15797" s="160" customFormat="1" x14ac:dyDescent="0.3"/>
    <row r="15798" s="160" customFormat="1" x14ac:dyDescent="0.3"/>
    <row r="15799" s="160" customFormat="1" x14ac:dyDescent="0.3"/>
    <row r="15800" s="160" customFormat="1" x14ac:dyDescent="0.3"/>
    <row r="15801" s="160" customFormat="1" x14ac:dyDescent="0.3"/>
    <row r="15802" s="160" customFormat="1" x14ac:dyDescent="0.3"/>
    <row r="15803" s="160" customFormat="1" x14ac:dyDescent="0.3"/>
    <row r="15804" s="160" customFormat="1" x14ac:dyDescent="0.3"/>
    <row r="15805" s="160" customFormat="1" x14ac:dyDescent="0.3"/>
    <row r="15806" s="160" customFormat="1" x14ac:dyDescent="0.3"/>
    <row r="15807" s="160" customFormat="1" x14ac:dyDescent="0.3"/>
    <row r="15808" s="160" customFormat="1" x14ac:dyDescent="0.3"/>
    <row r="15809" s="160" customFormat="1" x14ac:dyDescent="0.3"/>
    <row r="15810" s="160" customFormat="1" x14ac:dyDescent="0.3"/>
    <row r="15811" s="160" customFormat="1" x14ac:dyDescent="0.3"/>
    <row r="15812" s="160" customFormat="1" x14ac:dyDescent="0.3"/>
    <row r="15813" s="160" customFormat="1" x14ac:dyDescent="0.3"/>
    <row r="15814" s="160" customFormat="1" x14ac:dyDescent="0.3"/>
    <row r="15815" s="160" customFormat="1" x14ac:dyDescent="0.3"/>
    <row r="15816" s="160" customFormat="1" x14ac:dyDescent="0.3"/>
    <row r="15817" s="160" customFormat="1" x14ac:dyDescent="0.3"/>
    <row r="15818" s="160" customFormat="1" x14ac:dyDescent="0.3"/>
    <row r="15819" s="160" customFormat="1" x14ac:dyDescent="0.3"/>
    <row r="15820" s="160" customFormat="1" x14ac:dyDescent="0.3"/>
    <row r="15821" s="160" customFormat="1" x14ac:dyDescent="0.3"/>
    <row r="15822" s="160" customFormat="1" x14ac:dyDescent="0.3"/>
    <row r="15823" s="160" customFormat="1" x14ac:dyDescent="0.3"/>
    <row r="15824" s="160" customFormat="1" x14ac:dyDescent="0.3"/>
    <row r="15825" s="160" customFormat="1" x14ac:dyDescent="0.3"/>
    <row r="15826" s="160" customFormat="1" x14ac:dyDescent="0.3"/>
    <row r="15827" s="160" customFormat="1" x14ac:dyDescent="0.3"/>
    <row r="15828" s="160" customFormat="1" x14ac:dyDescent="0.3"/>
    <row r="15829" s="160" customFormat="1" x14ac:dyDescent="0.3"/>
    <row r="15830" s="160" customFormat="1" x14ac:dyDescent="0.3"/>
    <row r="15831" s="160" customFormat="1" x14ac:dyDescent="0.3"/>
    <row r="15832" s="160" customFormat="1" x14ac:dyDescent="0.3"/>
    <row r="15833" s="160" customFormat="1" x14ac:dyDescent="0.3"/>
    <row r="15834" s="160" customFormat="1" x14ac:dyDescent="0.3"/>
    <row r="15835" s="160" customFormat="1" x14ac:dyDescent="0.3"/>
    <row r="15836" s="160" customFormat="1" x14ac:dyDescent="0.3"/>
    <row r="15837" s="160" customFormat="1" x14ac:dyDescent="0.3"/>
    <row r="15838" s="160" customFormat="1" x14ac:dyDescent="0.3"/>
    <row r="15839" s="160" customFormat="1" x14ac:dyDescent="0.3"/>
    <row r="15840" s="160" customFormat="1" x14ac:dyDescent="0.3"/>
    <row r="15841" s="160" customFormat="1" x14ac:dyDescent="0.3"/>
    <row r="15842" s="160" customFormat="1" x14ac:dyDescent="0.3"/>
    <row r="15843" s="160" customFormat="1" x14ac:dyDescent="0.3"/>
    <row r="15844" s="160" customFormat="1" x14ac:dyDescent="0.3"/>
    <row r="15845" s="160" customFormat="1" x14ac:dyDescent="0.3"/>
    <row r="15846" s="160" customFormat="1" x14ac:dyDescent="0.3"/>
    <row r="15847" s="160" customFormat="1" x14ac:dyDescent="0.3"/>
    <row r="15848" s="160" customFormat="1" x14ac:dyDescent="0.3"/>
    <row r="15849" s="160" customFormat="1" x14ac:dyDescent="0.3"/>
    <row r="15850" s="160" customFormat="1" x14ac:dyDescent="0.3"/>
    <row r="15851" s="160" customFormat="1" x14ac:dyDescent="0.3"/>
    <row r="15852" s="160" customFormat="1" x14ac:dyDescent="0.3"/>
    <row r="15853" s="160" customFormat="1" x14ac:dyDescent="0.3"/>
    <row r="15854" s="160" customFormat="1" x14ac:dyDescent="0.3"/>
    <row r="15855" s="160" customFormat="1" x14ac:dyDescent="0.3"/>
    <row r="15856" s="160" customFormat="1" x14ac:dyDescent="0.3"/>
    <row r="15857" s="160" customFormat="1" x14ac:dyDescent="0.3"/>
    <row r="15858" s="160" customFormat="1" x14ac:dyDescent="0.3"/>
    <row r="15859" s="160" customFormat="1" x14ac:dyDescent="0.3"/>
    <row r="15860" s="160" customFormat="1" x14ac:dyDescent="0.3"/>
    <row r="15861" s="160" customFormat="1" x14ac:dyDescent="0.3"/>
    <row r="15862" s="160" customFormat="1" x14ac:dyDescent="0.3"/>
    <row r="15863" s="160" customFormat="1" x14ac:dyDescent="0.3"/>
    <row r="15864" s="160" customFormat="1" x14ac:dyDescent="0.3"/>
    <row r="15865" s="160" customFormat="1" x14ac:dyDescent="0.3"/>
    <row r="15866" s="160" customFormat="1" x14ac:dyDescent="0.3"/>
    <row r="15867" s="160" customFormat="1" x14ac:dyDescent="0.3"/>
    <row r="15868" s="160" customFormat="1" x14ac:dyDescent="0.3"/>
    <row r="15869" s="160" customFormat="1" x14ac:dyDescent="0.3"/>
    <row r="15870" s="160" customFormat="1" x14ac:dyDescent="0.3"/>
    <row r="15871" s="160" customFormat="1" x14ac:dyDescent="0.3"/>
    <row r="15872" s="160" customFormat="1" x14ac:dyDescent="0.3"/>
    <row r="15873" s="160" customFormat="1" x14ac:dyDescent="0.3"/>
    <row r="15874" s="160" customFormat="1" x14ac:dyDescent="0.3"/>
    <row r="15875" s="160" customFormat="1" x14ac:dyDescent="0.3"/>
    <row r="15876" s="160" customFormat="1" x14ac:dyDescent="0.3"/>
    <row r="15877" s="160" customFormat="1" x14ac:dyDescent="0.3"/>
    <row r="15878" s="160" customFormat="1" x14ac:dyDescent="0.3"/>
    <row r="15879" s="160" customFormat="1" x14ac:dyDescent="0.3"/>
    <row r="15880" s="160" customFormat="1" x14ac:dyDescent="0.3"/>
    <row r="15881" s="160" customFormat="1" x14ac:dyDescent="0.3"/>
    <row r="15882" s="160" customFormat="1" x14ac:dyDescent="0.3"/>
    <row r="15883" s="160" customFormat="1" x14ac:dyDescent="0.3"/>
    <row r="15884" s="160" customFormat="1" x14ac:dyDescent="0.3"/>
    <row r="15885" s="160" customFormat="1" x14ac:dyDescent="0.3"/>
    <row r="15886" s="160" customFormat="1" x14ac:dyDescent="0.3"/>
    <row r="15887" s="160" customFormat="1" x14ac:dyDescent="0.3"/>
    <row r="15888" s="160" customFormat="1" x14ac:dyDescent="0.3"/>
    <row r="15889" s="160" customFormat="1" x14ac:dyDescent="0.3"/>
    <row r="15890" s="160" customFormat="1" x14ac:dyDescent="0.3"/>
    <row r="15891" s="160" customFormat="1" x14ac:dyDescent="0.3"/>
    <row r="15892" s="160" customFormat="1" x14ac:dyDescent="0.3"/>
    <row r="15893" s="160" customFormat="1" x14ac:dyDescent="0.3"/>
    <row r="15894" s="160" customFormat="1" x14ac:dyDescent="0.3"/>
    <row r="15895" s="160" customFormat="1" x14ac:dyDescent="0.3"/>
    <row r="15896" s="160" customFormat="1" x14ac:dyDescent="0.3"/>
    <row r="15897" s="160" customFormat="1" x14ac:dyDescent="0.3"/>
    <row r="15898" s="160" customFormat="1" x14ac:dyDescent="0.3"/>
    <row r="15899" s="160" customFormat="1" x14ac:dyDescent="0.3"/>
    <row r="15900" s="160" customFormat="1" x14ac:dyDescent="0.3"/>
    <row r="15901" s="160" customFormat="1" x14ac:dyDescent="0.3"/>
    <row r="15902" s="160" customFormat="1" x14ac:dyDescent="0.3"/>
    <row r="15903" s="160" customFormat="1" x14ac:dyDescent="0.3"/>
    <row r="15904" s="160" customFormat="1" x14ac:dyDescent="0.3"/>
    <row r="15905" s="160" customFormat="1" x14ac:dyDescent="0.3"/>
    <row r="15906" s="160" customFormat="1" x14ac:dyDescent="0.3"/>
    <row r="15907" s="160" customFormat="1" x14ac:dyDescent="0.3"/>
    <row r="15908" s="160" customFormat="1" x14ac:dyDescent="0.3"/>
    <row r="15909" s="160" customFormat="1" x14ac:dyDescent="0.3"/>
    <row r="15910" s="160" customFormat="1" x14ac:dyDescent="0.3"/>
    <row r="15911" s="160" customFormat="1" x14ac:dyDescent="0.3"/>
    <row r="15912" s="160" customFormat="1" x14ac:dyDescent="0.3"/>
    <row r="15913" s="160" customFormat="1" x14ac:dyDescent="0.3"/>
    <row r="15914" s="160" customFormat="1" x14ac:dyDescent="0.3"/>
    <row r="15915" s="160" customFormat="1" x14ac:dyDescent="0.3"/>
    <row r="15916" s="160" customFormat="1" x14ac:dyDescent="0.3"/>
    <row r="15917" s="160" customFormat="1" x14ac:dyDescent="0.3"/>
    <row r="15918" s="160" customFormat="1" x14ac:dyDescent="0.3"/>
    <row r="15919" s="160" customFormat="1" x14ac:dyDescent="0.3"/>
    <row r="15920" s="160" customFormat="1" x14ac:dyDescent="0.3"/>
    <row r="15921" s="160" customFormat="1" x14ac:dyDescent="0.3"/>
    <row r="15922" s="160" customFormat="1" x14ac:dyDescent="0.3"/>
    <row r="15923" s="160" customFormat="1" x14ac:dyDescent="0.3"/>
    <row r="15924" s="160" customFormat="1" x14ac:dyDescent="0.3"/>
    <row r="15925" s="160" customFormat="1" x14ac:dyDescent="0.3"/>
    <row r="15926" s="160" customFormat="1" x14ac:dyDescent="0.3"/>
    <row r="15927" s="160" customFormat="1" x14ac:dyDescent="0.3"/>
    <row r="15928" s="160" customFormat="1" x14ac:dyDescent="0.3"/>
    <row r="15929" s="160" customFormat="1" x14ac:dyDescent="0.3"/>
    <row r="15930" s="160" customFormat="1" x14ac:dyDescent="0.3"/>
    <row r="15931" s="160" customFormat="1" x14ac:dyDescent="0.3"/>
    <row r="15932" s="160" customFormat="1" x14ac:dyDescent="0.3"/>
    <row r="15933" s="160" customFormat="1" x14ac:dyDescent="0.3"/>
    <row r="15934" s="160" customFormat="1" x14ac:dyDescent="0.3"/>
    <row r="15935" s="160" customFormat="1" x14ac:dyDescent="0.3"/>
    <row r="15936" s="160" customFormat="1" x14ac:dyDescent="0.3"/>
    <row r="15937" s="160" customFormat="1" x14ac:dyDescent="0.3"/>
    <row r="15938" s="160" customFormat="1" x14ac:dyDescent="0.3"/>
    <row r="15939" s="160" customFormat="1" x14ac:dyDescent="0.3"/>
    <row r="15940" s="160" customFormat="1" x14ac:dyDescent="0.3"/>
    <row r="15941" s="160" customFormat="1" x14ac:dyDescent="0.3"/>
    <row r="15942" s="160" customFormat="1" x14ac:dyDescent="0.3"/>
    <row r="15943" s="160" customFormat="1" x14ac:dyDescent="0.3"/>
    <row r="15944" s="160" customFormat="1" x14ac:dyDescent="0.3"/>
    <row r="15945" s="160" customFormat="1" x14ac:dyDescent="0.3"/>
    <row r="15946" s="160" customFormat="1" x14ac:dyDescent="0.3"/>
    <row r="15947" s="160" customFormat="1" x14ac:dyDescent="0.3"/>
    <row r="15948" s="160" customFormat="1" x14ac:dyDescent="0.3"/>
    <row r="15949" s="160" customFormat="1" x14ac:dyDescent="0.3"/>
    <row r="15950" s="160" customFormat="1" x14ac:dyDescent="0.3"/>
    <row r="15951" s="160" customFormat="1" x14ac:dyDescent="0.3"/>
    <row r="15952" s="160" customFormat="1" x14ac:dyDescent="0.3"/>
    <row r="15953" s="160" customFormat="1" x14ac:dyDescent="0.3"/>
    <row r="15954" s="160" customFormat="1" x14ac:dyDescent="0.3"/>
    <row r="15955" s="160" customFormat="1" x14ac:dyDescent="0.3"/>
    <row r="15956" s="160" customFormat="1" x14ac:dyDescent="0.3"/>
    <row r="15957" s="160" customFormat="1" x14ac:dyDescent="0.3"/>
    <row r="15958" s="160" customFormat="1" x14ac:dyDescent="0.3"/>
    <row r="15959" s="160" customFormat="1" x14ac:dyDescent="0.3"/>
    <row r="15960" s="160" customFormat="1" x14ac:dyDescent="0.3"/>
    <row r="15961" s="160" customFormat="1" x14ac:dyDescent="0.3"/>
    <row r="15962" s="160" customFormat="1" x14ac:dyDescent="0.3"/>
    <row r="15963" s="160" customFormat="1" x14ac:dyDescent="0.3"/>
    <row r="15964" s="160" customFormat="1" x14ac:dyDescent="0.3"/>
    <row r="15965" s="160" customFormat="1" x14ac:dyDescent="0.3"/>
    <row r="15966" s="160" customFormat="1" x14ac:dyDescent="0.3"/>
    <row r="15967" s="160" customFormat="1" x14ac:dyDescent="0.3"/>
    <row r="15968" s="160" customFormat="1" x14ac:dyDescent="0.3"/>
    <row r="15969" s="160" customFormat="1" x14ac:dyDescent="0.3"/>
    <row r="15970" s="160" customFormat="1" x14ac:dyDescent="0.3"/>
    <row r="15971" s="160" customFormat="1" x14ac:dyDescent="0.3"/>
    <row r="15972" s="160" customFormat="1" x14ac:dyDescent="0.3"/>
    <row r="15973" s="160" customFormat="1" x14ac:dyDescent="0.3"/>
    <row r="15974" s="160" customFormat="1" x14ac:dyDescent="0.3"/>
    <row r="15975" s="160" customFormat="1" x14ac:dyDescent="0.3"/>
    <row r="15976" s="160" customFormat="1" x14ac:dyDescent="0.3"/>
    <row r="15977" s="160" customFormat="1" x14ac:dyDescent="0.3"/>
    <row r="15978" s="160" customFormat="1" x14ac:dyDescent="0.3"/>
    <row r="15979" s="160" customFormat="1" x14ac:dyDescent="0.3"/>
    <row r="15980" s="160" customFormat="1" x14ac:dyDescent="0.3"/>
    <row r="15981" s="160" customFormat="1" x14ac:dyDescent="0.3"/>
    <row r="15982" s="160" customFormat="1" x14ac:dyDescent="0.3"/>
    <row r="15983" s="160" customFormat="1" x14ac:dyDescent="0.3"/>
    <row r="15984" s="160" customFormat="1" x14ac:dyDescent="0.3"/>
    <row r="15985" s="160" customFormat="1" x14ac:dyDescent="0.3"/>
    <row r="15986" s="160" customFormat="1" x14ac:dyDescent="0.3"/>
    <row r="15987" s="160" customFormat="1" x14ac:dyDescent="0.3"/>
    <row r="15988" s="160" customFormat="1" x14ac:dyDescent="0.3"/>
    <row r="15989" s="160" customFormat="1" x14ac:dyDescent="0.3"/>
    <row r="15990" s="160" customFormat="1" x14ac:dyDescent="0.3"/>
    <row r="15991" s="160" customFormat="1" x14ac:dyDescent="0.3"/>
    <row r="15992" s="160" customFormat="1" x14ac:dyDescent="0.3"/>
    <row r="15993" s="160" customFormat="1" x14ac:dyDescent="0.3"/>
    <row r="15994" s="160" customFormat="1" x14ac:dyDescent="0.3"/>
    <row r="15995" s="160" customFormat="1" x14ac:dyDescent="0.3"/>
    <row r="15996" s="160" customFormat="1" x14ac:dyDescent="0.3"/>
    <row r="15997" s="160" customFormat="1" x14ac:dyDescent="0.3"/>
    <row r="15998" s="160" customFormat="1" x14ac:dyDescent="0.3"/>
    <row r="15999" s="160" customFormat="1" x14ac:dyDescent="0.3"/>
    <row r="16000" s="160" customFormat="1" x14ac:dyDescent="0.3"/>
    <row r="16001" s="160" customFormat="1" x14ac:dyDescent="0.3"/>
    <row r="16002" s="160" customFormat="1" x14ac:dyDescent="0.3"/>
    <row r="16003" s="160" customFormat="1" x14ac:dyDescent="0.3"/>
    <row r="16004" s="160" customFormat="1" x14ac:dyDescent="0.3"/>
    <row r="16005" s="160" customFormat="1" x14ac:dyDescent="0.3"/>
    <row r="16006" s="160" customFormat="1" x14ac:dyDescent="0.3"/>
    <row r="16007" s="160" customFormat="1" x14ac:dyDescent="0.3"/>
    <row r="16008" s="160" customFormat="1" x14ac:dyDescent="0.3"/>
    <row r="16009" s="160" customFormat="1" x14ac:dyDescent="0.3"/>
    <row r="16010" s="160" customFormat="1" x14ac:dyDescent="0.3"/>
    <row r="16011" s="160" customFormat="1" x14ac:dyDescent="0.3"/>
    <row r="16012" s="160" customFormat="1" x14ac:dyDescent="0.3"/>
    <row r="16013" s="160" customFormat="1" x14ac:dyDescent="0.3"/>
    <row r="16014" s="160" customFormat="1" x14ac:dyDescent="0.3"/>
    <row r="16015" s="160" customFormat="1" x14ac:dyDescent="0.3"/>
    <row r="16016" s="160" customFormat="1" x14ac:dyDescent="0.3"/>
    <row r="16017" s="160" customFormat="1" x14ac:dyDescent="0.3"/>
    <row r="16018" s="160" customFormat="1" x14ac:dyDescent="0.3"/>
    <row r="16019" s="160" customFormat="1" x14ac:dyDescent="0.3"/>
    <row r="16020" s="160" customFormat="1" x14ac:dyDescent="0.3"/>
    <row r="16021" s="160" customFormat="1" x14ac:dyDescent="0.3"/>
    <row r="16022" s="160" customFormat="1" x14ac:dyDescent="0.3"/>
    <row r="16023" s="160" customFormat="1" x14ac:dyDescent="0.3"/>
    <row r="16024" s="160" customFormat="1" x14ac:dyDescent="0.3"/>
    <row r="16025" s="160" customFormat="1" x14ac:dyDescent="0.3"/>
    <row r="16026" s="160" customFormat="1" x14ac:dyDescent="0.3"/>
    <row r="16027" s="160" customFormat="1" x14ac:dyDescent="0.3"/>
    <row r="16028" s="160" customFormat="1" x14ac:dyDescent="0.3"/>
    <row r="16029" s="160" customFormat="1" x14ac:dyDescent="0.3"/>
    <row r="16030" s="160" customFormat="1" x14ac:dyDescent="0.3"/>
    <row r="16031" s="160" customFormat="1" x14ac:dyDescent="0.3"/>
    <row r="16032" s="160" customFormat="1" x14ac:dyDescent="0.3"/>
    <row r="16033" s="160" customFormat="1" x14ac:dyDescent="0.3"/>
    <row r="16034" s="160" customFormat="1" x14ac:dyDescent="0.3"/>
    <row r="16035" s="160" customFormat="1" x14ac:dyDescent="0.3"/>
    <row r="16036" s="160" customFormat="1" x14ac:dyDescent="0.3"/>
    <row r="16037" s="160" customFormat="1" x14ac:dyDescent="0.3"/>
    <row r="16038" s="160" customFormat="1" x14ac:dyDescent="0.3"/>
    <row r="16039" s="160" customFormat="1" x14ac:dyDescent="0.3"/>
    <row r="16040" s="160" customFormat="1" x14ac:dyDescent="0.3"/>
    <row r="16041" s="160" customFormat="1" x14ac:dyDescent="0.3"/>
    <row r="16042" s="160" customFormat="1" x14ac:dyDescent="0.3"/>
    <row r="16043" s="160" customFormat="1" x14ac:dyDescent="0.3"/>
    <row r="16044" s="160" customFormat="1" x14ac:dyDescent="0.3"/>
    <row r="16045" s="160" customFormat="1" x14ac:dyDescent="0.3"/>
    <row r="16046" s="160" customFormat="1" x14ac:dyDescent="0.3"/>
    <row r="16047" s="160" customFormat="1" x14ac:dyDescent="0.3"/>
    <row r="16048" s="160" customFormat="1" x14ac:dyDescent="0.3"/>
    <row r="16049" s="160" customFormat="1" x14ac:dyDescent="0.3"/>
    <row r="16050" s="160" customFormat="1" x14ac:dyDescent="0.3"/>
    <row r="16051" s="160" customFormat="1" x14ac:dyDescent="0.3"/>
    <row r="16052" s="160" customFormat="1" x14ac:dyDescent="0.3"/>
    <row r="16053" s="160" customFormat="1" x14ac:dyDescent="0.3"/>
    <row r="16054" s="160" customFormat="1" x14ac:dyDescent="0.3"/>
    <row r="16055" s="160" customFormat="1" x14ac:dyDescent="0.3"/>
    <row r="16056" s="160" customFormat="1" x14ac:dyDescent="0.3"/>
    <row r="16057" s="160" customFormat="1" x14ac:dyDescent="0.3"/>
    <row r="16058" s="160" customFormat="1" x14ac:dyDescent="0.3"/>
    <row r="16059" s="160" customFormat="1" x14ac:dyDescent="0.3"/>
    <row r="16060" s="160" customFormat="1" x14ac:dyDescent="0.3"/>
    <row r="16061" s="160" customFormat="1" x14ac:dyDescent="0.3"/>
    <row r="16062" s="160" customFormat="1" x14ac:dyDescent="0.3"/>
    <row r="16063" s="160" customFormat="1" x14ac:dyDescent="0.3"/>
    <row r="16064" s="160" customFormat="1" x14ac:dyDescent="0.3"/>
    <row r="16065" s="160" customFormat="1" x14ac:dyDescent="0.3"/>
    <row r="16066" s="160" customFormat="1" x14ac:dyDescent="0.3"/>
    <row r="16067" s="160" customFormat="1" x14ac:dyDescent="0.3"/>
    <row r="16068" s="160" customFormat="1" x14ac:dyDescent="0.3"/>
    <row r="16069" s="160" customFormat="1" x14ac:dyDescent="0.3"/>
    <row r="16070" s="160" customFormat="1" x14ac:dyDescent="0.3"/>
    <row r="16071" s="160" customFormat="1" x14ac:dyDescent="0.3"/>
    <row r="16072" s="160" customFormat="1" x14ac:dyDescent="0.3"/>
    <row r="16073" s="160" customFormat="1" x14ac:dyDescent="0.3"/>
    <row r="16074" s="160" customFormat="1" x14ac:dyDescent="0.3"/>
    <row r="16075" s="160" customFormat="1" x14ac:dyDescent="0.3"/>
    <row r="16076" s="160" customFormat="1" x14ac:dyDescent="0.3"/>
    <row r="16077" s="160" customFormat="1" x14ac:dyDescent="0.3"/>
    <row r="16078" s="160" customFormat="1" x14ac:dyDescent="0.3"/>
    <row r="16079" s="160" customFormat="1" x14ac:dyDescent="0.3"/>
    <row r="16080" s="160" customFormat="1" x14ac:dyDescent="0.3"/>
    <row r="16081" s="160" customFormat="1" x14ac:dyDescent="0.3"/>
    <row r="16082" s="160" customFormat="1" x14ac:dyDescent="0.3"/>
    <row r="16083" s="160" customFormat="1" x14ac:dyDescent="0.3"/>
    <row r="16084" s="160" customFormat="1" x14ac:dyDescent="0.3"/>
    <row r="16085" s="160" customFormat="1" x14ac:dyDescent="0.3"/>
    <row r="16086" s="160" customFormat="1" x14ac:dyDescent="0.3"/>
    <row r="16087" s="160" customFormat="1" x14ac:dyDescent="0.3"/>
    <row r="16088" s="160" customFormat="1" x14ac:dyDescent="0.3"/>
    <row r="16089" s="160" customFormat="1" x14ac:dyDescent="0.3"/>
    <row r="16090" s="160" customFormat="1" x14ac:dyDescent="0.3"/>
    <row r="16091" s="160" customFormat="1" x14ac:dyDescent="0.3"/>
    <row r="16092" s="160" customFormat="1" x14ac:dyDescent="0.3"/>
    <row r="16093" s="160" customFormat="1" x14ac:dyDescent="0.3"/>
    <row r="16094" s="160" customFormat="1" x14ac:dyDescent="0.3"/>
    <row r="16095" s="160" customFormat="1" x14ac:dyDescent="0.3"/>
    <row r="16096" s="160" customFormat="1" x14ac:dyDescent="0.3"/>
    <row r="16097" s="160" customFormat="1" x14ac:dyDescent="0.3"/>
    <row r="16098" s="160" customFormat="1" x14ac:dyDescent="0.3"/>
    <row r="16099" s="160" customFormat="1" x14ac:dyDescent="0.3"/>
    <row r="16100" s="160" customFormat="1" x14ac:dyDescent="0.3"/>
    <row r="16101" s="160" customFormat="1" x14ac:dyDescent="0.3"/>
    <row r="16102" s="160" customFormat="1" x14ac:dyDescent="0.3"/>
    <row r="16103" s="160" customFormat="1" x14ac:dyDescent="0.3"/>
    <row r="16104" s="160" customFormat="1" x14ac:dyDescent="0.3"/>
    <row r="16105" s="160" customFormat="1" x14ac:dyDescent="0.3"/>
    <row r="16106" s="160" customFormat="1" x14ac:dyDescent="0.3"/>
    <row r="16107" s="160" customFormat="1" x14ac:dyDescent="0.3"/>
    <row r="16108" s="160" customFormat="1" x14ac:dyDescent="0.3"/>
    <row r="16109" s="160" customFormat="1" x14ac:dyDescent="0.3"/>
    <row r="16110" s="160" customFormat="1" x14ac:dyDescent="0.3"/>
    <row r="16111" s="160" customFormat="1" x14ac:dyDescent="0.3"/>
    <row r="16112" s="160" customFormat="1" x14ac:dyDescent="0.3"/>
    <row r="16113" s="160" customFormat="1" x14ac:dyDescent="0.3"/>
    <row r="16114" s="160" customFormat="1" x14ac:dyDescent="0.3"/>
    <row r="16115" s="160" customFormat="1" x14ac:dyDescent="0.3"/>
    <row r="16116" s="160" customFormat="1" x14ac:dyDescent="0.3"/>
    <row r="16117" s="160" customFormat="1" x14ac:dyDescent="0.3"/>
    <row r="16118" s="160" customFormat="1" x14ac:dyDescent="0.3"/>
    <row r="16119" s="160" customFormat="1" x14ac:dyDescent="0.3"/>
    <row r="16120" s="160" customFormat="1" x14ac:dyDescent="0.3"/>
    <row r="16121" s="160" customFormat="1" x14ac:dyDescent="0.3"/>
    <row r="16122" s="160" customFormat="1" x14ac:dyDescent="0.3"/>
    <row r="16123" s="160" customFormat="1" x14ac:dyDescent="0.3"/>
    <row r="16124" s="160" customFormat="1" x14ac:dyDescent="0.3"/>
    <row r="16125" s="160" customFormat="1" x14ac:dyDescent="0.3"/>
    <row r="16126" s="160" customFormat="1" x14ac:dyDescent="0.3"/>
    <row r="16127" s="160" customFormat="1" x14ac:dyDescent="0.3"/>
    <row r="16128" s="160" customFormat="1" x14ac:dyDescent="0.3"/>
    <row r="16129" s="160" customFormat="1" x14ac:dyDescent="0.3"/>
    <row r="16130" s="160" customFormat="1" x14ac:dyDescent="0.3"/>
    <row r="16131" s="160" customFormat="1" x14ac:dyDescent="0.3"/>
    <row r="16132" s="160" customFormat="1" x14ac:dyDescent="0.3"/>
    <row r="16133" s="160" customFormat="1" x14ac:dyDescent="0.3"/>
    <row r="16134" s="160" customFormat="1" x14ac:dyDescent="0.3"/>
    <row r="16135" s="160" customFormat="1" x14ac:dyDescent="0.3"/>
    <row r="16136" s="160" customFormat="1" x14ac:dyDescent="0.3"/>
    <row r="16137" s="160" customFormat="1" x14ac:dyDescent="0.3"/>
    <row r="16138" s="160" customFormat="1" x14ac:dyDescent="0.3"/>
    <row r="16139" s="160" customFormat="1" x14ac:dyDescent="0.3"/>
    <row r="16140" s="160" customFormat="1" x14ac:dyDescent="0.3"/>
    <row r="16141" s="160" customFormat="1" x14ac:dyDescent="0.3"/>
    <row r="16142" s="160" customFormat="1" x14ac:dyDescent="0.3"/>
    <row r="16143" s="160" customFormat="1" x14ac:dyDescent="0.3"/>
    <row r="16144" s="160" customFormat="1" x14ac:dyDescent="0.3"/>
    <row r="16145" s="160" customFormat="1" x14ac:dyDescent="0.3"/>
    <row r="16146" s="160" customFormat="1" x14ac:dyDescent="0.3"/>
    <row r="16147" s="160" customFormat="1" x14ac:dyDescent="0.3"/>
    <row r="16148" s="160" customFormat="1" x14ac:dyDescent="0.3"/>
    <row r="16149" s="160" customFormat="1" x14ac:dyDescent="0.3"/>
    <row r="16150" s="160" customFormat="1" x14ac:dyDescent="0.3"/>
    <row r="16151" s="160" customFormat="1" x14ac:dyDescent="0.3"/>
    <row r="16152" s="160" customFormat="1" x14ac:dyDescent="0.3"/>
    <row r="16153" s="160" customFormat="1" x14ac:dyDescent="0.3"/>
    <row r="16154" s="160" customFormat="1" x14ac:dyDescent="0.3"/>
    <row r="16155" s="160" customFormat="1" x14ac:dyDescent="0.3"/>
    <row r="16156" s="160" customFormat="1" x14ac:dyDescent="0.3"/>
    <row r="16157" s="160" customFormat="1" x14ac:dyDescent="0.3"/>
    <row r="16158" s="160" customFormat="1" x14ac:dyDescent="0.3"/>
    <row r="16159" s="160" customFormat="1" x14ac:dyDescent="0.3"/>
    <row r="16160" s="160" customFormat="1" x14ac:dyDescent="0.3"/>
    <row r="16161" s="160" customFormat="1" x14ac:dyDescent="0.3"/>
    <row r="16162" s="160" customFormat="1" x14ac:dyDescent="0.3"/>
    <row r="16163" s="160" customFormat="1" x14ac:dyDescent="0.3"/>
    <row r="16164" s="160" customFormat="1" x14ac:dyDescent="0.3"/>
    <row r="16165" s="160" customFormat="1" x14ac:dyDescent="0.3"/>
    <row r="16166" s="160" customFormat="1" x14ac:dyDescent="0.3"/>
    <row r="16167" s="160" customFormat="1" x14ac:dyDescent="0.3"/>
    <row r="16168" s="160" customFormat="1" x14ac:dyDescent="0.3"/>
    <row r="16169" s="160" customFormat="1" x14ac:dyDescent="0.3"/>
    <row r="16170" s="160" customFormat="1" x14ac:dyDescent="0.3"/>
    <row r="16171" s="160" customFormat="1" x14ac:dyDescent="0.3"/>
    <row r="16172" s="160" customFormat="1" x14ac:dyDescent="0.3"/>
    <row r="16173" s="160" customFormat="1" x14ac:dyDescent="0.3"/>
    <row r="16174" s="160" customFormat="1" x14ac:dyDescent="0.3"/>
    <row r="16175" s="160" customFormat="1" x14ac:dyDescent="0.3"/>
    <row r="16176" s="160" customFormat="1" x14ac:dyDescent="0.3"/>
    <row r="16177" s="160" customFormat="1" x14ac:dyDescent="0.3"/>
    <row r="16178" s="160" customFormat="1" x14ac:dyDescent="0.3"/>
    <row r="16179" s="160" customFormat="1" x14ac:dyDescent="0.3"/>
    <row r="16180" s="160" customFormat="1" x14ac:dyDescent="0.3"/>
    <row r="16181" s="160" customFormat="1" x14ac:dyDescent="0.3"/>
    <row r="16182" s="160" customFormat="1" x14ac:dyDescent="0.3"/>
    <row r="16183" s="160" customFormat="1" x14ac:dyDescent="0.3"/>
    <row r="16184" s="160" customFormat="1" x14ac:dyDescent="0.3"/>
    <row r="16185" s="160" customFormat="1" x14ac:dyDescent="0.3"/>
    <row r="16186" s="160" customFormat="1" x14ac:dyDescent="0.3"/>
    <row r="16187" s="160" customFormat="1" x14ac:dyDescent="0.3"/>
    <row r="16188" s="160" customFormat="1" x14ac:dyDescent="0.3"/>
    <row r="16189" s="160" customFormat="1" x14ac:dyDescent="0.3"/>
    <row r="16190" s="160" customFormat="1" x14ac:dyDescent="0.3"/>
    <row r="16191" s="160" customFormat="1" x14ac:dyDescent="0.3"/>
    <row r="16192" s="160" customFormat="1" x14ac:dyDescent="0.3"/>
    <row r="16193" s="160" customFormat="1" x14ac:dyDescent="0.3"/>
    <row r="16194" s="160" customFormat="1" x14ac:dyDescent="0.3"/>
    <row r="16195" s="160" customFormat="1" x14ac:dyDescent="0.3"/>
    <row r="16196" s="160" customFormat="1" x14ac:dyDescent="0.3"/>
    <row r="16197" s="160" customFormat="1" x14ac:dyDescent="0.3"/>
    <row r="16198" s="160" customFormat="1" x14ac:dyDescent="0.3"/>
    <row r="16199" s="160" customFormat="1" x14ac:dyDescent="0.3"/>
    <row r="16200" s="160" customFormat="1" x14ac:dyDescent="0.3"/>
    <row r="16201" s="160" customFormat="1" x14ac:dyDescent="0.3"/>
    <row r="16202" s="160" customFormat="1" x14ac:dyDescent="0.3"/>
    <row r="16203" s="160" customFormat="1" x14ac:dyDescent="0.3"/>
    <row r="16204" s="160" customFormat="1" x14ac:dyDescent="0.3"/>
    <row r="16205" s="160" customFormat="1" x14ac:dyDescent="0.3"/>
    <row r="16206" s="160" customFormat="1" x14ac:dyDescent="0.3"/>
    <row r="16207" s="160" customFormat="1" x14ac:dyDescent="0.3"/>
    <row r="16208" s="160" customFormat="1" x14ac:dyDescent="0.3"/>
    <row r="16209" s="160" customFormat="1" x14ac:dyDescent="0.3"/>
    <row r="16210" s="160" customFormat="1" x14ac:dyDescent="0.3"/>
    <row r="16211" s="160" customFormat="1" x14ac:dyDescent="0.3"/>
    <row r="16212" s="160" customFormat="1" x14ac:dyDescent="0.3"/>
    <row r="16213" s="160" customFormat="1" x14ac:dyDescent="0.3"/>
    <row r="16214" s="160" customFormat="1" x14ac:dyDescent="0.3"/>
    <row r="16215" s="160" customFormat="1" x14ac:dyDescent="0.3"/>
    <row r="16216" s="160" customFormat="1" x14ac:dyDescent="0.3"/>
    <row r="16217" s="160" customFormat="1" x14ac:dyDescent="0.3"/>
    <row r="16218" s="160" customFormat="1" x14ac:dyDescent="0.3"/>
    <row r="16219" s="160" customFormat="1" x14ac:dyDescent="0.3"/>
    <row r="16220" s="160" customFormat="1" x14ac:dyDescent="0.3"/>
    <row r="16221" s="160" customFormat="1" x14ac:dyDescent="0.3"/>
    <row r="16222" s="160" customFormat="1" x14ac:dyDescent="0.3"/>
    <row r="16223" s="160" customFormat="1" x14ac:dyDescent="0.3"/>
    <row r="16224" s="160" customFormat="1" x14ac:dyDescent="0.3"/>
    <row r="16225" s="160" customFormat="1" x14ac:dyDescent="0.3"/>
    <row r="16226" s="160" customFormat="1" x14ac:dyDescent="0.3"/>
    <row r="16227" s="160" customFormat="1" x14ac:dyDescent="0.3"/>
    <row r="16228" s="160" customFormat="1" x14ac:dyDescent="0.3"/>
    <row r="16229" s="160" customFormat="1" x14ac:dyDescent="0.3"/>
    <row r="16230" s="160" customFormat="1" x14ac:dyDescent="0.3"/>
    <row r="16231" s="160" customFormat="1" x14ac:dyDescent="0.3"/>
    <row r="16232" s="160" customFormat="1" x14ac:dyDescent="0.3"/>
    <row r="16233" s="160" customFormat="1" x14ac:dyDescent="0.3"/>
    <row r="16234" s="160" customFormat="1" x14ac:dyDescent="0.3"/>
    <row r="16235" s="160" customFormat="1" x14ac:dyDescent="0.3"/>
    <row r="16236" s="160" customFormat="1" x14ac:dyDescent="0.3"/>
    <row r="16237" s="160" customFormat="1" x14ac:dyDescent="0.3"/>
    <row r="16238" s="160" customFormat="1" x14ac:dyDescent="0.3"/>
    <row r="16239" s="160" customFormat="1" x14ac:dyDescent="0.3"/>
    <row r="16240" s="160" customFormat="1" x14ac:dyDescent="0.3"/>
    <row r="16241" s="160" customFormat="1" x14ac:dyDescent="0.3"/>
    <row r="16242" s="160" customFormat="1" x14ac:dyDescent="0.3"/>
    <row r="16243" s="160" customFormat="1" x14ac:dyDescent="0.3"/>
    <row r="16244" s="160" customFormat="1" x14ac:dyDescent="0.3"/>
    <row r="16245" s="160" customFormat="1" x14ac:dyDescent="0.3"/>
    <row r="16246" s="160" customFormat="1" x14ac:dyDescent="0.3"/>
    <row r="16247" s="160" customFormat="1" x14ac:dyDescent="0.3"/>
    <row r="16248" s="160" customFormat="1" x14ac:dyDescent="0.3"/>
    <row r="16249" s="160" customFormat="1" x14ac:dyDescent="0.3"/>
    <row r="16250" s="160" customFormat="1" x14ac:dyDescent="0.3"/>
    <row r="16251" s="160" customFormat="1" x14ac:dyDescent="0.3"/>
    <row r="16252" s="160" customFormat="1" x14ac:dyDescent="0.3"/>
    <row r="16253" s="160" customFormat="1" x14ac:dyDescent="0.3"/>
    <row r="16254" s="160" customFormat="1" x14ac:dyDescent="0.3"/>
    <row r="16255" s="160" customFormat="1" x14ac:dyDescent="0.3"/>
    <row r="16256" s="160" customFormat="1" x14ac:dyDescent="0.3"/>
    <row r="16257" s="160" customFormat="1" x14ac:dyDescent="0.3"/>
    <row r="16258" s="160" customFormat="1" x14ac:dyDescent="0.3"/>
    <row r="16259" s="160" customFormat="1" x14ac:dyDescent="0.3"/>
    <row r="16260" s="160" customFormat="1" x14ac:dyDescent="0.3"/>
    <row r="16261" s="160" customFormat="1" x14ac:dyDescent="0.3"/>
    <row r="16262" s="160" customFormat="1" x14ac:dyDescent="0.3"/>
    <row r="16263" s="160" customFormat="1" x14ac:dyDescent="0.3"/>
    <row r="16264" s="160" customFormat="1" x14ac:dyDescent="0.3"/>
    <row r="16265" s="160" customFormat="1" x14ac:dyDescent="0.3"/>
    <row r="16266" s="160" customFormat="1" x14ac:dyDescent="0.3"/>
    <row r="16267" s="160" customFormat="1" x14ac:dyDescent="0.3"/>
    <row r="16268" s="160" customFormat="1" x14ac:dyDescent="0.3"/>
    <row r="16269" s="160" customFormat="1" x14ac:dyDescent="0.3"/>
    <row r="16270" s="160" customFormat="1" x14ac:dyDescent="0.3"/>
    <row r="16271" s="160" customFormat="1" x14ac:dyDescent="0.3"/>
    <row r="16272" s="160" customFormat="1" x14ac:dyDescent="0.3"/>
    <row r="16273" s="160" customFormat="1" x14ac:dyDescent="0.3"/>
    <row r="16274" s="160" customFormat="1" x14ac:dyDescent="0.3"/>
    <row r="16275" s="160" customFormat="1" x14ac:dyDescent="0.3"/>
    <row r="16276" s="160" customFormat="1" x14ac:dyDescent="0.3"/>
    <row r="16277" s="160" customFormat="1" x14ac:dyDescent="0.3"/>
    <row r="16278" s="160" customFormat="1" x14ac:dyDescent="0.3"/>
    <row r="16279" s="160" customFormat="1" x14ac:dyDescent="0.3"/>
    <row r="16280" s="160" customFormat="1" x14ac:dyDescent="0.3"/>
    <row r="16281" s="160" customFormat="1" x14ac:dyDescent="0.3"/>
    <row r="16282" s="160" customFormat="1" x14ac:dyDescent="0.3"/>
    <row r="16283" s="160" customFormat="1" x14ac:dyDescent="0.3"/>
    <row r="16284" s="160" customFormat="1" x14ac:dyDescent="0.3"/>
    <row r="16285" s="160" customFormat="1" x14ac:dyDescent="0.3"/>
    <row r="16286" s="160" customFormat="1" x14ac:dyDescent="0.3"/>
    <row r="16287" s="160" customFormat="1" x14ac:dyDescent="0.3"/>
    <row r="16288" s="160" customFormat="1" x14ac:dyDescent="0.3"/>
    <row r="16289" s="160" customFormat="1" x14ac:dyDescent="0.3"/>
    <row r="16290" s="160" customFormat="1" x14ac:dyDescent="0.3"/>
    <row r="16291" s="160" customFormat="1" x14ac:dyDescent="0.3"/>
    <row r="16292" s="160" customFormat="1" x14ac:dyDescent="0.3"/>
    <row r="16293" s="160" customFormat="1" x14ac:dyDescent="0.3"/>
    <row r="16294" s="160" customFormat="1" x14ac:dyDescent="0.3"/>
    <row r="16295" s="160" customFormat="1" x14ac:dyDescent="0.3"/>
    <row r="16296" s="160" customFormat="1" x14ac:dyDescent="0.3"/>
    <row r="16297" s="160" customFormat="1" x14ac:dyDescent="0.3"/>
    <row r="16298" s="160" customFormat="1" x14ac:dyDescent="0.3"/>
    <row r="16299" s="160" customFormat="1" x14ac:dyDescent="0.3"/>
    <row r="16300" s="160" customFormat="1" x14ac:dyDescent="0.3"/>
    <row r="16301" s="160" customFormat="1" x14ac:dyDescent="0.3"/>
    <row r="16302" s="160" customFormat="1" x14ac:dyDescent="0.3"/>
    <row r="16303" s="160" customFormat="1" x14ac:dyDescent="0.3"/>
    <row r="16304" s="160" customFormat="1" x14ac:dyDescent="0.3"/>
    <row r="16305" s="160" customFormat="1" x14ac:dyDescent="0.3"/>
    <row r="16306" s="160" customFormat="1" x14ac:dyDescent="0.3"/>
    <row r="16307" s="160" customFormat="1" x14ac:dyDescent="0.3"/>
    <row r="16308" s="160" customFormat="1" x14ac:dyDescent="0.3"/>
    <row r="16309" s="160" customFormat="1" x14ac:dyDescent="0.3"/>
    <row r="16310" s="160" customFormat="1" x14ac:dyDescent="0.3"/>
    <row r="16311" s="160" customFormat="1" x14ac:dyDescent="0.3"/>
    <row r="16312" s="160" customFormat="1" x14ac:dyDescent="0.3"/>
    <row r="16313" s="160" customFormat="1" x14ac:dyDescent="0.3"/>
    <row r="16314" s="160" customFormat="1" x14ac:dyDescent="0.3"/>
    <row r="16315" s="160" customFormat="1" x14ac:dyDescent="0.3"/>
    <row r="16316" s="160" customFormat="1" x14ac:dyDescent="0.3"/>
    <row r="16317" s="160" customFormat="1" x14ac:dyDescent="0.3"/>
    <row r="16318" s="160" customFormat="1" x14ac:dyDescent="0.3"/>
    <row r="16319" s="160" customFormat="1" x14ac:dyDescent="0.3"/>
    <row r="16320" s="160" customFormat="1" x14ac:dyDescent="0.3"/>
    <row r="16321" s="160" customFormat="1" x14ac:dyDescent="0.3"/>
    <row r="16322" s="160" customFormat="1" x14ac:dyDescent="0.3"/>
    <row r="16323" s="160" customFormat="1" x14ac:dyDescent="0.3"/>
    <row r="16324" s="160" customFormat="1" x14ac:dyDescent="0.3"/>
    <row r="16325" s="160" customFormat="1" x14ac:dyDescent="0.3"/>
    <row r="16326" s="160" customFormat="1" x14ac:dyDescent="0.3"/>
    <row r="16327" s="160" customFormat="1" x14ac:dyDescent="0.3"/>
    <row r="16328" s="160" customFormat="1" x14ac:dyDescent="0.3"/>
    <row r="16329" s="160" customFormat="1" x14ac:dyDescent="0.3"/>
    <row r="16330" s="160" customFormat="1" x14ac:dyDescent="0.3"/>
    <row r="16331" s="160" customFormat="1" x14ac:dyDescent="0.3"/>
    <row r="16332" s="160" customFormat="1" x14ac:dyDescent="0.3"/>
    <row r="16333" s="160" customFormat="1" x14ac:dyDescent="0.3"/>
    <row r="16334" s="160" customFormat="1" x14ac:dyDescent="0.3"/>
    <row r="16335" s="160" customFormat="1" x14ac:dyDescent="0.3"/>
    <row r="16336" s="160" customFormat="1" x14ac:dyDescent="0.3"/>
    <row r="16337" s="160" customFormat="1" x14ac:dyDescent="0.3"/>
    <row r="16338" s="160" customFormat="1" x14ac:dyDescent="0.3"/>
    <row r="16339" s="160" customFormat="1" x14ac:dyDescent="0.3"/>
    <row r="16340" s="160" customFormat="1" x14ac:dyDescent="0.3"/>
    <row r="16341" s="160" customFormat="1" x14ac:dyDescent="0.3"/>
    <row r="16342" s="160" customFormat="1" x14ac:dyDescent="0.3"/>
    <row r="16343" s="160" customFormat="1" x14ac:dyDescent="0.3"/>
    <row r="16344" s="160" customFormat="1" x14ac:dyDescent="0.3"/>
    <row r="16345" s="160" customFormat="1" x14ac:dyDescent="0.3"/>
    <row r="16346" s="160" customFormat="1" x14ac:dyDescent="0.3"/>
    <row r="16347" s="160" customFormat="1" x14ac:dyDescent="0.3"/>
    <row r="16348" s="160" customFormat="1" x14ac:dyDescent="0.3"/>
    <row r="16349" s="160" customFormat="1" x14ac:dyDescent="0.3"/>
    <row r="16350" s="160" customFormat="1" x14ac:dyDescent="0.3"/>
    <row r="16351" s="160" customFormat="1" x14ac:dyDescent="0.3"/>
    <row r="16352" s="160" customFormat="1" x14ac:dyDescent="0.3"/>
    <row r="16353" s="160" customFormat="1" x14ac:dyDescent="0.3"/>
    <row r="16354" s="160" customFormat="1" x14ac:dyDescent="0.3"/>
    <row r="16355" s="160" customFormat="1" x14ac:dyDescent="0.3"/>
    <row r="16356" s="160" customFormat="1" x14ac:dyDescent="0.3"/>
    <row r="16357" s="160" customFormat="1" x14ac:dyDescent="0.3"/>
    <row r="16358" s="160" customFormat="1" x14ac:dyDescent="0.3"/>
    <row r="16359" s="160" customFormat="1" x14ac:dyDescent="0.3"/>
    <row r="16360" s="160" customFormat="1" x14ac:dyDescent="0.3"/>
    <row r="16361" s="160" customFormat="1" x14ac:dyDescent="0.3"/>
    <row r="16362" s="160" customFormat="1" x14ac:dyDescent="0.3"/>
    <row r="16363" s="160" customFormat="1" x14ac:dyDescent="0.3"/>
    <row r="16364" s="160" customFormat="1" x14ac:dyDescent="0.3"/>
    <row r="16365" s="160" customFormat="1" x14ac:dyDescent="0.3"/>
    <row r="16366" s="160" customFormat="1" x14ac:dyDescent="0.3"/>
    <row r="16367" s="160" customFormat="1" x14ac:dyDescent="0.3"/>
    <row r="16368" s="160" customFormat="1" x14ac:dyDescent="0.3"/>
    <row r="16369" s="160" customFormat="1" x14ac:dyDescent="0.3"/>
    <row r="16370" s="160" customFormat="1" x14ac:dyDescent="0.3"/>
    <row r="16371" s="160" customFormat="1" x14ac:dyDescent="0.3"/>
    <row r="16372" s="160" customFormat="1" x14ac:dyDescent="0.3"/>
    <row r="16373" s="160" customFormat="1" x14ac:dyDescent="0.3"/>
    <row r="16374" s="160" customFormat="1" x14ac:dyDescent="0.3"/>
    <row r="16375" s="160" customFormat="1" x14ac:dyDescent="0.3"/>
    <row r="16376" s="160" customFormat="1" x14ac:dyDescent="0.3"/>
    <row r="16377" s="160" customFormat="1" x14ac:dyDescent="0.3"/>
    <row r="16378" s="160" customFormat="1" x14ac:dyDescent="0.3"/>
    <row r="16379" s="160" customFormat="1" x14ac:dyDescent="0.3"/>
    <row r="16380" s="160" customFormat="1" x14ac:dyDescent="0.3"/>
    <row r="16381" s="160" customFormat="1" x14ac:dyDescent="0.3"/>
    <row r="16382" s="160" customFormat="1" x14ac:dyDescent="0.3"/>
    <row r="16383" s="160" customFormat="1" x14ac:dyDescent="0.3"/>
    <row r="16384" s="160" customFormat="1" x14ac:dyDescent="0.3"/>
    <row r="16385" s="160" customFormat="1" x14ac:dyDescent="0.3"/>
    <row r="16386" s="160" customFormat="1" x14ac:dyDescent="0.3"/>
    <row r="16387" s="160" customFormat="1" x14ac:dyDescent="0.3"/>
    <row r="16388" s="160" customFormat="1" x14ac:dyDescent="0.3"/>
    <row r="16389" s="160" customFormat="1" x14ac:dyDescent="0.3"/>
    <row r="16390" s="160" customFormat="1" x14ac:dyDescent="0.3"/>
    <row r="16391" s="160" customFormat="1" x14ac:dyDescent="0.3"/>
    <row r="16392" s="160" customFormat="1" x14ac:dyDescent="0.3"/>
    <row r="16393" s="160" customFormat="1" x14ac:dyDescent="0.3"/>
    <row r="16394" s="160" customFormat="1" x14ac:dyDescent="0.3"/>
    <row r="16395" s="160" customFormat="1" x14ac:dyDescent="0.3"/>
    <row r="16396" s="160" customFormat="1" x14ac:dyDescent="0.3"/>
    <row r="16397" s="160" customFormat="1" x14ac:dyDescent="0.3"/>
    <row r="16398" s="160" customFormat="1" x14ac:dyDescent="0.3"/>
    <row r="16399" s="160" customFormat="1" x14ac:dyDescent="0.3"/>
    <row r="16400" s="160" customFormat="1" x14ac:dyDescent="0.3"/>
    <row r="16401" s="160" customFormat="1" x14ac:dyDescent="0.3"/>
    <row r="16402" s="160" customFormat="1" x14ac:dyDescent="0.3"/>
    <row r="16403" s="160" customFormat="1" x14ac:dyDescent="0.3"/>
    <row r="16404" s="160" customFormat="1" x14ac:dyDescent="0.3"/>
    <row r="16405" s="160" customFormat="1" x14ac:dyDescent="0.3"/>
    <row r="16406" s="160" customFormat="1" x14ac:dyDescent="0.3"/>
    <row r="16407" s="160" customFormat="1" x14ac:dyDescent="0.3"/>
    <row r="16408" s="160" customFormat="1" x14ac:dyDescent="0.3"/>
    <row r="16409" s="160" customFormat="1" x14ac:dyDescent="0.3"/>
    <row r="16410" s="160" customFormat="1" x14ac:dyDescent="0.3"/>
    <row r="16411" s="160" customFormat="1" x14ac:dyDescent="0.3"/>
    <row r="16412" s="160" customFormat="1" x14ac:dyDescent="0.3"/>
    <row r="16413" s="160" customFormat="1" x14ac:dyDescent="0.3"/>
    <row r="16414" s="160" customFormat="1" x14ac:dyDescent="0.3"/>
    <row r="16415" s="160" customFormat="1" x14ac:dyDescent="0.3"/>
    <row r="16416" s="160" customFormat="1" x14ac:dyDescent="0.3"/>
    <row r="16417" s="160" customFormat="1" x14ac:dyDescent="0.3"/>
    <row r="16418" s="160" customFormat="1" x14ac:dyDescent="0.3"/>
    <row r="16419" s="160" customFormat="1" x14ac:dyDescent="0.3"/>
    <row r="16420" s="160" customFormat="1" x14ac:dyDescent="0.3"/>
    <row r="16421" s="160" customFormat="1" x14ac:dyDescent="0.3"/>
    <row r="16422" s="160" customFormat="1" x14ac:dyDescent="0.3"/>
    <row r="16423" s="160" customFormat="1" x14ac:dyDescent="0.3"/>
    <row r="16424" s="160" customFormat="1" x14ac:dyDescent="0.3"/>
    <row r="16425" s="160" customFormat="1" x14ac:dyDescent="0.3"/>
    <row r="16426" s="160" customFormat="1" x14ac:dyDescent="0.3"/>
    <row r="16427" s="160" customFormat="1" x14ac:dyDescent="0.3"/>
    <row r="16428" s="160" customFormat="1" x14ac:dyDescent="0.3"/>
    <row r="16429" s="160" customFormat="1" x14ac:dyDescent="0.3"/>
    <row r="16430" s="160" customFormat="1" x14ac:dyDescent="0.3"/>
    <row r="16431" s="160" customFormat="1" x14ac:dyDescent="0.3"/>
    <row r="16432" s="160" customFormat="1" x14ac:dyDescent="0.3"/>
    <row r="16433" s="160" customFormat="1" x14ac:dyDescent="0.3"/>
    <row r="16434" s="160" customFormat="1" x14ac:dyDescent="0.3"/>
    <row r="16435" s="160" customFormat="1" x14ac:dyDescent="0.3"/>
    <row r="16436" s="160" customFormat="1" x14ac:dyDescent="0.3"/>
    <row r="16437" s="160" customFormat="1" x14ac:dyDescent="0.3"/>
    <row r="16438" s="160" customFormat="1" x14ac:dyDescent="0.3"/>
    <row r="16439" s="160" customFormat="1" x14ac:dyDescent="0.3"/>
    <row r="16440" s="160" customFormat="1" x14ac:dyDescent="0.3"/>
    <row r="16441" s="160" customFormat="1" x14ac:dyDescent="0.3"/>
    <row r="16442" s="160" customFormat="1" x14ac:dyDescent="0.3"/>
    <row r="16443" s="160" customFormat="1" x14ac:dyDescent="0.3"/>
    <row r="16444" s="160" customFormat="1" x14ac:dyDescent="0.3"/>
    <row r="16445" s="160" customFormat="1" x14ac:dyDescent="0.3"/>
    <row r="16446" s="160" customFormat="1" x14ac:dyDescent="0.3"/>
    <row r="16447" s="160" customFormat="1" x14ac:dyDescent="0.3"/>
    <row r="16448" s="160" customFormat="1" x14ac:dyDescent="0.3"/>
    <row r="16449" s="160" customFormat="1" x14ac:dyDescent="0.3"/>
    <row r="16450" s="160" customFormat="1" x14ac:dyDescent="0.3"/>
    <row r="16451" s="160" customFormat="1" x14ac:dyDescent="0.3"/>
    <row r="16452" s="160" customFormat="1" x14ac:dyDescent="0.3"/>
    <row r="16453" s="160" customFormat="1" x14ac:dyDescent="0.3"/>
    <row r="16454" s="160" customFormat="1" x14ac:dyDescent="0.3"/>
    <row r="16455" s="160" customFormat="1" x14ac:dyDescent="0.3"/>
    <row r="16456" s="160" customFormat="1" x14ac:dyDescent="0.3"/>
    <row r="16457" s="160" customFormat="1" x14ac:dyDescent="0.3"/>
    <row r="16458" s="160" customFormat="1" x14ac:dyDescent="0.3"/>
    <row r="16459" s="160" customFormat="1" x14ac:dyDescent="0.3"/>
    <row r="16460" s="160" customFormat="1" x14ac:dyDescent="0.3"/>
    <row r="16461" s="160" customFormat="1" x14ac:dyDescent="0.3"/>
    <row r="16462" s="160" customFormat="1" x14ac:dyDescent="0.3"/>
    <row r="16463" s="160" customFormat="1" x14ac:dyDescent="0.3"/>
    <row r="16464" s="160" customFormat="1" x14ac:dyDescent="0.3"/>
    <row r="16465" s="160" customFormat="1" x14ac:dyDescent="0.3"/>
    <row r="16466" s="160" customFormat="1" x14ac:dyDescent="0.3"/>
    <row r="16467" s="160" customFormat="1" x14ac:dyDescent="0.3"/>
    <row r="16468" s="160" customFormat="1" x14ac:dyDescent="0.3"/>
    <row r="16469" s="160" customFormat="1" x14ac:dyDescent="0.3"/>
    <row r="16470" s="160" customFormat="1" x14ac:dyDescent="0.3"/>
    <row r="16471" s="160" customFormat="1" x14ac:dyDescent="0.3"/>
    <row r="16472" s="160" customFormat="1" x14ac:dyDescent="0.3"/>
    <row r="16473" s="160" customFormat="1" x14ac:dyDescent="0.3"/>
    <row r="16474" s="160" customFormat="1" x14ac:dyDescent="0.3"/>
    <row r="16475" s="160" customFormat="1" x14ac:dyDescent="0.3"/>
    <row r="16476" s="160" customFormat="1" x14ac:dyDescent="0.3"/>
    <row r="16477" s="160" customFormat="1" x14ac:dyDescent="0.3"/>
    <row r="16478" s="160" customFormat="1" x14ac:dyDescent="0.3"/>
    <row r="16479" s="160" customFormat="1" x14ac:dyDescent="0.3"/>
    <row r="16480" s="160" customFormat="1" x14ac:dyDescent="0.3"/>
    <row r="16481" s="160" customFormat="1" x14ac:dyDescent="0.3"/>
    <row r="16482" s="160" customFormat="1" x14ac:dyDescent="0.3"/>
    <row r="16483" s="160" customFormat="1" x14ac:dyDescent="0.3"/>
    <row r="16484" s="160" customFormat="1" x14ac:dyDescent="0.3"/>
    <row r="16485" s="160" customFormat="1" x14ac:dyDescent="0.3"/>
    <row r="16486" s="160" customFormat="1" x14ac:dyDescent="0.3"/>
    <row r="16487" s="160" customFormat="1" x14ac:dyDescent="0.3"/>
    <row r="16488" s="160" customFormat="1" x14ac:dyDescent="0.3"/>
    <row r="16489" s="160" customFormat="1" x14ac:dyDescent="0.3"/>
    <row r="16490" s="160" customFormat="1" x14ac:dyDescent="0.3"/>
    <row r="16491" s="160" customFormat="1" x14ac:dyDescent="0.3"/>
    <row r="16492" s="160" customFormat="1" x14ac:dyDescent="0.3"/>
    <row r="16493" s="160" customFormat="1" x14ac:dyDescent="0.3"/>
    <row r="16494" s="160" customFormat="1" x14ac:dyDescent="0.3"/>
    <row r="16495" s="160" customFormat="1" x14ac:dyDescent="0.3"/>
    <row r="16496" s="160" customFormat="1" x14ac:dyDescent="0.3"/>
    <row r="16497" s="160" customFormat="1" x14ac:dyDescent="0.3"/>
    <row r="16498" s="160" customFormat="1" x14ac:dyDescent="0.3"/>
    <row r="16499" s="160" customFormat="1" x14ac:dyDescent="0.3"/>
    <row r="16500" s="160" customFormat="1" x14ac:dyDescent="0.3"/>
    <row r="16501" s="160" customFormat="1" x14ac:dyDescent="0.3"/>
    <row r="16502" s="160" customFormat="1" x14ac:dyDescent="0.3"/>
    <row r="16503" s="160" customFormat="1" x14ac:dyDescent="0.3"/>
    <row r="16504" s="160" customFormat="1" x14ac:dyDescent="0.3"/>
    <row r="16505" s="160" customFormat="1" x14ac:dyDescent="0.3"/>
    <row r="16506" s="160" customFormat="1" x14ac:dyDescent="0.3"/>
    <row r="16507" s="160" customFormat="1" x14ac:dyDescent="0.3"/>
    <row r="16508" s="160" customFormat="1" x14ac:dyDescent="0.3"/>
    <row r="16509" s="160" customFormat="1" x14ac:dyDescent="0.3"/>
    <row r="16510" s="160" customFormat="1" x14ac:dyDescent="0.3"/>
    <row r="16511" s="160" customFormat="1" x14ac:dyDescent="0.3"/>
    <row r="16512" s="160" customFormat="1" x14ac:dyDescent="0.3"/>
    <row r="16513" s="160" customFormat="1" x14ac:dyDescent="0.3"/>
    <row r="16514" s="160" customFormat="1" x14ac:dyDescent="0.3"/>
    <row r="16515" s="160" customFormat="1" x14ac:dyDescent="0.3"/>
    <row r="16516" s="160" customFormat="1" x14ac:dyDescent="0.3"/>
    <row r="16517" s="160" customFormat="1" x14ac:dyDescent="0.3"/>
    <row r="16518" s="160" customFormat="1" x14ac:dyDescent="0.3"/>
    <row r="16519" s="160" customFormat="1" x14ac:dyDescent="0.3"/>
    <row r="16520" s="160" customFormat="1" x14ac:dyDescent="0.3"/>
    <row r="16521" s="160" customFormat="1" x14ac:dyDescent="0.3"/>
    <row r="16522" s="160" customFormat="1" x14ac:dyDescent="0.3"/>
    <row r="16523" s="160" customFormat="1" x14ac:dyDescent="0.3"/>
    <row r="16524" s="160" customFormat="1" x14ac:dyDescent="0.3"/>
    <row r="16525" s="160" customFormat="1" x14ac:dyDescent="0.3"/>
    <row r="16526" s="160" customFormat="1" x14ac:dyDescent="0.3"/>
    <row r="16527" s="160" customFormat="1" x14ac:dyDescent="0.3"/>
    <row r="16528" s="160" customFormat="1" x14ac:dyDescent="0.3"/>
    <row r="16529" s="160" customFormat="1" x14ac:dyDescent="0.3"/>
    <row r="16530" s="160" customFormat="1" x14ac:dyDescent="0.3"/>
    <row r="16531" s="160" customFormat="1" x14ac:dyDescent="0.3"/>
    <row r="16532" s="160" customFormat="1" x14ac:dyDescent="0.3"/>
    <row r="16533" s="160" customFormat="1" x14ac:dyDescent="0.3"/>
    <row r="16534" s="160" customFormat="1" x14ac:dyDescent="0.3"/>
    <row r="16535" s="160" customFormat="1" x14ac:dyDescent="0.3"/>
    <row r="16536" s="160" customFormat="1" x14ac:dyDescent="0.3"/>
    <row r="16537" s="160" customFormat="1" x14ac:dyDescent="0.3"/>
    <row r="16538" s="160" customFormat="1" x14ac:dyDescent="0.3"/>
    <row r="16539" s="160" customFormat="1" x14ac:dyDescent="0.3"/>
    <row r="16540" s="160" customFormat="1" x14ac:dyDescent="0.3"/>
    <row r="16541" s="160" customFormat="1" x14ac:dyDescent="0.3"/>
    <row r="16542" s="160" customFormat="1" x14ac:dyDescent="0.3"/>
    <row r="16543" s="160" customFormat="1" x14ac:dyDescent="0.3"/>
    <row r="16544" s="160" customFormat="1" x14ac:dyDescent="0.3"/>
    <row r="16545" s="160" customFormat="1" x14ac:dyDescent="0.3"/>
    <row r="16546" s="160" customFormat="1" x14ac:dyDescent="0.3"/>
    <row r="16547" s="160" customFormat="1" x14ac:dyDescent="0.3"/>
    <row r="16548" s="160" customFormat="1" x14ac:dyDescent="0.3"/>
    <row r="16549" s="160" customFormat="1" x14ac:dyDescent="0.3"/>
    <row r="16550" s="160" customFormat="1" x14ac:dyDescent="0.3"/>
    <row r="16551" s="160" customFormat="1" x14ac:dyDescent="0.3"/>
    <row r="16552" s="160" customFormat="1" x14ac:dyDescent="0.3"/>
    <row r="16553" s="160" customFormat="1" x14ac:dyDescent="0.3"/>
    <row r="16554" s="160" customFormat="1" x14ac:dyDescent="0.3"/>
    <row r="16555" s="160" customFormat="1" x14ac:dyDescent="0.3"/>
    <row r="16556" s="160" customFormat="1" x14ac:dyDescent="0.3"/>
    <row r="16557" s="160" customFormat="1" x14ac:dyDescent="0.3"/>
    <row r="16558" s="160" customFormat="1" x14ac:dyDescent="0.3"/>
    <row r="16559" s="160" customFormat="1" x14ac:dyDescent="0.3"/>
    <row r="16560" s="160" customFormat="1" x14ac:dyDescent="0.3"/>
    <row r="16561" s="160" customFormat="1" x14ac:dyDescent="0.3"/>
    <row r="16562" s="160" customFormat="1" x14ac:dyDescent="0.3"/>
    <row r="16563" s="160" customFormat="1" x14ac:dyDescent="0.3"/>
    <row r="16564" s="160" customFormat="1" x14ac:dyDescent="0.3"/>
    <row r="16565" s="160" customFormat="1" x14ac:dyDescent="0.3"/>
    <row r="16566" s="160" customFormat="1" x14ac:dyDescent="0.3"/>
    <row r="16567" s="160" customFormat="1" x14ac:dyDescent="0.3"/>
    <row r="16568" s="160" customFormat="1" x14ac:dyDescent="0.3"/>
    <row r="16569" s="160" customFormat="1" x14ac:dyDescent="0.3"/>
    <row r="16570" s="160" customFormat="1" x14ac:dyDescent="0.3"/>
    <row r="16571" s="160" customFormat="1" x14ac:dyDescent="0.3"/>
    <row r="16572" s="160" customFormat="1" x14ac:dyDescent="0.3"/>
    <row r="16573" s="160" customFormat="1" x14ac:dyDescent="0.3"/>
    <row r="16574" s="160" customFormat="1" x14ac:dyDescent="0.3"/>
    <row r="16575" s="160" customFormat="1" x14ac:dyDescent="0.3"/>
    <row r="16576" s="160" customFormat="1" x14ac:dyDescent="0.3"/>
    <row r="16577" s="160" customFormat="1" x14ac:dyDescent="0.3"/>
    <row r="16578" s="160" customFormat="1" x14ac:dyDescent="0.3"/>
    <row r="16579" s="160" customFormat="1" x14ac:dyDescent="0.3"/>
    <row r="16580" s="160" customFormat="1" x14ac:dyDescent="0.3"/>
    <row r="16581" s="160" customFormat="1" x14ac:dyDescent="0.3"/>
    <row r="16582" s="160" customFormat="1" x14ac:dyDescent="0.3"/>
    <row r="16583" s="160" customFormat="1" x14ac:dyDescent="0.3"/>
    <row r="16584" s="160" customFormat="1" x14ac:dyDescent="0.3"/>
    <row r="16585" s="160" customFormat="1" x14ac:dyDescent="0.3"/>
    <row r="16586" s="160" customFormat="1" x14ac:dyDescent="0.3"/>
    <row r="16587" s="160" customFormat="1" x14ac:dyDescent="0.3"/>
    <row r="16588" s="160" customFormat="1" x14ac:dyDescent="0.3"/>
    <row r="16589" s="160" customFormat="1" x14ac:dyDescent="0.3"/>
    <row r="16590" s="160" customFormat="1" x14ac:dyDescent="0.3"/>
    <row r="16591" s="160" customFormat="1" x14ac:dyDescent="0.3"/>
    <row r="16592" s="160" customFormat="1" x14ac:dyDescent="0.3"/>
    <row r="16593" s="160" customFormat="1" x14ac:dyDescent="0.3"/>
    <row r="16594" s="160" customFormat="1" x14ac:dyDescent="0.3"/>
    <row r="16595" s="160" customFormat="1" x14ac:dyDescent="0.3"/>
    <row r="16596" s="160" customFormat="1" x14ac:dyDescent="0.3"/>
    <row r="16597" s="160" customFormat="1" x14ac:dyDescent="0.3"/>
    <row r="16598" s="160" customFormat="1" x14ac:dyDescent="0.3"/>
    <row r="16599" s="160" customFormat="1" x14ac:dyDescent="0.3"/>
    <row r="16600" s="160" customFormat="1" x14ac:dyDescent="0.3"/>
    <row r="16601" s="160" customFormat="1" x14ac:dyDescent="0.3"/>
    <row r="16602" s="160" customFormat="1" x14ac:dyDescent="0.3"/>
    <row r="16603" s="160" customFormat="1" x14ac:dyDescent="0.3"/>
    <row r="16604" s="160" customFormat="1" x14ac:dyDescent="0.3"/>
    <row r="16605" s="160" customFormat="1" x14ac:dyDescent="0.3"/>
    <row r="16606" s="160" customFormat="1" x14ac:dyDescent="0.3"/>
    <row r="16607" s="160" customFormat="1" x14ac:dyDescent="0.3"/>
    <row r="16608" s="160" customFormat="1" x14ac:dyDescent="0.3"/>
    <row r="16609" s="160" customFormat="1" x14ac:dyDescent="0.3"/>
    <row r="16610" s="160" customFormat="1" x14ac:dyDescent="0.3"/>
    <row r="16611" s="160" customFormat="1" x14ac:dyDescent="0.3"/>
    <row r="16612" s="160" customFormat="1" x14ac:dyDescent="0.3"/>
    <row r="16613" s="160" customFormat="1" x14ac:dyDescent="0.3"/>
    <row r="16614" s="160" customFormat="1" x14ac:dyDescent="0.3"/>
    <row r="16615" s="160" customFormat="1" x14ac:dyDescent="0.3"/>
    <row r="16616" s="160" customFormat="1" x14ac:dyDescent="0.3"/>
    <row r="16617" s="160" customFormat="1" x14ac:dyDescent="0.3"/>
    <row r="16618" s="160" customFormat="1" x14ac:dyDescent="0.3"/>
    <row r="16619" s="160" customFormat="1" x14ac:dyDescent="0.3"/>
    <row r="16620" s="160" customFormat="1" x14ac:dyDescent="0.3"/>
    <row r="16621" s="160" customFormat="1" x14ac:dyDescent="0.3"/>
    <row r="16622" s="160" customFormat="1" x14ac:dyDescent="0.3"/>
    <row r="16623" s="160" customFormat="1" x14ac:dyDescent="0.3"/>
    <row r="16624" s="160" customFormat="1" x14ac:dyDescent="0.3"/>
    <row r="16625" s="160" customFormat="1" x14ac:dyDescent="0.3"/>
    <row r="16626" s="160" customFormat="1" x14ac:dyDescent="0.3"/>
    <row r="16627" s="160" customFormat="1" x14ac:dyDescent="0.3"/>
    <row r="16628" s="160" customFormat="1" x14ac:dyDescent="0.3"/>
    <row r="16629" s="160" customFormat="1" x14ac:dyDescent="0.3"/>
    <row r="16630" s="160" customFormat="1" x14ac:dyDescent="0.3"/>
    <row r="16631" s="160" customFormat="1" x14ac:dyDescent="0.3"/>
    <row r="16632" s="160" customFormat="1" x14ac:dyDescent="0.3"/>
    <row r="16633" s="160" customFormat="1" x14ac:dyDescent="0.3"/>
    <row r="16634" s="160" customFormat="1" x14ac:dyDescent="0.3"/>
    <row r="16635" s="160" customFormat="1" x14ac:dyDescent="0.3"/>
    <row r="16636" s="160" customFormat="1" x14ac:dyDescent="0.3"/>
    <row r="16637" s="160" customFormat="1" x14ac:dyDescent="0.3"/>
    <row r="16638" s="160" customFormat="1" x14ac:dyDescent="0.3"/>
    <row r="16639" s="160" customFormat="1" x14ac:dyDescent="0.3"/>
    <row r="16640" s="160" customFormat="1" x14ac:dyDescent="0.3"/>
    <row r="16641" s="160" customFormat="1" x14ac:dyDescent="0.3"/>
    <row r="16642" s="160" customFormat="1" x14ac:dyDescent="0.3"/>
    <row r="16643" s="160" customFormat="1" x14ac:dyDescent="0.3"/>
    <row r="16644" s="160" customFormat="1" x14ac:dyDescent="0.3"/>
    <row r="16645" s="160" customFormat="1" x14ac:dyDescent="0.3"/>
    <row r="16646" s="160" customFormat="1" x14ac:dyDescent="0.3"/>
    <row r="16647" s="160" customFormat="1" x14ac:dyDescent="0.3"/>
    <row r="16648" s="160" customFormat="1" x14ac:dyDescent="0.3"/>
    <row r="16649" s="160" customFormat="1" x14ac:dyDescent="0.3"/>
    <row r="16650" s="160" customFormat="1" x14ac:dyDescent="0.3"/>
    <row r="16651" s="160" customFormat="1" x14ac:dyDescent="0.3"/>
    <row r="16652" s="160" customFormat="1" x14ac:dyDescent="0.3"/>
    <row r="16653" s="160" customFormat="1" x14ac:dyDescent="0.3"/>
    <row r="16654" s="160" customFormat="1" x14ac:dyDescent="0.3"/>
    <row r="16655" s="160" customFormat="1" x14ac:dyDescent="0.3"/>
    <row r="16656" s="160" customFormat="1" x14ac:dyDescent="0.3"/>
    <row r="16657" s="160" customFormat="1" x14ac:dyDescent="0.3"/>
    <row r="16658" s="160" customFormat="1" x14ac:dyDescent="0.3"/>
    <row r="16659" s="160" customFormat="1" x14ac:dyDescent="0.3"/>
    <row r="16660" s="160" customFormat="1" x14ac:dyDescent="0.3"/>
    <row r="16661" s="160" customFormat="1" x14ac:dyDescent="0.3"/>
    <row r="16662" s="160" customFormat="1" x14ac:dyDescent="0.3"/>
    <row r="16663" s="160" customFormat="1" x14ac:dyDescent="0.3"/>
    <row r="16664" s="160" customFormat="1" x14ac:dyDescent="0.3"/>
    <row r="16665" s="160" customFormat="1" x14ac:dyDescent="0.3"/>
    <row r="16666" s="160" customFormat="1" x14ac:dyDescent="0.3"/>
    <row r="16667" s="160" customFormat="1" x14ac:dyDescent="0.3"/>
    <row r="16668" s="160" customFormat="1" x14ac:dyDescent="0.3"/>
    <row r="16669" s="160" customFormat="1" x14ac:dyDescent="0.3"/>
    <row r="16670" s="160" customFormat="1" x14ac:dyDescent="0.3"/>
    <row r="16671" s="160" customFormat="1" x14ac:dyDescent="0.3"/>
    <row r="16672" s="160" customFormat="1" x14ac:dyDescent="0.3"/>
    <row r="16673" s="160" customFormat="1" x14ac:dyDescent="0.3"/>
    <row r="16674" s="160" customFormat="1" x14ac:dyDescent="0.3"/>
    <row r="16675" s="160" customFormat="1" x14ac:dyDescent="0.3"/>
    <row r="16676" s="160" customFormat="1" x14ac:dyDescent="0.3"/>
    <row r="16677" s="160" customFormat="1" x14ac:dyDescent="0.3"/>
    <row r="16678" s="160" customFormat="1" x14ac:dyDescent="0.3"/>
    <row r="16679" s="160" customFormat="1" x14ac:dyDescent="0.3"/>
    <row r="16680" s="160" customFormat="1" x14ac:dyDescent="0.3"/>
    <row r="16681" s="160" customFormat="1" x14ac:dyDescent="0.3"/>
    <row r="16682" s="160" customFormat="1" x14ac:dyDescent="0.3"/>
    <row r="16683" s="160" customFormat="1" x14ac:dyDescent="0.3"/>
    <row r="16684" s="160" customFormat="1" x14ac:dyDescent="0.3"/>
    <row r="16685" s="160" customFormat="1" x14ac:dyDescent="0.3"/>
    <row r="16686" s="160" customFormat="1" x14ac:dyDescent="0.3"/>
    <row r="16687" s="160" customFormat="1" x14ac:dyDescent="0.3"/>
    <row r="16688" s="160" customFormat="1" x14ac:dyDescent="0.3"/>
    <row r="16689" s="160" customFormat="1" x14ac:dyDescent="0.3"/>
    <row r="16690" s="160" customFormat="1" x14ac:dyDescent="0.3"/>
    <row r="16691" s="160" customFormat="1" x14ac:dyDescent="0.3"/>
    <row r="16692" s="160" customFormat="1" x14ac:dyDescent="0.3"/>
    <row r="16693" s="160" customFormat="1" x14ac:dyDescent="0.3"/>
    <row r="16694" s="160" customFormat="1" x14ac:dyDescent="0.3"/>
    <row r="16695" s="160" customFormat="1" x14ac:dyDescent="0.3"/>
    <row r="16696" s="160" customFormat="1" x14ac:dyDescent="0.3"/>
    <row r="16697" s="160" customFormat="1" x14ac:dyDescent="0.3"/>
    <row r="16698" s="160" customFormat="1" x14ac:dyDescent="0.3"/>
    <row r="16699" s="160" customFormat="1" x14ac:dyDescent="0.3"/>
    <row r="16700" s="160" customFormat="1" x14ac:dyDescent="0.3"/>
    <row r="16701" s="160" customFormat="1" x14ac:dyDescent="0.3"/>
    <row r="16702" s="160" customFormat="1" x14ac:dyDescent="0.3"/>
    <row r="16703" s="160" customFormat="1" x14ac:dyDescent="0.3"/>
    <row r="16704" s="160" customFormat="1" x14ac:dyDescent="0.3"/>
    <row r="16705" s="160" customFormat="1" x14ac:dyDescent="0.3"/>
    <row r="16706" s="160" customFormat="1" x14ac:dyDescent="0.3"/>
    <row r="16707" s="160" customFormat="1" x14ac:dyDescent="0.3"/>
    <row r="16708" s="160" customFormat="1" x14ac:dyDescent="0.3"/>
    <row r="16709" s="160" customFormat="1" x14ac:dyDescent="0.3"/>
    <row r="16710" s="160" customFormat="1" x14ac:dyDescent="0.3"/>
    <row r="16711" s="160" customFormat="1" x14ac:dyDescent="0.3"/>
    <row r="16712" s="160" customFormat="1" x14ac:dyDescent="0.3"/>
    <row r="16713" s="160" customFormat="1" x14ac:dyDescent="0.3"/>
    <row r="16714" s="160" customFormat="1" x14ac:dyDescent="0.3"/>
    <row r="16715" s="160" customFormat="1" x14ac:dyDescent="0.3"/>
    <row r="16716" s="160" customFormat="1" x14ac:dyDescent="0.3"/>
    <row r="16717" s="160" customFormat="1" x14ac:dyDescent="0.3"/>
    <row r="16718" s="160" customFormat="1" x14ac:dyDescent="0.3"/>
    <row r="16719" s="160" customFormat="1" x14ac:dyDescent="0.3"/>
    <row r="16720" s="160" customFormat="1" x14ac:dyDescent="0.3"/>
    <row r="16721" s="160" customFormat="1" x14ac:dyDescent="0.3"/>
    <row r="16722" s="160" customFormat="1" x14ac:dyDescent="0.3"/>
    <row r="16723" s="160" customFormat="1" x14ac:dyDescent="0.3"/>
    <row r="16724" s="160" customFormat="1" x14ac:dyDescent="0.3"/>
    <row r="16725" s="160" customFormat="1" x14ac:dyDescent="0.3"/>
    <row r="16726" s="160" customFormat="1" x14ac:dyDescent="0.3"/>
    <row r="16727" s="160" customFormat="1" x14ac:dyDescent="0.3"/>
    <row r="16728" s="160" customFormat="1" x14ac:dyDescent="0.3"/>
    <row r="16729" s="160" customFormat="1" x14ac:dyDescent="0.3"/>
    <row r="16730" s="160" customFormat="1" x14ac:dyDescent="0.3"/>
    <row r="16731" s="160" customFormat="1" x14ac:dyDescent="0.3"/>
    <row r="16732" s="160" customFormat="1" x14ac:dyDescent="0.3"/>
    <row r="16733" s="160" customFormat="1" x14ac:dyDescent="0.3"/>
    <row r="16734" s="160" customFormat="1" x14ac:dyDescent="0.3"/>
    <row r="16735" s="160" customFormat="1" x14ac:dyDescent="0.3"/>
    <row r="16736" s="160" customFormat="1" x14ac:dyDescent="0.3"/>
    <row r="16737" s="160" customFormat="1" x14ac:dyDescent="0.3"/>
    <row r="16738" s="160" customFormat="1" x14ac:dyDescent="0.3"/>
    <row r="16739" s="160" customFormat="1" x14ac:dyDescent="0.3"/>
    <row r="16740" s="160" customFormat="1" x14ac:dyDescent="0.3"/>
    <row r="16741" s="160" customFormat="1" x14ac:dyDescent="0.3"/>
    <row r="16742" s="160" customFormat="1" x14ac:dyDescent="0.3"/>
    <row r="16743" s="160" customFormat="1" x14ac:dyDescent="0.3"/>
    <row r="16744" s="160" customFormat="1" x14ac:dyDescent="0.3"/>
    <row r="16745" s="160" customFormat="1" x14ac:dyDescent="0.3"/>
    <row r="16746" s="160" customFormat="1" x14ac:dyDescent="0.3"/>
    <row r="16747" s="160" customFormat="1" x14ac:dyDescent="0.3"/>
    <row r="16748" s="160" customFormat="1" x14ac:dyDescent="0.3"/>
    <row r="16749" s="160" customFormat="1" x14ac:dyDescent="0.3"/>
    <row r="16750" s="160" customFormat="1" x14ac:dyDescent="0.3"/>
    <row r="16751" s="160" customFormat="1" x14ac:dyDescent="0.3"/>
    <row r="16752" s="160" customFormat="1" x14ac:dyDescent="0.3"/>
    <row r="16753" s="160" customFormat="1" x14ac:dyDescent="0.3"/>
    <row r="16754" s="160" customFormat="1" x14ac:dyDescent="0.3"/>
    <row r="16755" s="160" customFormat="1" x14ac:dyDescent="0.3"/>
    <row r="16756" s="160" customFormat="1" x14ac:dyDescent="0.3"/>
    <row r="16757" s="160" customFormat="1" x14ac:dyDescent="0.3"/>
    <row r="16758" s="160" customFormat="1" x14ac:dyDescent="0.3"/>
    <row r="16759" s="160" customFormat="1" x14ac:dyDescent="0.3"/>
    <row r="16760" s="160" customFormat="1" x14ac:dyDescent="0.3"/>
    <row r="16761" s="160" customFormat="1" x14ac:dyDescent="0.3"/>
    <row r="16762" s="160" customFormat="1" x14ac:dyDescent="0.3"/>
    <row r="16763" s="160" customFormat="1" x14ac:dyDescent="0.3"/>
    <row r="16764" s="160" customFormat="1" x14ac:dyDescent="0.3"/>
    <row r="16765" s="160" customFormat="1" x14ac:dyDescent="0.3"/>
    <row r="16766" s="160" customFormat="1" x14ac:dyDescent="0.3"/>
    <row r="16767" s="160" customFormat="1" x14ac:dyDescent="0.3"/>
    <row r="16768" s="160" customFormat="1" x14ac:dyDescent="0.3"/>
    <row r="16769" s="160" customFormat="1" x14ac:dyDescent="0.3"/>
    <row r="16770" s="160" customFormat="1" x14ac:dyDescent="0.3"/>
    <row r="16771" s="160" customFormat="1" x14ac:dyDescent="0.3"/>
    <row r="16772" s="160" customFormat="1" x14ac:dyDescent="0.3"/>
    <row r="16773" s="160" customFormat="1" x14ac:dyDescent="0.3"/>
    <row r="16774" s="160" customFormat="1" x14ac:dyDescent="0.3"/>
    <row r="16775" s="160" customFormat="1" x14ac:dyDescent="0.3"/>
    <row r="16776" s="160" customFormat="1" x14ac:dyDescent="0.3"/>
    <row r="16777" s="160" customFormat="1" x14ac:dyDescent="0.3"/>
    <row r="16778" s="160" customFormat="1" x14ac:dyDescent="0.3"/>
    <row r="16779" s="160" customFormat="1" x14ac:dyDescent="0.3"/>
    <row r="16780" s="160" customFormat="1" x14ac:dyDescent="0.3"/>
    <row r="16781" s="160" customFormat="1" x14ac:dyDescent="0.3"/>
    <row r="16782" s="160" customFormat="1" x14ac:dyDescent="0.3"/>
    <row r="16783" s="160" customFormat="1" x14ac:dyDescent="0.3"/>
    <row r="16784" s="160" customFormat="1" x14ac:dyDescent="0.3"/>
    <row r="16785" s="160" customFormat="1" x14ac:dyDescent="0.3"/>
    <row r="16786" s="160" customFormat="1" x14ac:dyDescent="0.3"/>
    <row r="16787" s="160" customFormat="1" x14ac:dyDescent="0.3"/>
    <row r="16788" s="160" customFormat="1" x14ac:dyDescent="0.3"/>
    <row r="16789" s="160" customFormat="1" x14ac:dyDescent="0.3"/>
    <row r="16790" s="160" customFormat="1" x14ac:dyDescent="0.3"/>
    <row r="16791" s="160" customFormat="1" x14ac:dyDescent="0.3"/>
    <row r="16792" s="160" customFormat="1" x14ac:dyDescent="0.3"/>
    <row r="16793" s="160" customFormat="1" x14ac:dyDescent="0.3"/>
    <row r="16794" s="160" customFormat="1" x14ac:dyDescent="0.3"/>
    <row r="16795" s="160" customFormat="1" x14ac:dyDescent="0.3"/>
    <row r="16796" s="160" customFormat="1" x14ac:dyDescent="0.3"/>
    <row r="16797" s="160" customFormat="1" x14ac:dyDescent="0.3"/>
    <row r="16798" s="160" customFormat="1" x14ac:dyDescent="0.3"/>
    <row r="16799" s="160" customFormat="1" x14ac:dyDescent="0.3"/>
    <row r="16800" s="160" customFormat="1" x14ac:dyDescent="0.3"/>
    <row r="16801" s="160" customFormat="1" x14ac:dyDescent="0.3"/>
    <row r="16802" s="160" customFormat="1" x14ac:dyDescent="0.3"/>
    <row r="16803" s="160" customFormat="1" x14ac:dyDescent="0.3"/>
    <row r="16804" s="160" customFormat="1" x14ac:dyDescent="0.3"/>
    <row r="16805" s="160" customFormat="1" x14ac:dyDescent="0.3"/>
    <row r="16806" s="160" customFormat="1" x14ac:dyDescent="0.3"/>
    <row r="16807" s="160" customFormat="1" x14ac:dyDescent="0.3"/>
    <row r="16808" s="160" customFormat="1" x14ac:dyDescent="0.3"/>
    <row r="16809" s="160" customFormat="1" x14ac:dyDescent="0.3"/>
    <row r="16810" s="160" customFormat="1" x14ac:dyDescent="0.3"/>
    <row r="16811" s="160" customFormat="1" x14ac:dyDescent="0.3"/>
    <row r="16812" s="160" customFormat="1" x14ac:dyDescent="0.3"/>
    <row r="16813" s="160" customFormat="1" x14ac:dyDescent="0.3"/>
    <row r="16814" s="160" customFormat="1" x14ac:dyDescent="0.3"/>
    <row r="16815" s="160" customFormat="1" x14ac:dyDescent="0.3"/>
    <row r="16816" s="160" customFormat="1" x14ac:dyDescent="0.3"/>
    <row r="16817" s="160" customFormat="1" x14ac:dyDescent="0.3"/>
    <row r="16818" s="160" customFormat="1" x14ac:dyDescent="0.3"/>
    <row r="16819" s="160" customFormat="1" x14ac:dyDescent="0.3"/>
    <row r="16820" s="160" customFormat="1" x14ac:dyDescent="0.3"/>
    <row r="16821" s="160" customFormat="1" x14ac:dyDescent="0.3"/>
    <row r="16822" s="160" customFormat="1" x14ac:dyDescent="0.3"/>
    <row r="16823" s="160" customFormat="1" x14ac:dyDescent="0.3"/>
    <row r="16824" s="160" customFormat="1" x14ac:dyDescent="0.3"/>
    <row r="16825" s="160" customFormat="1" x14ac:dyDescent="0.3"/>
    <row r="16826" s="160" customFormat="1" x14ac:dyDescent="0.3"/>
    <row r="16827" s="160" customFormat="1" x14ac:dyDescent="0.3"/>
    <row r="16828" s="160" customFormat="1" x14ac:dyDescent="0.3"/>
    <row r="16829" s="160" customFormat="1" x14ac:dyDescent="0.3"/>
    <row r="16830" s="160" customFormat="1" x14ac:dyDescent="0.3"/>
    <row r="16831" s="160" customFormat="1" x14ac:dyDescent="0.3"/>
    <row r="16832" s="160" customFormat="1" x14ac:dyDescent="0.3"/>
    <row r="16833" s="160" customFormat="1" x14ac:dyDescent="0.3"/>
    <row r="16834" s="160" customFormat="1" x14ac:dyDescent="0.3"/>
    <row r="16835" s="160" customFormat="1" x14ac:dyDescent="0.3"/>
    <row r="16836" s="160" customFormat="1" x14ac:dyDescent="0.3"/>
    <row r="16837" s="160" customFormat="1" x14ac:dyDescent="0.3"/>
    <row r="16838" s="160" customFormat="1" x14ac:dyDescent="0.3"/>
    <row r="16839" s="160" customFormat="1" x14ac:dyDescent="0.3"/>
    <row r="16840" s="160" customFormat="1" x14ac:dyDescent="0.3"/>
    <row r="16841" s="160" customFormat="1" x14ac:dyDescent="0.3"/>
    <row r="16842" s="160" customFormat="1" x14ac:dyDescent="0.3"/>
    <row r="16843" s="160" customFormat="1" x14ac:dyDescent="0.3"/>
    <row r="16844" s="160" customFormat="1" x14ac:dyDescent="0.3"/>
    <row r="16845" s="160" customFormat="1" x14ac:dyDescent="0.3"/>
    <row r="16846" s="160" customFormat="1" x14ac:dyDescent="0.3"/>
    <row r="16847" s="160" customFormat="1" x14ac:dyDescent="0.3"/>
    <row r="16848" s="160" customFormat="1" x14ac:dyDescent="0.3"/>
    <row r="16849" s="160" customFormat="1" x14ac:dyDescent="0.3"/>
    <row r="16850" s="160" customFormat="1" x14ac:dyDescent="0.3"/>
    <row r="16851" s="160" customFormat="1" x14ac:dyDescent="0.3"/>
    <row r="16852" s="160" customFormat="1" x14ac:dyDescent="0.3"/>
    <row r="16853" s="160" customFormat="1" x14ac:dyDescent="0.3"/>
    <row r="16854" s="160" customFormat="1" x14ac:dyDescent="0.3"/>
    <row r="16855" s="160" customFormat="1" x14ac:dyDescent="0.3"/>
    <row r="16856" s="160" customFormat="1" x14ac:dyDescent="0.3"/>
    <row r="16857" s="160" customFormat="1" x14ac:dyDescent="0.3"/>
    <row r="16858" s="160" customFormat="1" x14ac:dyDescent="0.3"/>
    <row r="16859" s="160" customFormat="1" x14ac:dyDescent="0.3"/>
    <row r="16860" s="160" customFormat="1" x14ac:dyDescent="0.3"/>
    <row r="16861" s="160" customFormat="1" x14ac:dyDescent="0.3"/>
    <row r="16862" s="160" customFormat="1" x14ac:dyDescent="0.3"/>
    <row r="16863" s="160" customFormat="1" x14ac:dyDescent="0.3"/>
    <row r="16864" s="160" customFormat="1" x14ac:dyDescent="0.3"/>
    <row r="16865" s="160" customFormat="1" x14ac:dyDescent="0.3"/>
    <row r="16866" s="160" customFormat="1" x14ac:dyDescent="0.3"/>
    <row r="16867" s="160" customFormat="1" x14ac:dyDescent="0.3"/>
    <row r="16868" s="160" customFormat="1" x14ac:dyDescent="0.3"/>
    <row r="16869" s="160" customFormat="1" x14ac:dyDescent="0.3"/>
    <row r="16870" s="160" customFormat="1" x14ac:dyDescent="0.3"/>
    <row r="16871" s="160" customFormat="1" x14ac:dyDescent="0.3"/>
    <row r="16872" s="160" customFormat="1" x14ac:dyDescent="0.3"/>
    <row r="16873" s="160" customFormat="1" x14ac:dyDescent="0.3"/>
    <row r="16874" s="160" customFormat="1" x14ac:dyDescent="0.3"/>
    <row r="16875" s="160" customFormat="1" x14ac:dyDescent="0.3"/>
    <row r="16876" s="160" customFormat="1" x14ac:dyDescent="0.3"/>
    <row r="16877" s="160" customFormat="1" x14ac:dyDescent="0.3"/>
    <row r="16878" s="160" customFormat="1" x14ac:dyDescent="0.3"/>
    <row r="16879" s="160" customFormat="1" x14ac:dyDescent="0.3"/>
    <row r="16880" s="160" customFormat="1" x14ac:dyDescent="0.3"/>
    <row r="16881" s="160" customFormat="1" x14ac:dyDescent="0.3"/>
    <row r="16882" s="160" customFormat="1" x14ac:dyDescent="0.3"/>
    <row r="16883" s="160" customFormat="1" x14ac:dyDescent="0.3"/>
    <row r="16884" s="160" customFormat="1" x14ac:dyDescent="0.3"/>
    <row r="16885" s="160" customFormat="1" x14ac:dyDescent="0.3"/>
    <row r="16886" s="160" customFormat="1" x14ac:dyDescent="0.3"/>
    <row r="16887" s="160" customFormat="1" x14ac:dyDescent="0.3"/>
    <row r="16888" s="160" customFormat="1" x14ac:dyDescent="0.3"/>
    <row r="16889" s="160" customFormat="1" x14ac:dyDescent="0.3"/>
    <row r="16890" s="160" customFormat="1" x14ac:dyDescent="0.3"/>
    <row r="16891" s="160" customFormat="1" x14ac:dyDescent="0.3"/>
    <row r="16892" s="160" customFormat="1" x14ac:dyDescent="0.3"/>
    <row r="16893" s="160" customFormat="1" x14ac:dyDescent="0.3"/>
    <row r="16894" s="160" customFormat="1" x14ac:dyDescent="0.3"/>
    <row r="16895" s="160" customFormat="1" x14ac:dyDescent="0.3"/>
    <row r="16896" s="160" customFormat="1" x14ac:dyDescent="0.3"/>
    <row r="16897" s="160" customFormat="1" x14ac:dyDescent="0.3"/>
    <row r="16898" s="160" customFormat="1" x14ac:dyDescent="0.3"/>
    <row r="16899" s="160" customFormat="1" x14ac:dyDescent="0.3"/>
    <row r="16900" s="160" customFormat="1" x14ac:dyDescent="0.3"/>
    <row r="16901" s="160" customFormat="1" x14ac:dyDescent="0.3"/>
    <row r="16902" s="160" customFormat="1" x14ac:dyDescent="0.3"/>
    <row r="16903" s="160" customFormat="1" x14ac:dyDescent="0.3"/>
    <row r="16904" s="160" customFormat="1" x14ac:dyDescent="0.3"/>
    <row r="16905" s="160" customFormat="1" x14ac:dyDescent="0.3"/>
    <row r="16906" s="160" customFormat="1" x14ac:dyDescent="0.3"/>
    <row r="16907" s="160" customFormat="1" x14ac:dyDescent="0.3"/>
    <row r="16908" s="160" customFormat="1" x14ac:dyDescent="0.3"/>
    <row r="16909" s="160" customFormat="1" x14ac:dyDescent="0.3"/>
    <row r="16910" s="160" customFormat="1" x14ac:dyDescent="0.3"/>
    <row r="16911" s="160" customFormat="1" x14ac:dyDescent="0.3"/>
    <row r="16912" s="160" customFormat="1" x14ac:dyDescent="0.3"/>
    <row r="16913" s="160" customFormat="1" x14ac:dyDescent="0.3"/>
    <row r="16914" s="160" customFormat="1" x14ac:dyDescent="0.3"/>
    <row r="16915" s="160" customFormat="1" x14ac:dyDescent="0.3"/>
    <row r="16916" s="160" customFormat="1" x14ac:dyDescent="0.3"/>
    <row r="16917" s="160" customFormat="1" x14ac:dyDescent="0.3"/>
    <row r="16918" s="160" customFormat="1" x14ac:dyDescent="0.3"/>
    <row r="16919" s="160" customFormat="1" x14ac:dyDescent="0.3"/>
    <row r="16920" s="160" customFormat="1" x14ac:dyDescent="0.3"/>
    <row r="16921" s="160" customFormat="1" x14ac:dyDescent="0.3"/>
    <row r="16922" s="160" customFormat="1" x14ac:dyDescent="0.3"/>
    <row r="16923" s="160" customFormat="1" x14ac:dyDescent="0.3"/>
    <row r="16924" s="160" customFormat="1" x14ac:dyDescent="0.3"/>
    <row r="16925" s="160" customFormat="1" x14ac:dyDescent="0.3"/>
    <row r="16926" s="160" customFormat="1" x14ac:dyDescent="0.3"/>
    <row r="16927" s="160" customFormat="1" x14ac:dyDescent="0.3"/>
    <row r="16928" s="160" customFormat="1" x14ac:dyDescent="0.3"/>
    <row r="16929" s="160" customFormat="1" x14ac:dyDescent="0.3"/>
    <row r="16930" s="160" customFormat="1" x14ac:dyDescent="0.3"/>
    <row r="16931" s="160" customFormat="1" x14ac:dyDescent="0.3"/>
    <row r="16932" s="160" customFormat="1" x14ac:dyDescent="0.3"/>
    <row r="16933" s="160" customFormat="1" x14ac:dyDescent="0.3"/>
    <row r="16934" s="160" customFormat="1" x14ac:dyDescent="0.3"/>
    <row r="16935" s="160" customFormat="1" x14ac:dyDescent="0.3"/>
    <row r="16936" s="160" customFormat="1" x14ac:dyDescent="0.3"/>
    <row r="16937" s="160" customFormat="1" x14ac:dyDescent="0.3"/>
    <row r="16938" s="160" customFormat="1" x14ac:dyDescent="0.3"/>
    <row r="16939" s="160" customFormat="1" x14ac:dyDescent="0.3"/>
    <row r="16940" s="160" customFormat="1" x14ac:dyDescent="0.3"/>
    <row r="16941" s="160" customFormat="1" x14ac:dyDescent="0.3"/>
    <row r="16942" s="160" customFormat="1" x14ac:dyDescent="0.3"/>
    <row r="16943" s="160" customFormat="1" x14ac:dyDescent="0.3"/>
    <row r="16944" s="160" customFormat="1" x14ac:dyDescent="0.3"/>
    <row r="16945" s="160" customFormat="1" x14ac:dyDescent="0.3"/>
    <row r="16946" s="160" customFormat="1" x14ac:dyDescent="0.3"/>
    <row r="16947" s="160" customFormat="1" x14ac:dyDescent="0.3"/>
    <row r="16948" s="160" customFormat="1" x14ac:dyDescent="0.3"/>
    <row r="16949" s="160" customFormat="1" x14ac:dyDescent="0.3"/>
    <row r="16950" s="160" customFormat="1" x14ac:dyDescent="0.3"/>
    <row r="16951" s="160" customFormat="1" x14ac:dyDescent="0.3"/>
    <row r="16952" s="160" customFormat="1" x14ac:dyDescent="0.3"/>
    <row r="16953" s="160" customFormat="1" x14ac:dyDescent="0.3"/>
    <row r="16954" s="160" customFormat="1" x14ac:dyDescent="0.3"/>
    <row r="16955" s="160" customFormat="1" x14ac:dyDescent="0.3"/>
    <row r="16956" s="160" customFormat="1" x14ac:dyDescent="0.3"/>
    <row r="16957" s="160" customFormat="1" x14ac:dyDescent="0.3"/>
    <row r="16958" s="160" customFormat="1" x14ac:dyDescent="0.3"/>
    <row r="16959" s="160" customFormat="1" x14ac:dyDescent="0.3"/>
    <row r="16960" s="160" customFormat="1" x14ac:dyDescent="0.3"/>
    <row r="16961" s="160" customFormat="1" x14ac:dyDescent="0.3"/>
    <row r="16962" s="160" customFormat="1" x14ac:dyDescent="0.3"/>
    <row r="16963" s="160" customFormat="1" x14ac:dyDescent="0.3"/>
    <row r="16964" s="160" customFormat="1" x14ac:dyDescent="0.3"/>
    <row r="16965" s="160" customFormat="1" x14ac:dyDescent="0.3"/>
    <row r="16966" s="160" customFormat="1" x14ac:dyDescent="0.3"/>
    <row r="16967" s="160" customFormat="1" x14ac:dyDescent="0.3"/>
    <row r="16968" s="160" customFormat="1" x14ac:dyDescent="0.3"/>
    <row r="16969" s="160" customFormat="1" x14ac:dyDescent="0.3"/>
    <row r="16970" s="160" customFormat="1" x14ac:dyDescent="0.3"/>
    <row r="16971" s="160" customFormat="1" x14ac:dyDescent="0.3"/>
    <row r="16972" s="160" customFormat="1" x14ac:dyDescent="0.3"/>
    <row r="16973" s="160" customFormat="1" x14ac:dyDescent="0.3"/>
    <row r="16974" s="160" customFormat="1" x14ac:dyDescent="0.3"/>
    <row r="16975" s="160" customFormat="1" x14ac:dyDescent="0.3"/>
    <row r="16976" s="160" customFormat="1" x14ac:dyDescent="0.3"/>
    <row r="16977" s="160" customFormat="1" x14ac:dyDescent="0.3"/>
    <row r="16978" s="160" customFormat="1" x14ac:dyDescent="0.3"/>
    <row r="16979" s="160" customFormat="1" x14ac:dyDescent="0.3"/>
    <row r="16980" s="160" customFormat="1" x14ac:dyDescent="0.3"/>
    <row r="16981" s="160" customFormat="1" x14ac:dyDescent="0.3"/>
    <row r="16982" s="160" customFormat="1" x14ac:dyDescent="0.3"/>
    <row r="16983" s="160" customFormat="1" x14ac:dyDescent="0.3"/>
    <row r="16984" s="160" customFormat="1" x14ac:dyDescent="0.3"/>
    <row r="16985" s="160" customFormat="1" x14ac:dyDescent="0.3"/>
    <row r="16986" s="160" customFormat="1" x14ac:dyDescent="0.3"/>
    <row r="16987" s="160" customFormat="1" x14ac:dyDescent="0.3"/>
    <row r="16988" s="160" customFormat="1" x14ac:dyDescent="0.3"/>
    <row r="16989" s="160" customFormat="1" x14ac:dyDescent="0.3"/>
    <row r="16990" s="160" customFormat="1" x14ac:dyDescent="0.3"/>
    <row r="16991" s="160" customFormat="1" x14ac:dyDescent="0.3"/>
    <row r="16992" s="160" customFormat="1" x14ac:dyDescent="0.3"/>
    <row r="16993" s="160" customFormat="1" x14ac:dyDescent="0.3"/>
    <row r="16994" s="160" customFormat="1" x14ac:dyDescent="0.3"/>
    <row r="16995" s="160" customFormat="1" x14ac:dyDescent="0.3"/>
    <row r="16996" s="160" customFormat="1" x14ac:dyDescent="0.3"/>
    <row r="16997" s="160" customFormat="1" x14ac:dyDescent="0.3"/>
    <row r="16998" s="160" customFormat="1" x14ac:dyDescent="0.3"/>
    <row r="16999" s="160" customFormat="1" x14ac:dyDescent="0.3"/>
    <row r="17000" s="160" customFormat="1" x14ac:dyDescent="0.3"/>
    <row r="17001" s="160" customFormat="1" x14ac:dyDescent="0.3"/>
    <row r="17002" s="160" customFormat="1" x14ac:dyDescent="0.3"/>
    <row r="17003" s="160" customFormat="1" x14ac:dyDescent="0.3"/>
    <row r="17004" s="160" customFormat="1" x14ac:dyDescent="0.3"/>
    <row r="17005" s="160" customFormat="1" x14ac:dyDescent="0.3"/>
    <row r="17006" s="160" customFormat="1" x14ac:dyDescent="0.3"/>
    <row r="17007" s="160" customFormat="1" x14ac:dyDescent="0.3"/>
    <row r="17008" s="160" customFormat="1" x14ac:dyDescent="0.3"/>
    <row r="17009" s="160" customFormat="1" x14ac:dyDescent="0.3"/>
    <row r="17010" s="160" customFormat="1" x14ac:dyDescent="0.3"/>
    <row r="17011" s="160" customFormat="1" x14ac:dyDescent="0.3"/>
    <row r="17012" s="160" customFormat="1" x14ac:dyDescent="0.3"/>
    <row r="17013" s="160" customFormat="1" x14ac:dyDescent="0.3"/>
    <row r="17014" s="160" customFormat="1" x14ac:dyDescent="0.3"/>
    <row r="17015" s="160" customFormat="1" x14ac:dyDescent="0.3"/>
    <row r="17016" s="160" customFormat="1" x14ac:dyDescent="0.3"/>
    <row r="17017" s="160" customFormat="1" x14ac:dyDescent="0.3"/>
    <row r="17018" s="160" customFormat="1" x14ac:dyDescent="0.3"/>
    <row r="17019" s="160" customFormat="1" x14ac:dyDescent="0.3"/>
    <row r="17020" s="160" customFormat="1" x14ac:dyDescent="0.3"/>
    <row r="17021" s="160" customFormat="1" x14ac:dyDescent="0.3"/>
    <row r="17022" s="160" customFormat="1" x14ac:dyDescent="0.3"/>
    <row r="17023" s="160" customFormat="1" x14ac:dyDescent="0.3"/>
    <row r="17024" s="160" customFormat="1" x14ac:dyDescent="0.3"/>
    <row r="17025" s="160" customFormat="1" x14ac:dyDescent="0.3"/>
    <row r="17026" s="160" customFormat="1" x14ac:dyDescent="0.3"/>
    <row r="17027" s="160" customFormat="1" x14ac:dyDescent="0.3"/>
    <row r="17028" s="160" customFormat="1" x14ac:dyDescent="0.3"/>
    <row r="17029" s="160" customFormat="1" x14ac:dyDescent="0.3"/>
    <row r="17030" s="160" customFormat="1" x14ac:dyDescent="0.3"/>
    <row r="17031" s="160" customFormat="1" x14ac:dyDescent="0.3"/>
    <row r="17032" s="160" customFormat="1" x14ac:dyDescent="0.3"/>
    <row r="17033" s="160" customFormat="1" x14ac:dyDescent="0.3"/>
    <row r="17034" s="160" customFormat="1" x14ac:dyDescent="0.3"/>
    <row r="17035" s="160" customFormat="1" x14ac:dyDescent="0.3"/>
    <row r="17036" s="160" customFormat="1" x14ac:dyDescent="0.3"/>
    <row r="17037" s="160" customFormat="1" x14ac:dyDescent="0.3"/>
    <row r="17038" s="160" customFormat="1" x14ac:dyDescent="0.3"/>
    <row r="17039" s="160" customFormat="1" x14ac:dyDescent="0.3"/>
    <row r="17040" s="160" customFormat="1" x14ac:dyDescent="0.3"/>
    <row r="17041" s="160" customFormat="1" x14ac:dyDescent="0.3"/>
    <row r="17042" s="160" customFormat="1" x14ac:dyDescent="0.3"/>
    <row r="17043" s="160" customFormat="1" x14ac:dyDescent="0.3"/>
    <row r="17044" s="160" customFormat="1" x14ac:dyDescent="0.3"/>
    <row r="17045" s="160" customFormat="1" x14ac:dyDescent="0.3"/>
    <row r="17046" s="160" customFormat="1" x14ac:dyDescent="0.3"/>
    <row r="17047" s="160" customFormat="1" x14ac:dyDescent="0.3"/>
    <row r="17048" s="160" customFormat="1" x14ac:dyDescent="0.3"/>
    <row r="17049" s="160" customFormat="1" x14ac:dyDescent="0.3"/>
    <row r="17050" s="160" customFormat="1" x14ac:dyDescent="0.3"/>
    <row r="17051" s="160" customFormat="1" x14ac:dyDescent="0.3"/>
    <row r="17052" s="160" customFormat="1" x14ac:dyDescent="0.3"/>
    <row r="17053" s="160" customFormat="1" x14ac:dyDescent="0.3"/>
    <row r="17054" s="160" customFormat="1" x14ac:dyDescent="0.3"/>
    <row r="17055" s="160" customFormat="1" x14ac:dyDescent="0.3"/>
    <row r="17056" s="160" customFormat="1" x14ac:dyDescent="0.3"/>
    <row r="17057" s="160" customFormat="1" x14ac:dyDescent="0.3"/>
    <row r="17058" s="160" customFormat="1" x14ac:dyDescent="0.3"/>
    <row r="17059" s="160" customFormat="1" x14ac:dyDescent="0.3"/>
    <row r="17060" s="160" customFormat="1" x14ac:dyDescent="0.3"/>
    <row r="17061" s="160" customFormat="1" x14ac:dyDescent="0.3"/>
    <row r="17062" s="160" customFormat="1" x14ac:dyDescent="0.3"/>
    <row r="17063" s="160" customFormat="1" x14ac:dyDescent="0.3"/>
    <row r="17064" s="160" customFormat="1" x14ac:dyDescent="0.3"/>
    <row r="17065" s="160" customFormat="1" x14ac:dyDescent="0.3"/>
    <row r="17066" s="160" customFormat="1" x14ac:dyDescent="0.3"/>
    <row r="17067" s="160" customFormat="1" x14ac:dyDescent="0.3"/>
    <row r="17068" s="160" customFormat="1" x14ac:dyDescent="0.3"/>
    <row r="17069" s="160" customFormat="1" x14ac:dyDescent="0.3"/>
    <row r="17070" s="160" customFormat="1" x14ac:dyDescent="0.3"/>
    <row r="17071" s="160" customFormat="1" x14ac:dyDescent="0.3"/>
    <row r="17072" s="160" customFormat="1" x14ac:dyDescent="0.3"/>
    <row r="17073" s="160" customFormat="1" x14ac:dyDescent="0.3"/>
    <row r="17074" s="160" customFormat="1" x14ac:dyDescent="0.3"/>
    <row r="17075" s="160" customFormat="1" x14ac:dyDescent="0.3"/>
    <row r="17076" s="160" customFormat="1" x14ac:dyDescent="0.3"/>
    <row r="17077" s="160" customFormat="1" x14ac:dyDescent="0.3"/>
    <row r="17078" s="160" customFormat="1" x14ac:dyDescent="0.3"/>
    <row r="17079" s="160" customFormat="1" x14ac:dyDescent="0.3"/>
    <row r="17080" s="160" customFormat="1" x14ac:dyDescent="0.3"/>
    <row r="17081" s="160" customFormat="1" x14ac:dyDescent="0.3"/>
    <row r="17082" s="160" customFormat="1" x14ac:dyDescent="0.3"/>
    <row r="17083" s="160" customFormat="1" x14ac:dyDescent="0.3"/>
    <row r="17084" s="160" customFormat="1" x14ac:dyDescent="0.3"/>
    <row r="17085" s="160" customFormat="1" x14ac:dyDescent="0.3"/>
    <row r="17086" s="160" customFormat="1" x14ac:dyDescent="0.3"/>
    <row r="17087" s="160" customFormat="1" x14ac:dyDescent="0.3"/>
    <row r="17088" s="160" customFormat="1" x14ac:dyDescent="0.3"/>
    <row r="17089" s="160" customFormat="1" x14ac:dyDescent="0.3"/>
    <row r="17090" s="160" customFormat="1" x14ac:dyDescent="0.3"/>
    <row r="17091" s="160" customFormat="1" x14ac:dyDescent="0.3"/>
    <row r="17092" s="160" customFormat="1" x14ac:dyDescent="0.3"/>
    <row r="17093" s="160" customFormat="1" x14ac:dyDescent="0.3"/>
    <row r="17094" s="160" customFormat="1" x14ac:dyDescent="0.3"/>
    <row r="17095" s="160" customFormat="1" x14ac:dyDescent="0.3"/>
    <row r="17096" s="160" customFormat="1" x14ac:dyDescent="0.3"/>
    <row r="17097" s="160" customFormat="1" x14ac:dyDescent="0.3"/>
    <row r="17098" s="160" customFormat="1" x14ac:dyDescent="0.3"/>
    <row r="17099" s="160" customFormat="1" x14ac:dyDescent="0.3"/>
    <row r="17100" s="160" customFormat="1" x14ac:dyDescent="0.3"/>
    <row r="17101" s="160" customFormat="1" x14ac:dyDescent="0.3"/>
    <row r="17102" s="160" customFormat="1" x14ac:dyDescent="0.3"/>
    <row r="17103" s="160" customFormat="1" x14ac:dyDescent="0.3"/>
    <row r="17104" s="160" customFormat="1" x14ac:dyDescent="0.3"/>
    <row r="17105" s="160" customFormat="1" x14ac:dyDescent="0.3"/>
    <row r="17106" s="160" customFormat="1" x14ac:dyDescent="0.3"/>
    <row r="17107" s="160" customFormat="1" x14ac:dyDescent="0.3"/>
    <row r="17108" s="160" customFormat="1" x14ac:dyDescent="0.3"/>
    <row r="17109" s="160" customFormat="1" x14ac:dyDescent="0.3"/>
    <row r="17110" s="160" customFormat="1" x14ac:dyDescent="0.3"/>
    <row r="17111" s="160" customFormat="1" x14ac:dyDescent="0.3"/>
    <row r="17112" s="160" customFormat="1" x14ac:dyDescent="0.3"/>
    <row r="17113" s="160" customFormat="1" x14ac:dyDescent="0.3"/>
    <row r="17114" s="160" customFormat="1" x14ac:dyDescent="0.3"/>
    <row r="17115" s="160" customFormat="1" x14ac:dyDescent="0.3"/>
    <row r="17116" s="160" customFormat="1" x14ac:dyDescent="0.3"/>
    <row r="17117" s="160" customFormat="1" x14ac:dyDescent="0.3"/>
    <row r="17118" s="160" customFormat="1" x14ac:dyDescent="0.3"/>
    <row r="17119" s="160" customFormat="1" x14ac:dyDescent="0.3"/>
    <row r="17120" s="160" customFormat="1" x14ac:dyDescent="0.3"/>
    <row r="17121" s="160" customFormat="1" x14ac:dyDescent="0.3"/>
    <row r="17122" s="160" customFormat="1" x14ac:dyDescent="0.3"/>
    <row r="17123" s="160" customFormat="1" x14ac:dyDescent="0.3"/>
    <row r="17124" s="160" customFormat="1" x14ac:dyDescent="0.3"/>
    <row r="17125" s="160" customFormat="1" x14ac:dyDescent="0.3"/>
    <row r="17126" s="160" customFormat="1" x14ac:dyDescent="0.3"/>
    <row r="17127" s="160" customFormat="1" x14ac:dyDescent="0.3"/>
    <row r="17128" s="160" customFormat="1" x14ac:dyDescent="0.3"/>
    <row r="17129" s="160" customFormat="1" x14ac:dyDescent="0.3"/>
    <row r="17130" s="160" customFormat="1" x14ac:dyDescent="0.3"/>
    <row r="17131" s="160" customFormat="1" x14ac:dyDescent="0.3"/>
    <row r="17132" s="160" customFormat="1" x14ac:dyDescent="0.3"/>
    <row r="17133" s="160" customFormat="1" x14ac:dyDescent="0.3"/>
    <row r="17134" s="160" customFormat="1" x14ac:dyDescent="0.3"/>
    <row r="17135" s="160" customFormat="1" x14ac:dyDescent="0.3"/>
    <row r="17136" s="160" customFormat="1" x14ac:dyDescent="0.3"/>
    <row r="17137" s="160" customFormat="1" x14ac:dyDescent="0.3"/>
    <row r="17138" s="160" customFormat="1" x14ac:dyDescent="0.3"/>
    <row r="17139" s="160" customFormat="1" x14ac:dyDescent="0.3"/>
    <row r="17140" s="160" customFormat="1" x14ac:dyDescent="0.3"/>
    <row r="17141" s="160" customFormat="1" x14ac:dyDescent="0.3"/>
    <row r="17142" s="160" customFormat="1" x14ac:dyDescent="0.3"/>
    <row r="17143" s="160" customFormat="1" x14ac:dyDescent="0.3"/>
    <row r="17144" s="160" customFormat="1" x14ac:dyDescent="0.3"/>
    <row r="17145" s="160" customFormat="1" x14ac:dyDescent="0.3"/>
    <row r="17146" s="160" customFormat="1" x14ac:dyDescent="0.3"/>
    <row r="17147" s="160" customFormat="1" x14ac:dyDescent="0.3"/>
    <row r="17148" s="160" customFormat="1" x14ac:dyDescent="0.3"/>
    <row r="17149" s="160" customFormat="1" x14ac:dyDescent="0.3"/>
    <row r="17150" s="160" customFormat="1" x14ac:dyDescent="0.3"/>
    <row r="17151" s="160" customFormat="1" x14ac:dyDescent="0.3"/>
    <row r="17152" s="160" customFormat="1" x14ac:dyDescent="0.3"/>
    <row r="17153" s="160" customFormat="1" x14ac:dyDescent="0.3"/>
    <row r="17154" s="160" customFormat="1" x14ac:dyDescent="0.3"/>
    <row r="17155" s="160" customFormat="1" x14ac:dyDescent="0.3"/>
    <row r="17156" s="160" customFormat="1" x14ac:dyDescent="0.3"/>
    <row r="17157" s="160" customFormat="1" x14ac:dyDescent="0.3"/>
    <row r="17158" s="160" customFormat="1" x14ac:dyDescent="0.3"/>
    <row r="17159" s="160" customFormat="1" x14ac:dyDescent="0.3"/>
    <row r="17160" s="160" customFormat="1" x14ac:dyDescent="0.3"/>
    <row r="17161" s="160" customFormat="1" x14ac:dyDescent="0.3"/>
    <row r="17162" s="160" customFormat="1" x14ac:dyDescent="0.3"/>
    <row r="17163" s="160" customFormat="1" x14ac:dyDescent="0.3"/>
    <row r="17164" s="160" customFormat="1" x14ac:dyDescent="0.3"/>
    <row r="17165" s="160" customFormat="1" x14ac:dyDescent="0.3"/>
    <row r="17166" s="160" customFormat="1" x14ac:dyDescent="0.3"/>
    <row r="17167" s="160" customFormat="1" x14ac:dyDescent="0.3"/>
    <row r="17168" s="160" customFormat="1" x14ac:dyDescent="0.3"/>
    <row r="17169" s="160" customFormat="1" x14ac:dyDescent="0.3"/>
    <row r="17170" s="160" customFormat="1" x14ac:dyDescent="0.3"/>
    <row r="17171" s="160" customFormat="1" x14ac:dyDescent="0.3"/>
    <row r="17172" s="160" customFormat="1" x14ac:dyDescent="0.3"/>
    <row r="17173" s="160" customFormat="1" x14ac:dyDescent="0.3"/>
    <row r="17174" s="160" customFormat="1" x14ac:dyDescent="0.3"/>
    <row r="17175" s="160" customFormat="1" x14ac:dyDescent="0.3"/>
    <row r="17176" s="160" customFormat="1" x14ac:dyDescent="0.3"/>
    <row r="17177" s="160" customFormat="1" x14ac:dyDescent="0.3"/>
    <row r="17178" s="160" customFormat="1" x14ac:dyDescent="0.3"/>
    <row r="17179" s="160" customFormat="1" x14ac:dyDescent="0.3"/>
    <row r="17180" s="160" customFormat="1" x14ac:dyDescent="0.3"/>
    <row r="17181" s="160" customFormat="1" x14ac:dyDescent="0.3"/>
    <row r="17182" s="160" customFormat="1" x14ac:dyDescent="0.3"/>
    <row r="17183" s="160" customFormat="1" x14ac:dyDescent="0.3"/>
    <row r="17184" s="160" customFormat="1" x14ac:dyDescent="0.3"/>
    <row r="17185" s="160" customFormat="1" x14ac:dyDescent="0.3"/>
    <row r="17186" s="160" customFormat="1" x14ac:dyDescent="0.3"/>
    <row r="17187" s="160" customFormat="1" x14ac:dyDescent="0.3"/>
    <row r="17188" s="160" customFormat="1" x14ac:dyDescent="0.3"/>
    <row r="17189" s="160" customFormat="1" x14ac:dyDescent="0.3"/>
    <row r="17190" s="160" customFormat="1" x14ac:dyDescent="0.3"/>
    <row r="17191" s="160" customFormat="1" x14ac:dyDescent="0.3"/>
    <row r="17192" s="160" customFormat="1" x14ac:dyDescent="0.3"/>
    <row r="17193" s="160" customFormat="1" x14ac:dyDescent="0.3"/>
    <row r="17194" s="160" customFormat="1" x14ac:dyDescent="0.3"/>
    <row r="17195" s="160" customFormat="1" x14ac:dyDescent="0.3"/>
    <row r="17196" s="160" customFormat="1" x14ac:dyDescent="0.3"/>
    <row r="17197" s="160" customFormat="1" x14ac:dyDescent="0.3"/>
    <row r="17198" s="160" customFormat="1" x14ac:dyDescent="0.3"/>
    <row r="17199" s="160" customFormat="1" x14ac:dyDescent="0.3"/>
    <row r="17200" s="160" customFormat="1" x14ac:dyDescent="0.3"/>
    <row r="17201" s="160" customFormat="1" x14ac:dyDescent="0.3"/>
    <row r="17202" s="160" customFormat="1" x14ac:dyDescent="0.3"/>
    <row r="17203" s="160" customFormat="1" x14ac:dyDescent="0.3"/>
    <row r="17204" s="160" customFormat="1" x14ac:dyDescent="0.3"/>
    <row r="17205" s="160" customFormat="1" x14ac:dyDescent="0.3"/>
    <row r="17206" s="160" customFormat="1" x14ac:dyDescent="0.3"/>
    <row r="17207" s="160" customFormat="1" x14ac:dyDescent="0.3"/>
    <row r="17208" s="160" customFormat="1" x14ac:dyDescent="0.3"/>
    <row r="17209" s="160" customFormat="1" x14ac:dyDescent="0.3"/>
    <row r="17210" s="160" customFormat="1" x14ac:dyDescent="0.3"/>
    <row r="17211" s="160" customFormat="1" x14ac:dyDescent="0.3"/>
    <row r="17212" s="160" customFormat="1" x14ac:dyDescent="0.3"/>
    <row r="17213" s="160" customFormat="1" x14ac:dyDescent="0.3"/>
    <row r="17214" s="160" customFormat="1" x14ac:dyDescent="0.3"/>
    <row r="17215" s="160" customFormat="1" x14ac:dyDescent="0.3"/>
    <row r="17216" s="160" customFormat="1" x14ac:dyDescent="0.3"/>
    <row r="17217" s="160" customFormat="1" x14ac:dyDescent="0.3"/>
    <row r="17218" s="160" customFormat="1" x14ac:dyDescent="0.3"/>
    <row r="17219" s="160" customFormat="1" x14ac:dyDescent="0.3"/>
    <row r="17220" s="160" customFormat="1" x14ac:dyDescent="0.3"/>
    <row r="17221" s="160" customFormat="1" x14ac:dyDescent="0.3"/>
    <row r="17222" s="160" customFormat="1" x14ac:dyDescent="0.3"/>
    <row r="17223" s="160" customFormat="1" x14ac:dyDescent="0.3"/>
    <row r="17224" s="160" customFormat="1" x14ac:dyDescent="0.3"/>
    <row r="17225" s="160" customFormat="1" x14ac:dyDescent="0.3"/>
    <row r="17226" s="160" customFormat="1" x14ac:dyDescent="0.3"/>
    <row r="17227" s="160" customFormat="1" x14ac:dyDescent="0.3"/>
    <row r="17228" s="160" customFormat="1" x14ac:dyDescent="0.3"/>
    <row r="17229" s="160" customFormat="1" x14ac:dyDescent="0.3"/>
    <row r="17230" s="160" customFormat="1" x14ac:dyDescent="0.3"/>
    <row r="17231" s="160" customFormat="1" x14ac:dyDescent="0.3"/>
    <row r="17232" s="160" customFormat="1" x14ac:dyDescent="0.3"/>
    <row r="17233" s="160" customFormat="1" x14ac:dyDescent="0.3"/>
    <row r="17234" s="160" customFormat="1" x14ac:dyDescent="0.3"/>
    <row r="17235" s="160" customFormat="1" x14ac:dyDescent="0.3"/>
    <row r="17236" s="160" customFormat="1" x14ac:dyDescent="0.3"/>
    <row r="17237" s="160" customFormat="1" x14ac:dyDescent="0.3"/>
    <row r="17238" s="160" customFormat="1" x14ac:dyDescent="0.3"/>
    <row r="17239" s="160" customFormat="1" x14ac:dyDescent="0.3"/>
    <row r="17240" s="160" customFormat="1" x14ac:dyDescent="0.3"/>
    <row r="17241" s="160" customFormat="1" x14ac:dyDescent="0.3"/>
    <row r="17242" s="160" customFormat="1" x14ac:dyDescent="0.3"/>
    <row r="17243" s="160" customFormat="1" x14ac:dyDescent="0.3"/>
    <row r="17244" s="160" customFormat="1" x14ac:dyDescent="0.3"/>
    <row r="17245" s="160" customFormat="1" x14ac:dyDescent="0.3"/>
    <row r="17246" s="160" customFormat="1" x14ac:dyDescent="0.3"/>
    <row r="17247" s="160" customFormat="1" x14ac:dyDescent="0.3"/>
    <row r="17248" s="160" customFormat="1" x14ac:dyDescent="0.3"/>
    <row r="17249" s="160" customFormat="1" x14ac:dyDescent="0.3"/>
    <row r="17250" s="160" customFormat="1" x14ac:dyDescent="0.3"/>
    <row r="17251" s="160" customFormat="1" x14ac:dyDescent="0.3"/>
    <row r="17252" s="160" customFormat="1" x14ac:dyDescent="0.3"/>
    <row r="17253" s="160" customFormat="1" x14ac:dyDescent="0.3"/>
    <row r="17254" s="160" customFormat="1" x14ac:dyDescent="0.3"/>
    <row r="17255" s="160" customFormat="1" x14ac:dyDescent="0.3"/>
    <row r="17256" s="160" customFormat="1" x14ac:dyDescent="0.3"/>
    <row r="17257" s="160" customFormat="1" x14ac:dyDescent="0.3"/>
    <row r="17258" s="160" customFormat="1" x14ac:dyDescent="0.3"/>
    <row r="17259" s="160" customFormat="1" x14ac:dyDescent="0.3"/>
    <row r="17260" s="160" customFormat="1" x14ac:dyDescent="0.3"/>
    <row r="17261" s="160" customFormat="1" x14ac:dyDescent="0.3"/>
    <row r="17262" s="160" customFormat="1" x14ac:dyDescent="0.3"/>
    <row r="17263" s="160" customFormat="1" x14ac:dyDescent="0.3"/>
    <row r="17264" s="160" customFormat="1" x14ac:dyDescent="0.3"/>
    <row r="17265" s="160" customFormat="1" x14ac:dyDescent="0.3"/>
    <row r="17266" s="160" customFormat="1" x14ac:dyDescent="0.3"/>
    <row r="17267" s="160" customFormat="1" x14ac:dyDescent="0.3"/>
    <row r="17268" s="160" customFormat="1" x14ac:dyDescent="0.3"/>
    <row r="17269" s="160" customFormat="1" x14ac:dyDescent="0.3"/>
    <row r="17270" s="160" customFormat="1" x14ac:dyDescent="0.3"/>
    <row r="17271" s="160" customFormat="1" x14ac:dyDescent="0.3"/>
    <row r="17272" s="160" customFormat="1" x14ac:dyDescent="0.3"/>
    <row r="17273" s="160" customFormat="1" x14ac:dyDescent="0.3"/>
    <row r="17274" s="160" customFormat="1" x14ac:dyDescent="0.3"/>
    <row r="17275" s="160" customFormat="1" x14ac:dyDescent="0.3"/>
    <row r="17276" s="160" customFormat="1" x14ac:dyDescent="0.3"/>
    <row r="17277" s="160" customFormat="1" x14ac:dyDescent="0.3"/>
    <row r="17278" s="160" customFormat="1" x14ac:dyDescent="0.3"/>
    <row r="17279" s="160" customFormat="1" x14ac:dyDescent="0.3"/>
    <row r="17280" s="160" customFormat="1" x14ac:dyDescent="0.3"/>
    <row r="17281" s="160" customFormat="1" x14ac:dyDescent="0.3"/>
    <row r="17282" s="160" customFormat="1" x14ac:dyDescent="0.3"/>
    <row r="17283" s="160" customFormat="1" x14ac:dyDescent="0.3"/>
    <row r="17284" s="160" customFormat="1" x14ac:dyDescent="0.3"/>
    <row r="17285" s="160" customFormat="1" x14ac:dyDescent="0.3"/>
    <row r="17286" s="160" customFormat="1" x14ac:dyDescent="0.3"/>
    <row r="17287" s="160" customFormat="1" x14ac:dyDescent="0.3"/>
    <row r="17288" s="160" customFormat="1" x14ac:dyDescent="0.3"/>
    <row r="17289" s="160" customFormat="1" x14ac:dyDescent="0.3"/>
    <row r="17290" s="160" customFormat="1" x14ac:dyDescent="0.3"/>
    <row r="17291" s="160" customFormat="1" x14ac:dyDescent="0.3"/>
    <row r="17292" s="160" customFormat="1" x14ac:dyDescent="0.3"/>
    <row r="17293" s="160" customFormat="1" x14ac:dyDescent="0.3"/>
    <row r="17294" s="160" customFormat="1" x14ac:dyDescent="0.3"/>
    <row r="17295" s="160" customFormat="1" x14ac:dyDescent="0.3"/>
    <row r="17296" s="160" customFormat="1" x14ac:dyDescent="0.3"/>
    <row r="17297" s="160" customFormat="1" x14ac:dyDescent="0.3"/>
    <row r="17298" s="160" customFormat="1" x14ac:dyDescent="0.3"/>
    <row r="17299" s="160" customFormat="1" x14ac:dyDescent="0.3"/>
    <row r="17300" s="160" customFormat="1" x14ac:dyDescent="0.3"/>
    <row r="17301" s="160" customFormat="1" x14ac:dyDescent="0.3"/>
    <row r="17302" s="160" customFormat="1" x14ac:dyDescent="0.3"/>
    <row r="17303" s="160" customFormat="1" x14ac:dyDescent="0.3"/>
    <row r="17304" s="160" customFormat="1" x14ac:dyDescent="0.3"/>
    <row r="17305" s="160" customFormat="1" x14ac:dyDescent="0.3"/>
    <row r="17306" s="160" customFormat="1" x14ac:dyDescent="0.3"/>
    <row r="17307" s="160" customFormat="1" x14ac:dyDescent="0.3"/>
    <row r="17308" s="160" customFormat="1" x14ac:dyDescent="0.3"/>
    <row r="17309" s="160" customFormat="1" x14ac:dyDescent="0.3"/>
    <row r="17310" s="160" customFormat="1" x14ac:dyDescent="0.3"/>
    <row r="17311" s="160" customFormat="1" x14ac:dyDescent="0.3"/>
    <row r="17312" s="160" customFormat="1" x14ac:dyDescent="0.3"/>
    <row r="17313" s="160" customFormat="1" x14ac:dyDescent="0.3"/>
    <row r="17314" s="160" customFormat="1" x14ac:dyDescent="0.3"/>
    <row r="17315" s="160" customFormat="1" x14ac:dyDescent="0.3"/>
    <row r="17316" s="160" customFormat="1" x14ac:dyDescent="0.3"/>
    <row r="17317" s="160" customFormat="1" x14ac:dyDescent="0.3"/>
    <row r="17318" s="160" customFormat="1" x14ac:dyDescent="0.3"/>
    <row r="17319" s="160" customFormat="1" x14ac:dyDescent="0.3"/>
    <row r="17320" s="160" customFormat="1" x14ac:dyDescent="0.3"/>
    <row r="17321" s="160" customFormat="1" x14ac:dyDescent="0.3"/>
    <row r="17322" s="160" customFormat="1" x14ac:dyDescent="0.3"/>
    <row r="17323" s="160" customFormat="1" x14ac:dyDescent="0.3"/>
    <row r="17324" s="160" customFormat="1" x14ac:dyDescent="0.3"/>
    <row r="17325" s="160" customFormat="1" x14ac:dyDescent="0.3"/>
    <row r="17326" s="160" customFormat="1" x14ac:dyDescent="0.3"/>
    <row r="17327" s="160" customFormat="1" x14ac:dyDescent="0.3"/>
    <row r="17328" s="160" customFormat="1" x14ac:dyDescent="0.3"/>
    <row r="17329" s="160" customFormat="1" x14ac:dyDescent="0.3"/>
    <row r="17330" s="160" customFormat="1" x14ac:dyDescent="0.3"/>
    <row r="17331" s="160" customFormat="1" x14ac:dyDescent="0.3"/>
    <row r="17332" s="160" customFormat="1" x14ac:dyDescent="0.3"/>
    <row r="17333" s="160" customFormat="1" x14ac:dyDescent="0.3"/>
    <row r="17334" s="160" customFormat="1" x14ac:dyDescent="0.3"/>
    <row r="17335" s="160" customFormat="1" x14ac:dyDescent="0.3"/>
    <row r="17336" s="160" customFormat="1" x14ac:dyDescent="0.3"/>
    <row r="17337" s="160" customFormat="1" x14ac:dyDescent="0.3"/>
    <row r="17338" s="160" customFormat="1" x14ac:dyDescent="0.3"/>
    <row r="17339" s="160" customFormat="1" x14ac:dyDescent="0.3"/>
    <row r="17340" s="160" customFormat="1" x14ac:dyDescent="0.3"/>
    <row r="17341" s="160" customFormat="1" x14ac:dyDescent="0.3"/>
    <row r="17342" s="160" customFormat="1" x14ac:dyDescent="0.3"/>
    <row r="17343" s="160" customFormat="1" x14ac:dyDescent="0.3"/>
    <row r="17344" s="160" customFormat="1" x14ac:dyDescent="0.3"/>
    <row r="17345" s="160" customFormat="1" x14ac:dyDescent="0.3"/>
    <row r="17346" s="160" customFormat="1" x14ac:dyDescent="0.3"/>
    <row r="17347" s="160" customFormat="1" x14ac:dyDescent="0.3"/>
    <row r="17348" s="160" customFormat="1" x14ac:dyDescent="0.3"/>
    <row r="17349" s="160" customFormat="1" x14ac:dyDescent="0.3"/>
    <row r="17350" s="160" customFormat="1" x14ac:dyDescent="0.3"/>
    <row r="17351" s="160" customFormat="1" x14ac:dyDescent="0.3"/>
    <row r="17352" s="160" customFormat="1" x14ac:dyDescent="0.3"/>
    <row r="17353" s="160" customFormat="1" x14ac:dyDescent="0.3"/>
    <row r="17354" s="160" customFormat="1" x14ac:dyDescent="0.3"/>
    <row r="17355" s="160" customFormat="1" x14ac:dyDescent="0.3"/>
    <row r="17356" s="160" customFormat="1" x14ac:dyDescent="0.3"/>
    <row r="17357" s="160" customFormat="1" x14ac:dyDescent="0.3"/>
    <row r="17358" s="160" customFormat="1" x14ac:dyDescent="0.3"/>
    <row r="17359" s="160" customFormat="1" x14ac:dyDescent="0.3"/>
    <row r="17360" s="160" customFormat="1" x14ac:dyDescent="0.3"/>
    <row r="17361" s="160" customFormat="1" x14ac:dyDescent="0.3"/>
    <row r="17362" s="160" customFormat="1" x14ac:dyDescent="0.3"/>
    <row r="17363" s="160" customFormat="1" x14ac:dyDescent="0.3"/>
    <row r="17364" s="160" customFormat="1" x14ac:dyDescent="0.3"/>
    <row r="17365" s="160" customFormat="1" x14ac:dyDescent="0.3"/>
    <row r="17366" s="160" customFormat="1" x14ac:dyDescent="0.3"/>
    <row r="17367" s="160" customFormat="1" x14ac:dyDescent="0.3"/>
    <row r="17368" s="160" customFormat="1" x14ac:dyDescent="0.3"/>
    <row r="17369" s="160" customFormat="1" x14ac:dyDescent="0.3"/>
    <row r="17370" s="160" customFormat="1" x14ac:dyDescent="0.3"/>
    <row r="17371" s="160" customFormat="1" x14ac:dyDescent="0.3"/>
    <row r="17372" s="160" customFormat="1" x14ac:dyDescent="0.3"/>
    <row r="17373" s="160" customFormat="1" x14ac:dyDescent="0.3"/>
    <row r="17374" s="160" customFormat="1" x14ac:dyDescent="0.3"/>
    <row r="17375" s="160" customFormat="1" x14ac:dyDescent="0.3"/>
    <row r="17376" s="160" customFormat="1" x14ac:dyDescent="0.3"/>
    <row r="17377" s="160" customFormat="1" x14ac:dyDescent="0.3"/>
    <row r="17378" s="160" customFormat="1" x14ac:dyDescent="0.3"/>
    <row r="17379" s="160" customFormat="1" x14ac:dyDescent="0.3"/>
    <row r="17380" s="160" customFormat="1" x14ac:dyDescent="0.3"/>
    <row r="17381" s="160" customFormat="1" x14ac:dyDescent="0.3"/>
    <row r="17382" s="160" customFormat="1" x14ac:dyDescent="0.3"/>
    <row r="17383" s="160" customFormat="1" x14ac:dyDescent="0.3"/>
    <row r="17384" s="160" customFormat="1" x14ac:dyDescent="0.3"/>
    <row r="17385" s="160" customFormat="1" x14ac:dyDescent="0.3"/>
    <row r="17386" s="160" customFormat="1" x14ac:dyDescent="0.3"/>
    <row r="17387" s="160" customFormat="1" x14ac:dyDescent="0.3"/>
    <row r="17388" s="160" customFormat="1" x14ac:dyDescent="0.3"/>
    <row r="17389" s="160" customFormat="1" x14ac:dyDescent="0.3"/>
    <row r="17390" s="160" customFormat="1" x14ac:dyDescent="0.3"/>
    <row r="17391" s="160" customFormat="1" x14ac:dyDescent="0.3"/>
    <row r="17392" s="160" customFormat="1" x14ac:dyDescent="0.3"/>
    <row r="17393" s="160" customFormat="1" x14ac:dyDescent="0.3"/>
    <row r="17394" s="160" customFormat="1" x14ac:dyDescent="0.3"/>
    <row r="17395" s="160" customFormat="1" x14ac:dyDescent="0.3"/>
    <row r="17396" s="160" customFormat="1" x14ac:dyDescent="0.3"/>
    <row r="17397" s="160" customFormat="1" x14ac:dyDescent="0.3"/>
    <row r="17398" s="160" customFormat="1" x14ac:dyDescent="0.3"/>
    <row r="17399" s="160" customFormat="1" x14ac:dyDescent="0.3"/>
    <row r="17400" s="160" customFormat="1" x14ac:dyDescent="0.3"/>
    <row r="17401" s="160" customFormat="1" x14ac:dyDescent="0.3"/>
    <row r="17402" s="160" customFormat="1" x14ac:dyDescent="0.3"/>
    <row r="17403" s="160" customFormat="1" x14ac:dyDescent="0.3"/>
    <row r="17404" s="160" customFormat="1" x14ac:dyDescent="0.3"/>
    <row r="17405" s="160" customFormat="1" x14ac:dyDescent="0.3"/>
    <row r="17406" s="160" customFormat="1" x14ac:dyDescent="0.3"/>
    <row r="17407" s="160" customFormat="1" x14ac:dyDescent="0.3"/>
    <row r="17408" s="160" customFormat="1" x14ac:dyDescent="0.3"/>
    <row r="17409" s="160" customFormat="1" x14ac:dyDescent="0.3"/>
    <row r="17410" s="160" customFormat="1" x14ac:dyDescent="0.3"/>
    <row r="17411" s="160" customFormat="1" x14ac:dyDescent="0.3"/>
    <row r="17412" s="160" customFormat="1" x14ac:dyDescent="0.3"/>
    <row r="17413" s="160" customFormat="1" x14ac:dyDescent="0.3"/>
    <row r="17414" s="160" customFormat="1" x14ac:dyDescent="0.3"/>
    <row r="17415" s="160" customFormat="1" x14ac:dyDescent="0.3"/>
    <row r="17416" s="160" customFormat="1" x14ac:dyDescent="0.3"/>
    <row r="17417" s="160" customFormat="1" x14ac:dyDescent="0.3"/>
    <row r="17418" s="160" customFormat="1" x14ac:dyDescent="0.3"/>
    <row r="17419" s="160" customFormat="1" x14ac:dyDescent="0.3"/>
    <row r="17420" s="160" customFormat="1" x14ac:dyDescent="0.3"/>
    <row r="17421" s="160" customFormat="1" x14ac:dyDescent="0.3"/>
    <row r="17422" s="160" customFormat="1" x14ac:dyDescent="0.3"/>
    <row r="17423" s="160" customFormat="1" x14ac:dyDescent="0.3"/>
    <row r="17424" s="160" customFormat="1" x14ac:dyDescent="0.3"/>
    <row r="17425" s="160" customFormat="1" x14ac:dyDescent="0.3"/>
    <row r="17426" s="160" customFormat="1" x14ac:dyDescent="0.3"/>
    <row r="17427" s="160" customFormat="1" x14ac:dyDescent="0.3"/>
    <row r="17428" s="160" customFormat="1" x14ac:dyDescent="0.3"/>
    <row r="17429" s="160" customFormat="1" x14ac:dyDescent="0.3"/>
    <row r="17430" s="160" customFormat="1" x14ac:dyDescent="0.3"/>
    <row r="17431" s="160" customFormat="1" x14ac:dyDescent="0.3"/>
    <row r="17432" s="160" customFormat="1" x14ac:dyDescent="0.3"/>
    <row r="17433" s="160" customFormat="1" x14ac:dyDescent="0.3"/>
    <row r="17434" s="160" customFormat="1" x14ac:dyDescent="0.3"/>
    <row r="17435" s="160" customFormat="1" x14ac:dyDescent="0.3"/>
    <row r="17436" s="160" customFormat="1" x14ac:dyDescent="0.3"/>
    <row r="17437" s="160" customFormat="1" x14ac:dyDescent="0.3"/>
    <row r="17438" s="160" customFormat="1" x14ac:dyDescent="0.3"/>
    <row r="17439" s="160" customFormat="1" x14ac:dyDescent="0.3"/>
    <row r="17440" s="160" customFormat="1" x14ac:dyDescent="0.3"/>
    <row r="17441" s="160" customFormat="1" x14ac:dyDescent="0.3"/>
    <row r="17442" s="160" customFormat="1" x14ac:dyDescent="0.3"/>
    <row r="17443" s="160" customFormat="1" x14ac:dyDescent="0.3"/>
    <row r="17444" s="160" customFormat="1" x14ac:dyDescent="0.3"/>
    <row r="17445" s="160" customFormat="1" x14ac:dyDescent="0.3"/>
    <row r="17446" s="160" customFormat="1" x14ac:dyDescent="0.3"/>
    <row r="17447" s="160" customFormat="1" x14ac:dyDescent="0.3"/>
    <row r="17448" s="160" customFormat="1" x14ac:dyDescent="0.3"/>
    <row r="17449" s="160" customFormat="1" x14ac:dyDescent="0.3"/>
    <row r="17450" s="160" customFormat="1" x14ac:dyDescent="0.3"/>
    <row r="17451" s="160" customFormat="1" x14ac:dyDescent="0.3"/>
    <row r="17452" s="160" customFormat="1" x14ac:dyDescent="0.3"/>
    <row r="17453" s="160" customFormat="1" x14ac:dyDescent="0.3"/>
    <row r="17454" s="160" customFormat="1" x14ac:dyDescent="0.3"/>
    <row r="17455" s="160" customFormat="1" x14ac:dyDescent="0.3"/>
    <row r="17456" s="160" customFormat="1" x14ac:dyDescent="0.3"/>
    <row r="17457" s="160" customFormat="1" x14ac:dyDescent="0.3"/>
    <row r="17458" s="160" customFormat="1" x14ac:dyDescent="0.3"/>
    <row r="17459" s="160" customFormat="1" x14ac:dyDescent="0.3"/>
    <row r="17460" s="160" customFormat="1" x14ac:dyDescent="0.3"/>
    <row r="17461" s="160" customFormat="1" x14ac:dyDescent="0.3"/>
    <row r="17462" s="160" customFormat="1" x14ac:dyDescent="0.3"/>
    <row r="17463" s="160" customFormat="1" x14ac:dyDescent="0.3"/>
    <row r="17464" s="160" customFormat="1" x14ac:dyDescent="0.3"/>
    <row r="17465" s="160" customFormat="1" x14ac:dyDescent="0.3"/>
    <row r="17466" s="160" customFormat="1" x14ac:dyDescent="0.3"/>
    <row r="17467" s="160" customFormat="1" x14ac:dyDescent="0.3"/>
    <row r="17468" s="160" customFormat="1" x14ac:dyDescent="0.3"/>
    <row r="17469" s="160" customFormat="1" x14ac:dyDescent="0.3"/>
    <row r="17470" s="160" customFormat="1" x14ac:dyDescent="0.3"/>
    <row r="17471" s="160" customFormat="1" x14ac:dyDescent="0.3"/>
    <row r="17472" s="160" customFormat="1" x14ac:dyDescent="0.3"/>
    <row r="17473" s="160" customFormat="1" x14ac:dyDescent="0.3"/>
    <row r="17474" s="160" customFormat="1" x14ac:dyDescent="0.3"/>
    <row r="17475" s="160" customFormat="1" x14ac:dyDescent="0.3"/>
    <row r="17476" s="160" customFormat="1" x14ac:dyDescent="0.3"/>
    <row r="17477" s="160" customFormat="1" x14ac:dyDescent="0.3"/>
    <row r="17478" s="160" customFormat="1" x14ac:dyDescent="0.3"/>
    <row r="17479" s="160" customFormat="1" x14ac:dyDescent="0.3"/>
    <row r="17480" s="160" customFormat="1" x14ac:dyDescent="0.3"/>
    <row r="17481" s="160" customFormat="1" x14ac:dyDescent="0.3"/>
    <row r="17482" s="160" customFormat="1" x14ac:dyDescent="0.3"/>
    <row r="17483" s="160" customFormat="1" x14ac:dyDescent="0.3"/>
    <row r="17484" s="160" customFormat="1" x14ac:dyDescent="0.3"/>
    <row r="17485" s="160" customFormat="1" x14ac:dyDescent="0.3"/>
    <row r="17486" s="160" customFormat="1" x14ac:dyDescent="0.3"/>
    <row r="17487" s="160" customFormat="1" x14ac:dyDescent="0.3"/>
    <row r="17488" s="160" customFormat="1" x14ac:dyDescent="0.3"/>
    <row r="17489" s="160" customFormat="1" x14ac:dyDescent="0.3"/>
    <row r="17490" s="160" customFormat="1" x14ac:dyDescent="0.3"/>
    <row r="17491" s="160" customFormat="1" x14ac:dyDescent="0.3"/>
    <row r="17492" s="160" customFormat="1" x14ac:dyDescent="0.3"/>
    <row r="17493" s="160" customFormat="1" x14ac:dyDescent="0.3"/>
    <row r="17494" s="160" customFormat="1" x14ac:dyDescent="0.3"/>
    <row r="17495" s="160" customFormat="1" x14ac:dyDescent="0.3"/>
    <row r="17496" s="160" customFormat="1" x14ac:dyDescent="0.3"/>
    <row r="17497" s="160" customFormat="1" x14ac:dyDescent="0.3"/>
    <row r="17498" s="160" customFormat="1" x14ac:dyDescent="0.3"/>
    <row r="17499" s="160" customFormat="1" x14ac:dyDescent="0.3"/>
    <row r="17500" s="160" customFormat="1" x14ac:dyDescent="0.3"/>
    <row r="17501" s="160" customFormat="1" x14ac:dyDescent="0.3"/>
    <row r="17502" s="160" customFormat="1" x14ac:dyDescent="0.3"/>
    <row r="17503" s="160" customFormat="1" x14ac:dyDescent="0.3"/>
    <row r="17504" s="160" customFormat="1" x14ac:dyDescent="0.3"/>
    <row r="17505" s="160" customFormat="1" x14ac:dyDescent="0.3"/>
    <row r="17506" s="160" customFormat="1" x14ac:dyDescent="0.3"/>
    <row r="17507" s="160" customFormat="1" x14ac:dyDescent="0.3"/>
    <row r="17508" s="160" customFormat="1" x14ac:dyDescent="0.3"/>
    <row r="17509" s="160" customFormat="1" x14ac:dyDescent="0.3"/>
    <row r="17510" s="160" customFormat="1" x14ac:dyDescent="0.3"/>
    <row r="17511" s="160" customFormat="1" x14ac:dyDescent="0.3"/>
    <row r="17512" s="160" customFormat="1" x14ac:dyDescent="0.3"/>
    <row r="17513" s="160" customFormat="1" x14ac:dyDescent="0.3"/>
    <row r="17514" s="160" customFormat="1" x14ac:dyDescent="0.3"/>
    <row r="17515" s="160" customFormat="1" x14ac:dyDescent="0.3"/>
    <row r="17516" s="160" customFormat="1" x14ac:dyDescent="0.3"/>
    <row r="17517" s="160" customFormat="1" x14ac:dyDescent="0.3"/>
    <row r="17518" s="160" customFormat="1" x14ac:dyDescent="0.3"/>
    <row r="17519" s="160" customFormat="1" x14ac:dyDescent="0.3"/>
    <row r="17520" s="160" customFormat="1" x14ac:dyDescent="0.3"/>
    <row r="17521" s="160" customFormat="1" x14ac:dyDescent="0.3"/>
    <row r="17522" s="160" customFormat="1" x14ac:dyDescent="0.3"/>
    <row r="17523" s="160" customFormat="1" x14ac:dyDescent="0.3"/>
    <row r="17524" s="160" customFormat="1" x14ac:dyDescent="0.3"/>
    <row r="17525" s="160" customFormat="1" x14ac:dyDescent="0.3"/>
    <row r="17526" s="160" customFormat="1" x14ac:dyDescent="0.3"/>
    <row r="17527" s="160" customFormat="1" x14ac:dyDescent="0.3"/>
    <row r="17528" s="160" customFormat="1" x14ac:dyDescent="0.3"/>
    <row r="17529" s="160" customFormat="1" x14ac:dyDescent="0.3"/>
    <row r="17530" s="160" customFormat="1" x14ac:dyDescent="0.3"/>
    <row r="17531" s="160" customFormat="1" x14ac:dyDescent="0.3"/>
    <row r="17532" s="160" customFormat="1" x14ac:dyDescent="0.3"/>
    <row r="17533" s="160" customFormat="1" x14ac:dyDescent="0.3"/>
    <row r="17534" s="160" customFormat="1" x14ac:dyDescent="0.3"/>
    <row r="17535" s="160" customFormat="1" x14ac:dyDescent="0.3"/>
    <row r="17536" s="160" customFormat="1" x14ac:dyDescent="0.3"/>
    <row r="17537" s="160" customFormat="1" x14ac:dyDescent="0.3"/>
    <row r="17538" s="160" customFormat="1" x14ac:dyDescent="0.3"/>
    <row r="17539" s="160" customFormat="1" x14ac:dyDescent="0.3"/>
    <row r="17540" s="160" customFormat="1" x14ac:dyDescent="0.3"/>
    <row r="17541" s="160" customFormat="1" x14ac:dyDescent="0.3"/>
    <row r="17542" s="160" customFormat="1" x14ac:dyDescent="0.3"/>
    <row r="17543" s="160" customFormat="1" x14ac:dyDescent="0.3"/>
    <row r="17544" s="160" customFormat="1" x14ac:dyDescent="0.3"/>
    <row r="17545" s="160" customFormat="1" x14ac:dyDescent="0.3"/>
    <row r="17546" s="160" customFormat="1" x14ac:dyDescent="0.3"/>
    <row r="17547" s="160" customFormat="1" x14ac:dyDescent="0.3"/>
    <row r="17548" s="160" customFormat="1" x14ac:dyDescent="0.3"/>
    <row r="17549" s="160" customFormat="1" x14ac:dyDescent="0.3"/>
    <row r="17550" s="160" customFormat="1" x14ac:dyDescent="0.3"/>
    <row r="17551" s="160" customFormat="1" x14ac:dyDescent="0.3"/>
    <row r="17552" s="160" customFormat="1" x14ac:dyDescent="0.3"/>
    <row r="17553" s="160" customFormat="1" x14ac:dyDescent="0.3"/>
    <row r="17554" s="160" customFormat="1" x14ac:dyDescent="0.3"/>
    <row r="17555" s="160" customFormat="1" x14ac:dyDescent="0.3"/>
    <row r="17556" s="160" customFormat="1" x14ac:dyDescent="0.3"/>
    <row r="17557" s="160" customFormat="1" x14ac:dyDescent="0.3"/>
    <row r="17558" s="160" customFormat="1" x14ac:dyDescent="0.3"/>
    <row r="17559" s="160" customFormat="1" x14ac:dyDescent="0.3"/>
    <row r="17560" s="160" customFormat="1" x14ac:dyDescent="0.3"/>
    <row r="17561" s="160" customFormat="1" x14ac:dyDescent="0.3"/>
    <row r="17562" s="160" customFormat="1" x14ac:dyDescent="0.3"/>
    <row r="17563" s="160" customFormat="1" x14ac:dyDescent="0.3"/>
    <row r="17564" s="160" customFormat="1" x14ac:dyDescent="0.3"/>
    <row r="17565" s="160" customFormat="1" x14ac:dyDescent="0.3"/>
    <row r="17566" s="160" customFormat="1" x14ac:dyDescent="0.3"/>
    <row r="17567" s="160" customFormat="1" x14ac:dyDescent="0.3"/>
    <row r="17568" s="160" customFormat="1" x14ac:dyDescent="0.3"/>
    <row r="17569" s="160" customFormat="1" x14ac:dyDescent="0.3"/>
    <row r="17570" s="160" customFormat="1" x14ac:dyDescent="0.3"/>
    <row r="17571" s="160" customFormat="1" x14ac:dyDescent="0.3"/>
    <row r="17572" s="160" customFormat="1" x14ac:dyDescent="0.3"/>
    <row r="17573" s="160" customFormat="1" x14ac:dyDescent="0.3"/>
    <row r="17574" s="160" customFormat="1" x14ac:dyDescent="0.3"/>
    <row r="17575" s="160" customFormat="1" x14ac:dyDescent="0.3"/>
    <row r="17576" s="160" customFormat="1" x14ac:dyDescent="0.3"/>
    <row r="17577" s="160" customFormat="1" x14ac:dyDescent="0.3"/>
    <row r="17578" s="160" customFormat="1" x14ac:dyDescent="0.3"/>
    <row r="17579" s="160" customFormat="1" x14ac:dyDescent="0.3"/>
    <row r="17580" s="160" customFormat="1" x14ac:dyDescent="0.3"/>
    <row r="17581" s="160" customFormat="1" x14ac:dyDescent="0.3"/>
    <row r="17582" s="160" customFormat="1" x14ac:dyDescent="0.3"/>
    <row r="17583" s="160" customFormat="1" x14ac:dyDescent="0.3"/>
    <row r="17584" s="160" customFormat="1" x14ac:dyDescent="0.3"/>
    <row r="17585" s="160" customFormat="1" x14ac:dyDescent="0.3"/>
    <row r="17586" s="160" customFormat="1" x14ac:dyDescent="0.3"/>
    <row r="17587" s="160" customFormat="1" x14ac:dyDescent="0.3"/>
    <row r="17588" s="160" customFormat="1" x14ac:dyDescent="0.3"/>
    <row r="17589" s="160" customFormat="1" x14ac:dyDescent="0.3"/>
    <row r="17590" s="160" customFormat="1" x14ac:dyDescent="0.3"/>
    <row r="17591" s="160" customFormat="1" x14ac:dyDescent="0.3"/>
    <row r="17592" s="160" customFormat="1" x14ac:dyDescent="0.3"/>
    <row r="17593" s="160" customFormat="1" x14ac:dyDescent="0.3"/>
    <row r="17594" s="160" customFormat="1" x14ac:dyDescent="0.3"/>
    <row r="17595" s="160" customFormat="1" x14ac:dyDescent="0.3"/>
    <row r="17596" s="160" customFormat="1" x14ac:dyDescent="0.3"/>
    <row r="17597" s="160" customFormat="1" x14ac:dyDescent="0.3"/>
    <row r="17598" s="160" customFormat="1" x14ac:dyDescent="0.3"/>
    <row r="17599" s="160" customFormat="1" x14ac:dyDescent="0.3"/>
    <row r="17600" s="160" customFormat="1" x14ac:dyDescent="0.3"/>
    <row r="17601" s="160" customFormat="1" x14ac:dyDescent="0.3"/>
    <row r="17602" s="160" customFormat="1" x14ac:dyDescent="0.3"/>
    <row r="17603" s="160" customFormat="1" x14ac:dyDescent="0.3"/>
    <row r="17604" s="160" customFormat="1" x14ac:dyDescent="0.3"/>
    <row r="17605" s="160" customFormat="1" x14ac:dyDescent="0.3"/>
    <row r="17606" s="160" customFormat="1" x14ac:dyDescent="0.3"/>
    <row r="17607" s="160" customFormat="1" x14ac:dyDescent="0.3"/>
    <row r="17608" s="160" customFormat="1" x14ac:dyDescent="0.3"/>
    <row r="17609" s="160" customFormat="1" x14ac:dyDescent="0.3"/>
    <row r="17610" s="160" customFormat="1" x14ac:dyDescent="0.3"/>
    <row r="17611" s="160" customFormat="1" x14ac:dyDescent="0.3"/>
    <row r="17612" s="160" customFormat="1" x14ac:dyDescent="0.3"/>
    <row r="17613" s="160" customFormat="1" x14ac:dyDescent="0.3"/>
    <row r="17614" s="160" customFormat="1" x14ac:dyDescent="0.3"/>
    <row r="17615" s="160" customFormat="1" x14ac:dyDescent="0.3"/>
    <row r="17616" s="160" customFormat="1" x14ac:dyDescent="0.3"/>
    <row r="17617" s="160" customFormat="1" x14ac:dyDescent="0.3"/>
    <row r="17618" s="160" customFormat="1" x14ac:dyDescent="0.3"/>
    <row r="17619" s="160" customFormat="1" x14ac:dyDescent="0.3"/>
    <row r="17620" s="160" customFormat="1" x14ac:dyDescent="0.3"/>
    <row r="17621" s="160" customFormat="1" x14ac:dyDescent="0.3"/>
    <row r="17622" s="160" customFormat="1" x14ac:dyDescent="0.3"/>
    <row r="17623" s="160" customFormat="1" x14ac:dyDescent="0.3"/>
    <row r="17624" s="160" customFormat="1" x14ac:dyDescent="0.3"/>
    <row r="17625" s="160" customFormat="1" x14ac:dyDescent="0.3"/>
    <row r="17626" s="160" customFormat="1" x14ac:dyDescent="0.3"/>
    <row r="17627" s="160" customFormat="1" x14ac:dyDescent="0.3"/>
    <row r="17628" s="160" customFormat="1" x14ac:dyDescent="0.3"/>
    <row r="17629" s="160" customFormat="1" x14ac:dyDescent="0.3"/>
    <row r="17630" s="160" customFormat="1" x14ac:dyDescent="0.3"/>
    <row r="17631" s="160" customFormat="1" x14ac:dyDescent="0.3"/>
    <row r="17632" s="160" customFormat="1" x14ac:dyDescent="0.3"/>
    <row r="17633" s="160" customFormat="1" x14ac:dyDescent="0.3"/>
    <row r="17634" s="160" customFormat="1" x14ac:dyDescent="0.3"/>
    <row r="17635" s="160" customFormat="1" x14ac:dyDescent="0.3"/>
    <row r="17636" s="160" customFormat="1" x14ac:dyDescent="0.3"/>
    <row r="17637" s="160" customFormat="1" x14ac:dyDescent="0.3"/>
    <row r="17638" s="160" customFormat="1" x14ac:dyDescent="0.3"/>
    <row r="17639" s="160" customFormat="1" x14ac:dyDescent="0.3"/>
    <row r="17640" s="160" customFormat="1" x14ac:dyDescent="0.3"/>
    <row r="17641" s="160" customFormat="1" x14ac:dyDescent="0.3"/>
    <row r="17642" s="160" customFormat="1" x14ac:dyDescent="0.3"/>
    <row r="17643" s="160" customFormat="1" x14ac:dyDescent="0.3"/>
    <row r="17644" s="160" customFormat="1" x14ac:dyDescent="0.3"/>
    <row r="17645" s="160" customFormat="1" x14ac:dyDescent="0.3"/>
    <row r="17646" s="160" customFormat="1" x14ac:dyDescent="0.3"/>
    <row r="17647" s="160" customFormat="1" x14ac:dyDescent="0.3"/>
    <row r="17648" s="160" customFormat="1" x14ac:dyDescent="0.3"/>
    <row r="17649" s="160" customFormat="1" x14ac:dyDescent="0.3"/>
    <row r="17650" s="160" customFormat="1" x14ac:dyDescent="0.3"/>
    <row r="17651" s="160" customFormat="1" x14ac:dyDescent="0.3"/>
    <row r="17652" s="160" customFormat="1" x14ac:dyDescent="0.3"/>
    <row r="17653" s="160" customFormat="1" x14ac:dyDescent="0.3"/>
    <row r="17654" s="160" customFormat="1" x14ac:dyDescent="0.3"/>
    <row r="17655" s="160" customFormat="1" x14ac:dyDescent="0.3"/>
    <row r="17656" s="160" customFormat="1" x14ac:dyDescent="0.3"/>
    <row r="17657" s="160" customFormat="1" x14ac:dyDescent="0.3"/>
    <row r="17658" s="160" customFormat="1" x14ac:dyDescent="0.3"/>
    <row r="17659" s="160" customFormat="1" x14ac:dyDescent="0.3"/>
    <row r="17660" s="160" customFormat="1" x14ac:dyDescent="0.3"/>
    <row r="17661" s="160" customFormat="1" x14ac:dyDescent="0.3"/>
    <row r="17662" s="160" customFormat="1" x14ac:dyDescent="0.3"/>
    <row r="17663" s="160" customFormat="1" x14ac:dyDescent="0.3"/>
    <row r="17664" s="160" customFormat="1" x14ac:dyDescent="0.3"/>
    <row r="17665" s="160" customFormat="1" x14ac:dyDescent="0.3"/>
    <row r="17666" s="160" customFormat="1" x14ac:dyDescent="0.3"/>
    <row r="17667" s="160" customFormat="1" x14ac:dyDescent="0.3"/>
    <row r="17668" s="160" customFormat="1" x14ac:dyDescent="0.3"/>
    <row r="17669" s="160" customFormat="1" x14ac:dyDescent="0.3"/>
    <row r="17670" s="160" customFormat="1" x14ac:dyDescent="0.3"/>
    <row r="17671" s="160" customFormat="1" x14ac:dyDescent="0.3"/>
    <row r="17672" s="160" customFormat="1" x14ac:dyDescent="0.3"/>
    <row r="17673" s="160" customFormat="1" x14ac:dyDescent="0.3"/>
    <row r="17674" s="160" customFormat="1" x14ac:dyDescent="0.3"/>
    <row r="17675" s="160" customFormat="1" x14ac:dyDescent="0.3"/>
    <row r="17676" s="160" customFormat="1" x14ac:dyDescent="0.3"/>
    <row r="17677" s="160" customFormat="1" x14ac:dyDescent="0.3"/>
    <row r="17678" s="160" customFormat="1" x14ac:dyDescent="0.3"/>
    <row r="17679" s="160" customFormat="1" x14ac:dyDescent="0.3"/>
    <row r="17680" s="160" customFormat="1" x14ac:dyDescent="0.3"/>
    <row r="17681" s="160" customFormat="1" x14ac:dyDescent="0.3"/>
    <row r="17682" s="160" customFormat="1" x14ac:dyDescent="0.3"/>
    <row r="17683" s="160" customFormat="1" x14ac:dyDescent="0.3"/>
    <row r="17684" s="160" customFormat="1" x14ac:dyDescent="0.3"/>
    <row r="17685" s="160" customFormat="1" x14ac:dyDescent="0.3"/>
    <row r="17686" s="160" customFormat="1" x14ac:dyDescent="0.3"/>
    <row r="17687" s="160" customFormat="1" x14ac:dyDescent="0.3"/>
    <row r="17688" s="160" customFormat="1" x14ac:dyDescent="0.3"/>
    <row r="17689" s="160" customFormat="1" x14ac:dyDescent="0.3"/>
    <row r="17690" s="160" customFormat="1" x14ac:dyDescent="0.3"/>
    <row r="17691" s="160" customFormat="1" x14ac:dyDescent="0.3"/>
    <row r="17692" s="160" customFormat="1" x14ac:dyDescent="0.3"/>
    <row r="17693" s="160" customFormat="1" x14ac:dyDescent="0.3"/>
    <row r="17694" s="160" customFormat="1" x14ac:dyDescent="0.3"/>
    <row r="17695" s="160" customFormat="1" x14ac:dyDescent="0.3"/>
    <row r="17696" s="160" customFormat="1" x14ac:dyDescent="0.3"/>
    <row r="17697" s="160" customFormat="1" x14ac:dyDescent="0.3"/>
    <row r="17698" s="160" customFormat="1" x14ac:dyDescent="0.3"/>
    <row r="17699" s="160" customFormat="1" x14ac:dyDescent="0.3"/>
    <row r="17700" s="160" customFormat="1" x14ac:dyDescent="0.3"/>
    <row r="17701" s="160" customFormat="1" x14ac:dyDescent="0.3"/>
    <row r="17702" s="160" customFormat="1" x14ac:dyDescent="0.3"/>
    <row r="17703" s="160" customFormat="1" x14ac:dyDescent="0.3"/>
    <row r="17704" s="160" customFormat="1" x14ac:dyDescent="0.3"/>
    <row r="17705" s="160" customFormat="1" x14ac:dyDescent="0.3"/>
    <row r="17706" s="160" customFormat="1" x14ac:dyDescent="0.3"/>
    <row r="17707" s="160" customFormat="1" x14ac:dyDescent="0.3"/>
    <row r="17708" s="160" customFormat="1" x14ac:dyDescent="0.3"/>
    <row r="17709" s="160" customFormat="1" x14ac:dyDescent="0.3"/>
    <row r="17710" s="160" customFormat="1" x14ac:dyDescent="0.3"/>
    <row r="17711" s="160" customFormat="1" x14ac:dyDescent="0.3"/>
    <row r="17712" s="160" customFormat="1" x14ac:dyDescent="0.3"/>
    <row r="17713" s="160" customFormat="1" x14ac:dyDescent="0.3"/>
    <row r="17714" s="160" customFormat="1" x14ac:dyDescent="0.3"/>
    <row r="17715" s="160" customFormat="1" x14ac:dyDescent="0.3"/>
    <row r="17716" s="160" customFormat="1" x14ac:dyDescent="0.3"/>
    <row r="17717" s="160" customFormat="1" x14ac:dyDescent="0.3"/>
    <row r="17718" s="160" customFormat="1" x14ac:dyDescent="0.3"/>
    <row r="17719" s="160" customFormat="1" x14ac:dyDescent="0.3"/>
    <row r="17720" s="160" customFormat="1" x14ac:dyDescent="0.3"/>
    <row r="17721" s="160" customFormat="1" x14ac:dyDescent="0.3"/>
    <row r="17722" s="160" customFormat="1" x14ac:dyDescent="0.3"/>
    <row r="17723" s="160" customFormat="1" x14ac:dyDescent="0.3"/>
    <row r="17724" s="160" customFormat="1" x14ac:dyDescent="0.3"/>
    <row r="17725" s="160" customFormat="1" x14ac:dyDescent="0.3"/>
    <row r="17726" s="160" customFormat="1" x14ac:dyDescent="0.3"/>
    <row r="17727" s="160" customFormat="1" x14ac:dyDescent="0.3"/>
    <row r="17728" s="160" customFormat="1" x14ac:dyDescent="0.3"/>
    <row r="17729" s="160" customFormat="1" x14ac:dyDescent="0.3"/>
    <row r="17730" s="160" customFormat="1" x14ac:dyDescent="0.3"/>
    <row r="17731" s="160" customFormat="1" x14ac:dyDescent="0.3"/>
    <row r="17732" s="160" customFormat="1" x14ac:dyDescent="0.3"/>
    <row r="17733" s="160" customFormat="1" x14ac:dyDescent="0.3"/>
    <row r="17734" s="160" customFormat="1" x14ac:dyDescent="0.3"/>
    <row r="17735" s="160" customFormat="1" x14ac:dyDescent="0.3"/>
    <row r="17736" s="160" customFormat="1" x14ac:dyDescent="0.3"/>
    <row r="17737" s="160" customFormat="1" x14ac:dyDescent="0.3"/>
    <row r="17738" s="160" customFormat="1" x14ac:dyDescent="0.3"/>
    <row r="17739" s="160" customFormat="1" x14ac:dyDescent="0.3"/>
    <row r="17740" s="160" customFormat="1" x14ac:dyDescent="0.3"/>
    <row r="17741" s="160" customFormat="1" x14ac:dyDescent="0.3"/>
    <row r="17742" s="160" customFormat="1" x14ac:dyDescent="0.3"/>
    <row r="17743" s="160" customFormat="1" x14ac:dyDescent="0.3"/>
    <row r="17744" s="160" customFormat="1" x14ac:dyDescent="0.3"/>
    <row r="17745" s="160" customFormat="1" x14ac:dyDescent="0.3"/>
    <row r="17746" s="160" customFormat="1" x14ac:dyDescent="0.3"/>
    <row r="17747" s="160" customFormat="1" x14ac:dyDescent="0.3"/>
    <row r="17748" s="160" customFormat="1" x14ac:dyDescent="0.3"/>
    <row r="17749" s="160" customFormat="1" x14ac:dyDescent="0.3"/>
    <row r="17750" s="160" customFormat="1" x14ac:dyDescent="0.3"/>
    <row r="17751" s="160" customFormat="1" x14ac:dyDescent="0.3"/>
    <row r="17752" s="160" customFormat="1" x14ac:dyDescent="0.3"/>
    <row r="17753" s="160" customFormat="1" x14ac:dyDescent="0.3"/>
    <row r="17754" s="160" customFormat="1" x14ac:dyDescent="0.3"/>
    <row r="17755" s="160" customFormat="1" x14ac:dyDescent="0.3"/>
    <row r="17756" s="160" customFormat="1" x14ac:dyDescent="0.3"/>
    <row r="17757" s="160" customFormat="1" x14ac:dyDescent="0.3"/>
    <row r="17758" s="160" customFormat="1" x14ac:dyDescent="0.3"/>
    <row r="17759" s="160" customFormat="1" x14ac:dyDescent="0.3"/>
    <row r="17760" s="160" customFormat="1" x14ac:dyDescent="0.3"/>
    <row r="17761" s="160" customFormat="1" x14ac:dyDescent="0.3"/>
    <row r="17762" s="160" customFormat="1" x14ac:dyDescent="0.3"/>
    <row r="17763" s="160" customFormat="1" x14ac:dyDescent="0.3"/>
    <row r="17764" s="160" customFormat="1" x14ac:dyDescent="0.3"/>
    <row r="17765" s="160" customFormat="1" x14ac:dyDescent="0.3"/>
    <row r="17766" s="160" customFormat="1" x14ac:dyDescent="0.3"/>
    <row r="17767" s="160" customFormat="1" x14ac:dyDescent="0.3"/>
    <row r="17768" s="160" customFormat="1" x14ac:dyDescent="0.3"/>
    <row r="17769" s="160" customFormat="1" x14ac:dyDescent="0.3"/>
    <row r="17770" s="160" customFormat="1" x14ac:dyDescent="0.3"/>
    <row r="17771" s="160" customFormat="1" x14ac:dyDescent="0.3"/>
    <row r="17772" s="160" customFormat="1" x14ac:dyDescent="0.3"/>
    <row r="17773" s="160" customFormat="1" x14ac:dyDescent="0.3"/>
    <row r="17774" s="160" customFormat="1" x14ac:dyDescent="0.3"/>
    <row r="17775" s="160" customFormat="1" x14ac:dyDescent="0.3"/>
    <row r="17776" s="160" customFormat="1" x14ac:dyDescent="0.3"/>
    <row r="17777" s="160" customFormat="1" x14ac:dyDescent="0.3"/>
    <row r="17778" s="160" customFormat="1" x14ac:dyDescent="0.3"/>
    <row r="17779" s="160" customFormat="1" x14ac:dyDescent="0.3"/>
    <row r="17780" s="160" customFormat="1" x14ac:dyDescent="0.3"/>
    <row r="17781" s="160" customFormat="1" x14ac:dyDescent="0.3"/>
    <row r="17782" s="160" customFormat="1" x14ac:dyDescent="0.3"/>
    <row r="17783" s="160" customFormat="1" x14ac:dyDescent="0.3"/>
    <row r="17784" s="160" customFormat="1" x14ac:dyDescent="0.3"/>
    <row r="17785" s="160" customFormat="1" x14ac:dyDescent="0.3"/>
    <row r="17786" s="160" customFormat="1" x14ac:dyDescent="0.3"/>
    <row r="17787" s="160" customFormat="1" x14ac:dyDescent="0.3"/>
    <row r="17788" s="160" customFormat="1" x14ac:dyDescent="0.3"/>
    <row r="17789" s="160" customFormat="1" x14ac:dyDescent="0.3"/>
    <row r="17790" s="160" customFormat="1" x14ac:dyDescent="0.3"/>
    <row r="17791" s="160" customFormat="1" x14ac:dyDescent="0.3"/>
    <row r="17792" s="160" customFormat="1" x14ac:dyDescent="0.3"/>
    <row r="17793" s="160" customFormat="1" x14ac:dyDescent="0.3"/>
    <row r="17794" s="160" customFormat="1" x14ac:dyDescent="0.3"/>
    <row r="17795" s="160" customFormat="1" x14ac:dyDescent="0.3"/>
    <row r="17796" s="160" customFormat="1" x14ac:dyDescent="0.3"/>
    <row r="17797" s="160" customFormat="1" x14ac:dyDescent="0.3"/>
    <row r="17798" s="160" customFormat="1" x14ac:dyDescent="0.3"/>
    <row r="17799" s="160" customFormat="1" x14ac:dyDescent="0.3"/>
    <row r="17800" s="160" customFormat="1" x14ac:dyDescent="0.3"/>
    <row r="17801" s="160" customFormat="1" x14ac:dyDescent="0.3"/>
    <row r="17802" s="160" customFormat="1" x14ac:dyDescent="0.3"/>
    <row r="17803" s="160" customFormat="1" x14ac:dyDescent="0.3"/>
    <row r="17804" s="160" customFormat="1" x14ac:dyDescent="0.3"/>
    <row r="17805" s="160" customFormat="1" x14ac:dyDescent="0.3"/>
    <row r="17806" s="160" customFormat="1" x14ac:dyDescent="0.3"/>
    <row r="17807" s="160" customFormat="1" x14ac:dyDescent="0.3"/>
    <row r="17808" s="160" customFormat="1" x14ac:dyDescent="0.3"/>
    <row r="17809" s="160" customFormat="1" x14ac:dyDescent="0.3"/>
    <row r="17810" s="160" customFormat="1" x14ac:dyDescent="0.3"/>
    <row r="17811" s="160" customFormat="1" x14ac:dyDescent="0.3"/>
    <row r="17812" s="160" customFormat="1" x14ac:dyDescent="0.3"/>
    <row r="17813" s="160" customFormat="1" x14ac:dyDescent="0.3"/>
    <row r="17814" s="160" customFormat="1" x14ac:dyDescent="0.3"/>
    <row r="17815" s="160" customFormat="1" x14ac:dyDescent="0.3"/>
    <row r="17816" s="160" customFormat="1" x14ac:dyDescent="0.3"/>
    <row r="17817" s="160" customFormat="1" x14ac:dyDescent="0.3"/>
    <row r="17818" s="160" customFormat="1" x14ac:dyDescent="0.3"/>
    <row r="17819" s="160" customFormat="1" x14ac:dyDescent="0.3"/>
    <row r="17820" s="160" customFormat="1" x14ac:dyDescent="0.3"/>
    <row r="17821" s="160" customFormat="1" x14ac:dyDescent="0.3"/>
    <row r="17822" s="160" customFormat="1" x14ac:dyDescent="0.3"/>
    <row r="17823" s="160" customFormat="1" x14ac:dyDescent="0.3"/>
    <row r="17824" s="160" customFormat="1" x14ac:dyDescent="0.3"/>
    <row r="17825" s="160" customFormat="1" x14ac:dyDescent="0.3"/>
    <row r="17826" s="160" customFormat="1" x14ac:dyDescent="0.3"/>
    <row r="17827" s="160" customFormat="1" x14ac:dyDescent="0.3"/>
    <row r="17828" s="160" customFormat="1" x14ac:dyDescent="0.3"/>
    <row r="17829" s="160" customFormat="1" x14ac:dyDescent="0.3"/>
    <row r="17830" s="160" customFormat="1" x14ac:dyDescent="0.3"/>
    <row r="17831" s="160" customFormat="1" x14ac:dyDescent="0.3"/>
    <row r="17832" s="160" customFormat="1" x14ac:dyDescent="0.3"/>
    <row r="17833" s="160" customFormat="1" x14ac:dyDescent="0.3"/>
    <row r="17834" s="160" customFormat="1" x14ac:dyDescent="0.3"/>
    <row r="17835" s="160" customFormat="1" x14ac:dyDescent="0.3"/>
    <row r="17836" s="160" customFormat="1" x14ac:dyDescent="0.3"/>
    <row r="17837" s="160" customFormat="1" x14ac:dyDescent="0.3"/>
    <row r="17838" s="160" customFormat="1" x14ac:dyDescent="0.3"/>
    <row r="17839" s="160" customFormat="1" x14ac:dyDescent="0.3"/>
    <row r="17840" s="160" customFormat="1" x14ac:dyDescent="0.3"/>
    <row r="17841" s="160" customFormat="1" x14ac:dyDescent="0.3"/>
    <row r="17842" s="160" customFormat="1" x14ac:dyDescent="0.3"/>
    <row r="17843" s="160" customFormat="1" x14ac:dyDescent="0.3"/>
    <row r="17844" s="160" customFormat="1" x14ac:dyDescent="0.3"/>
    <row r="17845" s="160" customFormat="1" x14ac:dyDescent="0.3"/>
    <row r="17846" s="160" customFormat="1" x14ac:dyDescent="0.3"/>
    <row r="17847" s="160" customFormat="1" x14ac:dyDescent="0.3"/>
    <row r="17848" s="160" customFormat="1" x14ac:dyDescent="0.3"/>
    <row r="17849" s="160" customFormat="1" x14ac:dyDescent="0.3"/>
    <row r="17850" s="160" customFormat="1" x14ac:dyDescent="0.3"/>
    <row r="17851" s="160" customFormat="1" x14ac:dyDescent="0.3"/>
    <row r="17852" s="160" customFormat="1" x14ac:dyDescent="0.3"/>
    <row r="17853" s="160" customFormat="1" x14ac:dyDescent="0.3"/>
    <row r="17854" s="160" customFormat="1" x14ac:dyDescent="0.3"/>
    <row r="17855" s="160" customFormat="1" x14ac:dyDescent="0.3"/>
    <row r="17856" s="160" customFormat="1" x14ac:dyDescent="0.3"/>
    <row r="17857" s="160" customFormat="1" x14ac:dyDescent="0.3"/>
    <row r="17858" s="160" customFormat="1" x14ac:dyDescent="0.3"/>
    <row r="17859" s="160" customFormat="1" x14ac:dyDescent="0.3"/>
    <row r="17860" s="160" customFormat="1" x14ac:dyDescent="0.3"/>
    <row r="17861" s="160" customFormat="1" x14ac:dyDescent="0.3"/>
    <row r="17862" s="160" customFormat="1" x14ac:dyDescent="0.3"/>
    <row r="17863" s="160" customFormat="1" x14ac:dyDescent="0.3"/>
    <row r="17864" s="160" customFormat="1" x14ac:dyDescent="0.3"/>
    <row r="17865" s="160" customFormat="1" x14ac:dyDescent="0.3"/>
    <row r="17866" s="160" customFormat="1" x14ac:dyDescent="0.3"/>
    <row r="17867" s="160" customFormat="1" x14ac:dyDescent="0.3"/>
    <row r="17868" s="160" customFormat="1" x14ac:dyDescent="0.3"/>
    <row r="17869" s="160" customFormat="1" x14ac:dyDescent="0.3"/>
    <row r="17870" s="160" customFormat="1" x14ac:dyDescent="0.3"/>
    <row r="17871" s="160" customFormat="1" x14ac:dyDescent="0.3"/>
    <row r="17872" s="160" customFormat="1" x14ac:dyDescent="0.3"/>
    <row r="17873" s="160" customFormat="1" x14ac:dyDescent="0.3"/>
    <row r="17874" s="160" customFormat="1" x14ac:dyDescent="0.3"/>
    <row r="17875" s="160" customFormat="1" x14ac:dyDescent="0.3"/>
    <row r="17876" s="160" customFormat="1" x14ac:dyDescent="0.3"/>
    <row r="17877" s="160" customFormat="1" x14ac:dyDescent="0.3"/>
    <row r="17878" s="160" customFormat="1" x14ac:dyDescent="0.3"/>
    <row r="17879" s="160" customFormat="1" x14ac:dyDescent="0.3"/>
    <row r="17880" s="160" customFormat="1" x14ac:dyDescent="0.3"/>
    <row r="17881" s="160" customFormat="1" x14ac:dyDescent="0.3"/>
    <row r="17882" s="160" customFormat="1" x14ac:dyDescent="0.3"/>
    <row r="17883" s="160" customFormat="1" x14ac:dyDescent="0.3"/>
    <row r="17884" s="160" customFormat="1" x14ac:dyDescent="0.3"/>
    <row r="17885" s="160" customFormat="1" x14ac:dyDescent="0.3"/>
    <row r="17886" s="160" customFormat="1" x14ac:dyDescent="0.3"/>
    <row r="17887" s="160" customFormat="1" x14ac:dyDescent="0.3"/>
    <row r="17888" s="160" customFormat="1" x14ac:dyDescent="0.3"/>
    <row r="17889" s="160" customFormat="1" x14ac:dyDescent="0.3"/>
    <row r="17890" s="160" customFormat="1" x14ac:dyDescent="0.3"/>
    <row r="17891" s="160" customFormat="1" x14ac:dyDescent="0.3"/>
    <row r="17892" s="160" customFormat="1" x14ac:dyDescent="0.3"/>
    <row r="17893" s="160" customFormat="1" x14ac:dyDescent="0.3"/>
    <row r="17894" s="160" customFormat="1" x14ac:dyDescent="0.3"/>
    <row r="17895" s="160" customFormat="1" x14ac:dyDescent="0.3"/>
    <row r="17896" s="160" customFormat="1" x14ac:dyDescent="0.3"/>
    <row r="17897" s="160" customFormat="1" x14ac:dyDescent="0.3"/>
    <row r="17898" s="160" customFormat="1" x14ac:dyDescent="0.3"/>
    <row r="17899" s="160" customFormat="1" x14ac:dyDescent="0.3"/>
    <row r="17900" s="160" customFormat="1" x14ac:dyDescent="0.3"/>
    <row r="17901" s="160" customFormat="1" x14ac:dyDescent="0.3"/>
    <row r="17902" s="160" customFormat="1" x14ac:dyDescent="0.3"/>
    <row r="17903" s="160" customFormat="1" x14ac:dyDescent="0.3"/>
    <row r="17904" s="160" customFormat="1" x14ac:dyDescent="0.3"/>
    <row r="17905" s="160" customFormat="1" x14ac:dyDescent="0.3"/>
    <row r="17906" s="160" customFormat="1" x14ac:dyDescent="0.3"/>
    <row r="17907" s="160" customFormat="1" x14ac:dyDescent="0.3"/>
    <row r="17908" s="160" customFormat="1" x14ac:dyDescent="0.3"/>
    <row r="17909" s="160" customFormat="1" x14ac:dyDescent="0.3"/>
    <row r="17910" s="160" customFormat="1" x14ac:dyDescent="0.3"/>
    <row r="17911" s="160" customFormat="1" x14ac:dyDescent="0.3"/>
    <row r="17912" s="160" customFormat="1" x14ac:dyDescent="0.3"/>
    <row r="17913" s="160" customFormat="1" x14ac:dyDescent="0.3"/>
    <row r="17914" s="160" customFormat="1" x14ac:dyDescent="0.3"/>
    <row r="17915" s="160" customFormat="1" x14ac:dyDescent="0.3"/>
    <row r="17916" s="160" customFormat="1" x14ac:dyDescent="0.3"/>
    <row r="17917" s="160" customFormat="1" x14ac:dyDescent="0.3"/>
    <row r="17918" s="160" customFormat="1" x14ac:dyDescent="0.3"/>
    <row r="17919" s="160" customFormat="1" x14ac:dyDescent="0.3"/>
    <row r="17920" s="160" customFormat="1" x14ac:dyDescent="0.3"/>
    <row r="17921" s="160" customFormat="1" x14ac:dyDescent="0.3"/>
    <row r="17922" s="160" customFormat="1" x14ac:dyDescent="0.3"/>
    <row r="17923" s="160" customFormat="1" x14ac:dyDescent="0.3"/>
    <row r="17924" s="160" customFormat="1" x14ac:dyDescent="0.3"/>
    <row r="17925" s="160" customFormat="1" x14ac:dyDescent="0.3"/>
    <row r="17926" s="160" customFormat="1" x14ac:dyDescent="0.3"/>
    <row r="17927" s="160" customFormat="1" x14ac:dyDescent="0.3"/>
    <row r="17928" s="160" customFormat="1" x14ac:dyDescent="0.3"/>
    <row r="17929" s="160" customFormat="1" x14ac:dyDescent="0.3"/>
    <row r="17930" s="160" customFormat="1" x14ac:dyDescent="0.3"/>
    <row r="17931" s="160" customFormat="1" x14ac:dyDescent="0.3"/>
    <row r="17932" s="160" customFormat="1" x14ac:dyDescent="0.3"/>
    <row r="17933" s="160" customFormat="1" x14ac:dyDescent="0.3"/>
    <row r="17934" s="160" customFormat="1" x14ac:dyDescent="0.3"/>
    <row r="17935" s="160" customFormat="1" x14ac:dyDescent="0.3"/>
    <row r="17936" s="160" customFormat="1" x14ac:dyDescent="0.3"/>
    <row r="17937" s="160" customFormat="1" x14ac:dyDescent="0.3"/>
    <row r="17938" s="160" customFormat="1" x14ac:dyDescent="0.3"/>
    <row r="17939" s="160" customFormat="1" x14ac:dyDescent="0.3"/>
    <row r="17940" s="160" customFormat="1" x14ac:dyDescent="0.3"/>
    <row r="17941" s="160" customFormat="1" x14ac:dyDescent="0.3"/>
    <row r="17942" s="160" customFormat="1" x14ac:dyDescent="0.3"/>
    <row r="17943" s="160" customFormat="1" x14ac:dyDescent="0.3"/>
    <row r="17944" s="160" customFormat="1" x14ac:dyDescent="0.3"/>
    <row r="17945" s="160" customFormat="1" x14ac:dyDescent="0.3"/>
    <row r="17946" s="160" customFormat="1" x14ac:dyDescent="0.3"/>
    <row r="17947" s="160" customFormat="1" x14ac:dyDescent="0.3"/>
    <row r="17948" s="160" customFormat="1" x14ac:dyDescent="0.3"/>
    <row r="17949" s="160" customFormat="1" x14ac:dyDescent="0.3"/>
    <row r="17950" s="160" customFormat="1" x14ac:dyDescent="0.3"/>
    <row r="17951" s="160" customFormat="1" x14ac:dyDescent="0.3"/>
    <row r="17952" s="160" customFormat="1" x14ac:dyDescent="0.3"/>
    <row r="17953" s="160" customFormat="1" x14ac:dyDescent="0.3"/>
    <row r="17954" s="160" customFormat="1" x14ac:dyDescent="0.3"/>
    <row r="17955" s="160" customFormat="1" x14ac:dyDescent="0.3"/>
    <row r="17956" s="160" customFormat="1" x14ac:dyDescent="0.3"/>
    <row r="17957" s="160" customFormat="1" x14ac:dyDescent="0.3"/>
    <row r="17958" s="160" customFormat="1" x14ac:dyDescent="0.3"/>
    <row r="17959" s="160" customFormat="1" x14ac:dyDescent="0.3"/>
    <row r="17960" s="160" customFormat="1" x14ac:dyDescent="0.3"/>
    <row r="17961" s="160" customFormat="1" x14ac:dyDescent="0.3"/>
    <row r="17962" s="160" customFormat="1" x14ac:dyDescent="0.3"/>
    <row r="17963" s="160" customFormat="1" x14ac:dyDescent="0.3"/>
    <row r="17964" s="160" customFormat="1" x14ac:dyDescent="0.3"/>
    <row r="17965" s="160" customFormat="1" x14ac:dyDescent="0.3"/>
    <row r="17966" s="160" customFormat="1" x14ac:dyDescent="0.3"/>
    <row r="17967" s="160" customFormat="1" x14ac:dyDescent="0.3"/>
    <row r="17968" s="160" customFormat="1" x14ac:dyDescent="0.3"/>
    <row r="17969" s="160" customFormat="1" x14ac:dyDescent="0.3"/>
    <row r="17970" s="160" customFormat="1" x14ac:dyDescent="0.3"/>
    <row r="17971" s="160" customFormat="1" x14ac:dyDescent="0.3"/>
    <row r="17972" s="160" customFormat="1" x14ac:dyDescent="0.3"/>
    <row r="17973" s="160" customFormat="1" x14ac:dyDescent="0.3"/>
    <row r="17974" s="160" customFormat="1" x14ac:dyDescent="0.3"/>
    <row r="17975" s="160" customFormat="1" x14ac:dyDescent="0.3"/>
    <row r="17976" s="160" customFormat="1" x14ac:dyDescent="0.3"/>
    <row r="17977" s="160" customFormat="1" x14ac:dyDescent="0.3"/>
    <row r="17978" s="160" customFormat="1" x14ac:dyDescent="0.3"/>
    <row r="17979" s="160" customFormat="1" x14ac:dyDescent="0.3"/>
    <row r="17980" s="160" customFormat="1" x14ac:dyDescent="0.3"/>
    <row r="17981" s="160" customFormat="1" x14ac:dyDescent="0.3"/>
    <row r="17982" s="160" customFormat="1" x14ac:dyDescent="0.3"/>
    <row r="17983" s="160" customFormat="1" x14ac:dyDescent="0.3"/>
    <row r="17984" s="160" customFormat="1" x14ac:dyDescent="0.3"/>
    <row r="17985" s="160" customFormat="1" x14ac:dyDescent="0.3"/>
    <row r="17986" s="160" customFormat="1" x14ac:dyDescent="0.3"/>
    <row r="17987" s="160" customFormat="1" x14ac:dyDescent="0.3"/>
    <row r="17988" s="160" customFormat="1" x14ac:dyDescent="0.3"/>
    <row r="17989" s="160" customFormat="1" x14ac:dyDescent="0.3"/>
    <row r="17990" s="160" customFormat="1" x14ac:dyDescent="0.3"/>
    <row r="17991" s="160" customFormat="1" x14ac:dyDescent="0.3"/>
    <row r="17992" s="160" customFormat="1" x14ac:dyDescent="0.3"/>
    <row r="17993" s="160" customFormat="1" x14ac:dyDescent="0.3"/>
    <row r="17994" s="160" customFormat="1" x14ac:dyDescent="0.3"/>
    <row r="17995" s="160" customFormat="1" x14ac:dyDescent="0.3"/>
    <row r="17996" s="160" customFormat="1" x14ac:dyDescent="0.3"/>
    <row r="17997" s="160" customFormat="1" x14ac:dyDescent="0.3"/>
    <row r="17998" s="160" customFormat="1" x14ac:dyDescent="0.3"/>
    <row r="17999" s="160" customFormat="1" x14ac:dyDescent="0.3"/>
    <row r="18000" s="160" customFormat="1" x14ac:dyDescent="0.3"/>
    <row r="18001" s="160" customFormat="1" x14ac:dyDescent="0.3"/>
    <row r="18002" s="160" customFormat="1" x14ac:dyDescent="0.3"/>
    <row r="18003" s="160" customFormat="1" x14ac:dyDescent="0.3"/>
    <row r="18004" s="160" customFormat="1" x14ac:dyDescent="0.3"/>
    <row r="18005" s="160" customFormat="1" x14ac:dyDescent="0.3"/>
    <row r="18006" s="160" customFormat="1" x14ac:dyDescent="0.3"/>
    <row r="18007" s="160" customFormat="1" x14ac:dyDescent="0.3"/>
    <row r="18008" s="160" customFormat="1" x14ac:dyDescent="0.3"/>
    <row r="18009" s="160" customFormat="1" x14ac:dyDescent="0.3"/>
    <row r="18010" s="160" customFormat="1" x14ac:dyDescent="0.3"/>
    <row r="18011" s="160" customFormat="1" x14ac:dyDescent="0.3"/>
    <row r="18012" s="160" customFormat="1" x14ac:dyDescent="0.3"/>
    <row r="18013" s="160" customFormat="1" x14ac:dyDescent="0.3"/>
    <row r="18014" s="160" customFormat="1" x14ac:dyDescent="0.3"/>
    <row r="18015" s="160" customFormat="1" x14ac:dyDescent="0.3"/>
    <row r="18016" s="160" customFormat="1" x14ac:dyDescent="0.3"/>
    <row r="18017" s="160" customFormat="1" x14ac:dyDescent="0.3"/>
    <row r="18018" s="160" customFormat="1" x14ac:dyDescent="0.3"/>
    <row r="18019" s="160" customFormat="1" x14ac:dyDescent="0.3"/>
    <row r="18020" s="160" customFormat="1" x14ac:dyDescent="0.3"/>
    <row r="18021" s="160" customFormat="1" x14ac:dyDescent="0.3"/>
    <row r="18022" s="160" customFormat="1" x14ac:dyDescent="0.3"/>
    <row r="18023" s="160" customFormat="1" x14ac:dyDescent="0.3"/>
    <row r="18024" s="160" customFormat="1" x14ac:dyDescent="0.3"/>
    <row r="18025" s="160" customFormat="1" x14ac:dyDescent="0.3"/>
    <row r="18026" s="160" customFormat="1" x14ac:dyDescent="0.3"/>
    <row r="18027" s="160" customFormat="1" x14ac:dyDescent="0.3"/>
    <row r="18028" s="160" customFormat="1" x14ac:dyDescent="0.3"/>
    <row r="18029" s="160" customFormat="1" x14ac:dyDescent="0.3"/>
    <row r="18030" s="160" customFormat="1" x14ac:dyDescent="0.3"/>
    <row r="18031" s="160" customFormat="1" x14ac:dyDescent="0.3"/>
    <row r="18032" s="160" customFormat="1" x14ac:dyDescent="0.3"/>
    <row r="18033" s="160" customFormat="1" x14ac:dyDescent="0.3"/>
    <row r="18034" s="160" customFormat="1" x14ac:dyDescent="0.3"/>
    <row r="18035" s="160" customFormat="1" x14ac:dyDescent="0.3"/>
    <row r="18036" s="160" customFormat="1" x14ac:dyDescent="0.3"/>
    <row r="18037" s="160" customFormat="1" x14ac:dyDescent="0.3"/>
    <row r="18038" s="160" customFormat="1" x14ac:dyDescent="0.3"/>
    <row r="18039" s="160" customFormat="1" x14ac:dyDescent="0.3"/>
    <row r="18040" s="160" customFormat="1" x14ac:dyDescent="0.3"/>
    <row r="18041" s="160" customFormat="1" x14ac:dyDescent="0.3"/>
    <row r="18042" s="160" customFormat="1" x14ac:dyDescent="0.3"/>
    <row r="18043" s="160" customFormat="1" x14ac:dyDescent="0.3"/>
    <row r="18044" s="160" customFormat="1" x14ac:dyDescent="0.3"/>
    <row r="18045" s="160" customFormat="1" x14ac:dyDescent="0.3"/>
    <row r="18046" s="160" customFormat="1" x14ac:dyDescent="0.3"/>
    <row r="18047" s="160" customFormat="1" x14ac:dyDescent="0.3"/>
    <row r="18048" s="160" customFormat="1" x14ac:dyDescent="0.3"/>
    <row r="18049" s="160" customFormat="1" x14ac:dyDescent="0.3"/>
    <row r="18050" s="160" customFormat="1" x14ac:dyDescent="0.3"/>
    <row r="18051" s="160" customFormat="1" x14ac:dyDescent="0.3"/>
    <row r="18052" s="160" customFormat="1" x14ac:dyDescent="0.3"/>
    <row r="18053" s="160" customFormat="1" x14ac:dyDescent="0.3"/>
    <row r="18054" s="160" customFormat="1" x14ac:dyDescent="0.3"/>
    <row r="18055" s="160" customFormat="1" x14ac:dyDescent="0.3"/>
    <row r="18056" s="160" customFormat="1" x14ac:dyDescent="0.3"/>
    <row r="18057" s="160" customFormat="1" x14ac:dyDescent="0.3"/>
    <row r="18058" s="160" customFormat="1" x14ac:dyDescent="0.3"/>
    <row r="18059" s="160" customFormat="1" x14ac:dyDescent="0.3"/>
    <row r="18060" s="160" customFormat="1" x14ac:dyDescent="0.3"/>
    <row r="18061" s="160" customFormat="1" x14ac:dyDescent="0.3"/>
    <row r="18062" s="160" customFormat="1" x14ac:dyDescent="0.3"/>
    <row r="18063" s="160" customFormat="1" x14ac:dyDescent="0.3"/>
    <row r="18064" s="160" customFormat="1" x14ac:dyDescent="0.3"/>
    <row r="18065" s="160" customFormat="1" x14ac:dyDescent="0.3"/>
    <row r="18066" s="160" customFormat="1" x14ac:dyDescent="0.3"/>
    <row r="18067" s="160" customFormat="1" x14ac:dyDescent="0.3"/>
    <row r="18068" s="160" customFormat="1" x14ac:dyDescent="0.3"/>
    <row r="18069" s="160" customFormat="1" x14ac:dyDescent="0.3"/>
    <row r="18070" s="160" customFormat="1" x14ac:dyDescent="0.3"/>
    <row r="18071" s="160" customFormat="1" x14ac:dyDescent="0.3"/>
    <row r="18072" s="160" customFormat="1" x14ac:dyDescent="0.3"/>
    <row r="18073" s="160" customFormat="1" x14ac:dyDescent="0.3"/>
    <row r="18074" s="160" customFormat="1" x14ac:dyDescent="0.3"/>
    <row r="18075" s="160" customFormat="1" x14ac:dyDescent="0.3"/>
    <row r="18076" s="160" customFormat="1" x14ac:dyDescent="0.3"/>
    <row r="18077" s="160" customFormat="1" x14ac:dyDescent="0.3"/>
    <row r="18078" s="160" customFormat="1" x14ac:dyDescent="0.3"/>
    <row r="18079" s="160" customFormat="1" x14ac:dyDescent="0.3"/>
    <row r="18080" s="160" customFormat="1" x14ac:dyDescent="0.3"/>
    <row r="18081" s="160" customFormat="1" x14ac:dyDescent="0.3"/>
    <row r="18082" s="160" customFormat="1" x14ac:dyDescent="0.3"/>
    <row r="18083" s="160" customFormat="1" x14ac:dyDescent="0.3"/>
    <row r="18084" s="160" customFormat="1" x14ac:dyDescent="0.3"/>
    <row r="18085" s="160" customFormat="1" x14ac:dyDescent="0.3"/>
    <row r="18086" s="160" customFormat="1" x14ac:dyDescent="0.3"/>
    <row r="18087" s="160" customFormat="1" x14ac:dyDescent="0.3"/>
    <row r="18088" s="160" customFormat="1" x14ac:dyDescent="0.3"/>
    <row r="18089" s="160" customFormat="1" x14ac:dyDescent="0.3"/>
    <row r="18090" s="160" customFormat="1" x14ac:dyDescent="0.3"/>
    <row r="18091" s="160" customFormat="1" x14ac:dyDescent="0.3"/>
    <row r="18092" s="160" customFormat="1" x14ac:dyDescent="0.3"/>
    <row r="18093" s="160" customFormat="1" x14ac:dyDescent="0.3"/>
    <row r="18094" s="160" customFormat="1" x14ac:dyDescent="0.3"/>
    <row r="18095" s="160" customFormat="1" x14ac:dyDescent="0.3"/>
    <row r="18096" s="160" customFormat="1" x14ac:dyDescent="0.3"/>
    <row r="18097" s="160" customFormat="1" x14ac:dyDescent="0.3"/>
    <row r="18098" s="160" customFormat="1" x14ac:dyDescent="0.3"/>
    <row r="18099" s="160" customFormat="1" x14ac:dyDescent="0.3"/>
    <row r="18100" s="160" customFormat="1" x14ac:dyDescent="0.3"/>
    <row r="18101" s="160" customFormat="1" x14ac:dyDescent="0.3"/>
    <row r="18102" s="160" customFormat="1" x14ac:dyDescent="0.3"/>
    <row r="18103" s="160" customFormat="1" x14ac:dyDescent="0.3"/>
    <row r="18104" s="160" customFormat="1" x14ac:dyDescent="0.3"/>
    <row r="18105" s="160" customFormat="1" x14ac:dyDescent="0.3"/>
    <row r="18106" s="160" customFormat="1" x14ac:dyDescent="0.3"/>
    <row r="18107" s="160" customFormat="1" x14ac:dyDescent="0.3"/>
    <row r="18108" s="160" customFormat="1" x14ac:dyDescent="0.3"/>
    <row r="18109" s="160" customFormat="1" x14ac:dyDescent="0.3"/>
    <row r="18110" s="160" customFormat="1" x14ac:dyDescent="0.3"/>
    <row r="18111" s="160" customFormat="1" x14ac:dyDescent="0.3"/>
    <row r="18112" s="160" customFormat="1" x14ac:dyDescent="0.3"/>
    <row r="18113" s="160" customFormat="1" x14ac:dyDescent="0.3"/>
    <row r="18114" s="160" customFormat="1" x14ac:dyDescent="0.3"/>
    <row r="18115" s="160" customFormat="1" x14ac:dyDescent="0.3"/>
    <row r="18116" s="160" customFormat="1" x14ac:dyDescent="0.3"/>
    <row r="18117" s="160" customFormat="1" x14ac:dyDescent="0.3"/>
    <row r="18118" s="160" customFormat="1" x14ac:dyDescent="0.3"/>
    <row r="18119" s="160" customFormat="1" x14ac:dyDescent="0.3"/>
    <row r="18120" s="160" customFormat="1" x14ac:dyDescent="0.3"/>
    <row r="18121" s="160" customFormat="1" x14ac:dyDescent="0.3"/>
    <row r="18122" s="160" customFormat="1" x14ac:dyDescent="0.3"/>
    <row r="18123" s="160" customFormat="1" x14ac:dyDescent="0.3"/>
    <row r="18124" s="160" customFormat="1" x14ac:dyDescent="0.3"/>
    <row r="18125" s="160" customFormat="1" x14ac:dyDescent="0.3"/>
    <row r="18126" s="160" customFormat="1" x14ac:dyDescent="0.3"/>
    <row r="18127" s="160" customFormat="1" x14ac:dyDescent="0.3"/>
    <row r="18128" s="160" customFormat="1" x14ac:dyDescent="0.3"/>
    <row r="18129" s="160" customFormat="1" x14ac:dyDescent="0.3"/>
    <row r="18130" s="160" customFormat="1" x14ac:dyDescent="0.3"/>
    <row r="18131" s="160" customFormat="1" x14ac:dyDescent="0.3"/>
    <row r="18132" s="160" customFormat="1" x14ac:dyDescent="0.3"/>
    <row r="18133" s="160" customFormat="1" x14ac:dyDescent="0.3"/>
    <row r="18134" s="160" customFormat="1" x14ac:dyDescent="0.3"/>
    <row r="18135" s="160" customFormat="1" x14ac:dyDescent="0.3"/>
    <row r="18136" s="160" customFormat="1" x14ac:dyDescent="0.3"/>
    <row r="18137" s="160" customFormat="1" x14ac:dyDescent="0.3"/>
    <row r="18138" s="160" customFormat="1" x14ac:dyDescent="0.3"/>
    <row r="18139" s="160" customFormat="1" x14ac:dyDescent="0.3"/>
    <row r="18140" s="160" customFormat="1" x14ac:dyDescent="0.3"/>
    <row r="18141" s="160" customFormat="1" x14ac:dyDescent="0.3"/>
    <row r="18142" s="160" customFormat="1" x14ac:dyDescent="0.3"/>
    <row r="18143" s="160" customFormat="1" x14ac:dyDescent="0.3"/>
    <row r="18144" s="160" customFormat="1" x14ac:dyDescent="0.3"/>
    <row r="18145" s="160" customFormat="1" x14ac:dyDescent="0.3"/>
    <row r="18146" s="160" customFormat="1" x14ac:dyDescent="0.3"/>
    <row r="18147" s="160" customFormat="1" x14ac:dyDescent="0.3"/>
    <row r="18148" s="160" customFormat="1" x14ac:dyDescent="0.3"/>
    <row r="18149" s="160" customFormat="1" x14ac:dyDescent="0.3"/>
    <row r="18150" s="160" customFormat="1" x14ac:dyDescent="0.3"/>
    <row r="18151" s="160" customFormat="1" x14ac:dyDescent="0.3"/>
    <row r="18152" s="160" customFormat="1" x14ac:dyDescent="0.3"/>
    <row r="18153" s="160" customFormat="1" x14ac:dyDescent="0.3"/>
    <row r="18154" s="160" customFormat="1" x14ac:dyDescent="0.3"/>
    <row r="18155" s="160" customFormat="1" x14ac:dyDescent="0.3"/>
    <row r="18156" s="160" customFormat="1" x14ac:dyDescent="0.3"/>
    <row r="18157" s="160" customFormat="1" x14ac:dyDescent="0.3"/>
    <row r="18158" s="160" customFormat="1" x14ac:dyDescent="0.3"/>
    <row r="18159" s="160" customFormat="1" x14ac:dyDescent="0.3"/>
    <row r="18160" s="160" customFormat="1" x14ac:dyDescent="0.3"/>
    <row r="18161" s="160" customFormat="1" x14ac:dyDescent="0.3"/>
    <row r="18162" s="160" customFormat="1" x14ac:dyDescent="0.3"/>
    <row r="18163" s="160" customFormat="1" x14ac:dyDescent="0.3"/>
    <row r="18164" s="160" customFormat="1" x14ac:dyDescent="0.3"/>
    <row r="18165" s="160" customFormat="1" x14ac:dyDescent="0.3"/>
    <row r="18166" s="160" customFormat="1" x14ac:dyDescent="0.3"/>
    <row r="18167" s="160" customFormat="1" x14ac:dyDescent="0.3"/>
    <row r="18168" s="160" customFormat="1" x14ac:dyDescent="0.3"/>
    <row r="18169" s="160" customFormat="1" x14ac:dyDescent="0.3"/>
    <row r="18170" s="160" customFormat="1" x14ac:dyDescent="0.3"/>
    <row r="18171" s="160" customFormat="1" x14ac:dyDescent="0.3"/>
    <row r="18172" s="160" customFormat="1" x14ac:dyDescent="0.3"/>
    <row r="18173" s="160" customFormat="1" x14ac:dyDescent="0.3"/>
    <row r="18174" s="160" customFormat="1" x14ac:dyDescent="0.3"/>
    <row r="18175" s="160" customFormat="1" x14ac:dyDescent="0.3"/>
    <row r="18176" s="160" customFormat="1" x14ac:dyDescent="0.3"/>
    <row r="18177" s="160" customFormat="1" x14ac:dyDescent="0.3"/>
    <row r="18178" s="160" customFormat="1" x14ac:dyDescent="0.3"/>
    <row r="18179" s="160" customFormat="1" x14ac:dyDescent="0.3"/>
    <row r="18180" s="160" customFormat="1" x14ac:dyDescent="0.3"/>
    <row r="18181" s="160" customFormat="1" x14ac:dyDescent="0.3"/>
    <row r="18182" s="160" customFormat="1" x14ac:dyDescent="0.3"/>
    <row r="18183" s="160" customFormat="1" x14ac:dyDescent="0.3"/>
    <row r="18184" s="160" customFormat="1" x14ac:dyDescent="0.3"/>
    <row r="18185" s="160" customFormat="1" x14ac:dyDescent="0.3"/>
    <row r="18186" s="160" customFormat="1" x14ac:dyDescent="0.3"/>
    <row r="18187" s="160" customFormat="1" x14ac:dyDescent="0.3"/>
    <row r="18188" s="160" customFormat="1" x14ac:dyDescent="0.3"/>
    <row r="18189" s="160" customFormat="1" x14ac:dyDescent="0.3"/>
    <row r="18190" s="160" customFormat="1" x14ac:dyDescent="0.3"/>
    <row r="18191" s="160" customFormat="1" x14ac:dyDescent="0.3"/>
    <row r="18192" s="160" customFormat="1" x14ac:dyDescent="0.3"/>
    <row r="18193" s="160" customFormat="1" x14ac:dyDescent="0.3"/>
    <row r="18194" s="160" customFormat="1" x14ac:dyDescent="0.3"/>
    <row r="18195" s="160" customFormat="1" x14ac:dyDescent="0.3"/>
    <row r="18196" s="160" customFormat="1" x14ac:dyDescent="0.3"/>
    <row r="18197" s="160" customFormat="1" x14ac:dyDescent="0.3"/>
    <row r="18198" s="160" customFormat="1" x14ac:dyDescent="0.3"/>
    <row r="18199" s="160" customFormat="1" x14ac:dyDescent="0.3"/>
    <row r="18200" s="160" customFormat="1" x14ac:dyDescent="0.3"/>
    <row r="18201" s="160" customFormat="1" x14ac:dyDescent="0.3"/>
    <row r="18202" s="160" customFormat="1" x14ac:dyDescent="0.3"/>
    <row r="18203" s="160" customFormat="1" x14ac:dyDescent="0.3"/>
    <row r="18204" s="160" customFormat="1" x14ac:dyDescent="0.3"/>
    <row r="18205" s="160" customFormat="1" x14ac:dyDescent="0.3"/>
    <row r="18206" s="160" customFormat="1" x14ac:dyDescent="0.3"/>
    <row r="18207" s="160" customFormat="1" x14ac:dyDescent="0.3"/>
    <row r="18208" s="160" customFormat="1" x14ac:dyDescent="0.3"/>
    <row r="18209" s="160" customFormat="1" x14ac:dyDescent="0.3"/>
    <row r="18210" s="160" customFormat="1" x14ac:dyDescent="0.3"/>
    <row r="18211" s="160" customFormat="1" x14ac:dyDescent="0.3"/>
    <row r="18212" s="160" customFormat="1" x14ac:dyDescent="0.3"/>
    <row r="18213" s="160" customFormat="1" x14ac:dyDescent="0.3"/>
    <row r="18214" s="160" customFormat="1" x14ac:dyDescent="0.3"/>
    <row r="18215" s="160" customFormat="1" x14ac:dyDescent="0.3"/>
    <row r="18216" s="160" customFormat="1" x14ac:dyDescent="0.3"/>
    <row r="18217" s="160" customFormat="1" x14ac:dyDescent="0.3"/>
    <row r="18218" s="160" customFormat="1" x14ac:dyDescent="0.3"/>
    <row r="18219" s="160" customFormat="1" x14ac:dyDescent="0.3"/>
    <row r="18220" s="160" customFormat="1" x14ac:dyDescent="0.3"/>
    <row r="18221" s="160" customFormat="1" x14ac:dyDescent="0.3"/>
    <row r="18222" s="160" customFormat="1" x14ac:dyDescent="0.3"/>
    <row r="18223" s="160" customFormat="1" x14ac:dyDescent="0.3"/>
    <row r="18224" s="160" customFormat="1" x14ac:dyDescent="0.3"/>
    <row r="18225" s="160" customFormat="1" x14ac:dyDescent="0.3"/>
    <row r="18226" s="160" customFormat="1" x14ac:dyDescent="0.3"/>
    <row r="18227" s="160" customFormat="1" x14ac:dyDescent="0.3"/>
    <row r="18228" s="160" customFormat="1" x14ac:dyDescent="0.3"/>
    <row r="18229" s="160" customFormat="1" x14ac:dyDescent="0.3"/>
    <row r="18230" s="160" customFormat="1" x14ac:dyDescent="0.3"/>
    <row r="18231" s="160" customFormat="1" x14ac:dyDescent="0.3"/>
    <row r="18232" s="160" customFormat="1" x14ac:dyDescent="0.3"/>
    <row r="18233" s="160" customFormat="1" x14ac:dyDescent="0.3"/>
    <row r="18234" s="160" customFormat="1" x14ac:dyDescent="0.3"/>
    <row r="18235" s="160" customFormat="1" x14ac:dyDescent="0.3"/>
    <row r="18236" s="160" customFormat="1" x14ac:dyDescent="0.3"/>
    <row r="18237" s="160" customFormat="1" x14ac:dyDescent="0.3"/>
    <row r="18238" s="160" customFormat="1" x14ac:dyDescent="0.3"/>
    <row r="18239" s="160" customFormat="1" x14ac:dyDescent="0.3"/>
    <row r="18240" s="160" customFormat="1" x14ac:dyDescent="0.3"/>
    <row r="18241" s="160" customFormat="1" x14ac:dyDescent="0.3"/>
    <row r="18242" s="160" customFormat="1" x14ac:dyDescent="0.3"/>
    <row r="18243" s="160" customFormat="1" x14ac:dyDescent="0.3"/>
    <row r="18244" s="160" customFormat="1" x14ac:dyDescent="0.3"/>
    <row r="18245" s="160" customFormat="1" x14ac:dyDescent="0.3"/>
    <row r="18246" s="160" customFormat="1" x14ac:dyDescent="0.3"/>
    <row r="18247" s="160" customFormat="1" x14ac:dyDescent="0.3"/>
    <row r="18248" s="160" customFormat="1" x14ac:dyDescent="0.3"/>
    <row r="18249" s="160" customFormat="1" x14ac:dyDescent="0.3"/>
    <row r="18250" s="160" customFormat="1" x14ac:dyDescent="0.3"/>
    <row r="18251" s="160" customFormat="1" x14ac:dyDescent="0.3"/>
    <row r="18252" s="160" customFormat="1" x14ac:dyDescent="0.3"/>
    <row r="18253" s="160" customFormat="1" x14ac:dyDescent="0.3"/>
    <row r="18254" s="160" customFormat="1" x14ac:dyDescent="0.3"/>
    <row r="18255" s="160" customFormat="1" x14ac:dyDescent="0.3"/>
    <row r="18256" s="160" customFormat="1" x14ac:dyDescent="0.3"/>
    <row r="18257" s="160" customFormat="1" x14ac:dyDescent="0.3"/>
    <row r="18258" s="160" customFormat="1" x14ac:dyDescent="0.3"/>
    <row r="18259" s="160" customFormat="1" x14ac:dyDescent="0.3"/>
    <row r="18260" s="160" customFormat="1" x14ac:dyDescent="0.3"/>
    <row r="18261" s="160" customFormat="1" x14ac:dyDescent="0.3"/>
    <row r="18262" s="160" customFormat="1" x14ac:dyDescent="0.3"/>
    <row r="18263" s="160" customFormat="1" x14ac:dyDescent="0.3"/>
    <row r="18264" s="160" customFormat="1" x14ac:dyDescent="0.3"/>
    <row r="18265" s="160" customFormat="1" x14ac:dyDescent="0.3"/>
    <row r="18266" s="160" customFormat="1" x14ac:dyDescent="0.3"/>
    <row r="18267" s="160" customFormat="1" x14ac:dyDescent="0.3"/>
    <row r="18268" s="160" customFormat="1" x14ac:dyDescent="0.3"/>
    <row r="18269" s="160" customFormat="1" x14ac:dyDescent="0.3"/>
    <row r="18270" s="160" customFormat="1" x14ac:dyDescent="0.3"/>
    <row r="18271" s="160" customFormat="1" x14ac:dyDescent="0.3"/>
    <row r="18272" s="160" customFormat="1" x14ac:dyDescent="0.3"/>
    <row r="18273" s="160" customFormat="1" x14ac:dyDescent="0.3"/>
    <row r="18274" s="160" customFormat="1" x14ac:dyDescent="0.3"/>
    <row r="18275" s="160" customFormat="1" x14ac:dyDescent="0.3"/>
    <row r="18276" s="160" customFormat="1" x14ac:dyDescent="0.3"/>
    <row r="18277" s="160" customFormat="1" x14ac:dyDescent="0.3"/>
    <row r="18278" s="160" customFormat="1" x14ac:dyDescent="0.3"/>
    <row r="18279" s="160" customFormat="1" x14ac:dyDescent="0.3"/>
    <row r="18280" s="160" customFormat="1" x14ac:dyDescent="0.3"/>
    <row r="18281" s="160" customFormat="1" x14ac:dyDescent="0.3"/>
    <row r="18282" s="160" customFormat="1" x14ac:dyDescent="0.3"/>
    <row r="18283" s="160" customFormat="1" x14ac:dyDescent="0.3"/>
    <row r="18284" s="160" customFormat="1" x14ac:dyDescent="0.3"/>
    <row r="18285" s="160" customFormat="1" x14ac:dyDescent="0.3"/>
    <row r="18286" s="160" customFormat="1" x14ac:dyDescent="0.3"/>
    <row r="18287" s="160" customFormat="1" x14ac:dyDescent="0.3"/>
    <row r="18288" s="160" customFormat="1" x14ac:dyDescent="0.3"/>
    <row r="18289" s="160" customFormat="1" x14ac:dyDescent="0.3"/>
    <row r="18290" s="160" customFormat="1" x14ac:dyDescent="0.3"/>
    <row r="18291" s="160" customFormat="1" x14ac:dyDescent="0.3"/>
    <row r="18292" s="160" customFormat="1" x14ac:dyDescent="0.3"/>
    <row r="18293" s="160" customFormat="1" x14ac:dyDescent="0.3"/>
    <row r="18294" s="160" customFormat="1" x14ac:dyDescent="0.3"/>
    <row r="18295" s="160" customFormat="1" x14ac:dyDescent="0.3"/>
    <row r="18296" s="160" customFormat="1" x14ac:dyDescent="0.3"/>
    <row r="18297" s="160" customFormat="1" x14ac:dyDescent="0.3"/>
    <row r="18298" s="160" customFormat="1" x14ac:dyDescent="0.3"/>
    <row r="18299" s="160" customFormat="1" x14ac:dyDescent="0.3"/>
    <row r="18300" s="160" customFormat="1" x14ac:dyDescent="0.3"/>
    <row r="18301" s="160" customFormat="1" x14ac:dyDescent="0.3"/>
    <row r="18302" s="160" customFormat="1" x14ac:dyDescent="0.3"/>
    <row r="18303" s="160" customFormat="1" x14ac:dyDescent="0.3"/>
    <row r="18304" s="160" customFormat="1" x14ac:dyDescent="0.3"/>
    <row r="18305" s="160" customFormat="1" x14ac:dyDescent="0.3"/>
    <row r="18306" s="160" customFormat="1" x14ac:dyDescent="0.3"/>
    <row r="18307" s="160" customFormat="1" x14ac:dyDescent="0.3"/>
    <row r="18308" s="160" customFormat="1" x14ac:dyDescent="0.3"/>
    <row r="18309" s="160" customFormat="1" x14ac:dyDescent="0.3"/>
    <row r="18310" s="160" customFormat="1" x14ac:dyDescent="0.3"/>
    <row r="18311" s="160" customFormat="1" x14ac:dyDescent="0.3"/>
    <row r="18312" s="160" customFormat="1" x14ac:dyDescent="0.3"/>
    <row r="18313" s="160" customFormat="1" x14ac:dyDescent="0.3"/>
    <row r="18314" s="160" customFormat="1" x14ac:dyDescent="0.3"/>
    <row r="18315" s="160" customFormat="1" x14ac:dyDescent="0.3"/>
    <row r="18316" s="160" customFormat="1" x14ac:dyDescent="0.3"/>
    <row r="18317" s="160" customFormat="1" x14ac:dyDescent="0.3"/>
    <row r="18318" s="160" customFormat="1" x14ac:dyDescent="0.3"/>
    <row r="18319" s="160" customFormat="1" x14ac:dyDescent="0.3"/>
    <row r="18320" s="160" customFormat="1" x14ac:dyDescent="0.3"/>
    <row r="18321" s="160" customFormat="1" x14ac:dyDescent="0.3"/>
    <row r="18322" s="160" customFormat="1" x14ac:dyDescent="0.3"/>
    <row r="18323" s="160" customFormat="1" x14ac:dyDescent="0.3"/>
    <row r="18324" s="160" customFormat="1" x14ac:dyDescent="0.3"/>
    <row r="18325" s="160" customFormat="1" x14ac:dyDescent="0.3"/>
    <row r="18326" s="160" customFormat="1" x14ac:dyDescent="0.3"/>
    <row r="18327" s="160" customFormat="1" x14ac:dyDescent="0.3"/>
    <row r="18328" s="160" customFormat="1" x14ac:dyDescent="0.3"/>
    <row r="18329" s="160" customFormat="1" x14ac:dyDescent="0.3"/>
    <row r="18330" s="160" customFormat="1" x14ac:dyDescent="0.3"/>
    <row r="18331" s="160" customFormat="1" x14ac:dyDescent="0.3"/>
    <row r="18332" s="160" customFormat="1" x14ac:dyDescent="0.3"/>
    <row r="18333" s="160" customFormat="1" x14ac:dyDescent="0.3"/>
    <row r="18334" s="160" customFormat="1" x14ac:dyDescent="0.3"/>
    <row r="18335" s="160" customFormat="1" x14ac:dyDescent="0.3"/>
    <row r="18336" s="160" customFormat="1" x14ac:dyDescent="0.3"/>
    <row r="18337" s="160" customFormat="1" x14ac:dyDescent="0.3"/>
    <row r="18338" s="160" customFormat="1" x14ac:dyDescent="0.3"/>
    <row r="18339" s="160" customFormat="1" x14ac:dyDescent="0.3"/>
    <row r="18340" s="160" customFormat="1" x14ac:dyDescent="0.3"/>
    <row r="18341" s="160" customFormat="1" x14ac:dyDescent="0.3"/>
    <row r="18342" s="160" customFormat="1" x14ac:dyDescent="0.3"/>
    <row r="18343" s="160" customFormat="1" x14ac:dyDescent="0.3"/>
    <row r="18344" s="160" customFormat="1" x14ac:dyDescent="0.3"/>
    <row r="18345" s="160" customFormat="1" x14ac:dyDescent="0.3"/>
    <row r="18346" s="160" customFormat="1" x14ac:dyDescent="0.3"/>
    <row r="18347" s="160" customFormat="1" x14ac:dyDescent="0.3"/>
    <row r="18348" s="160" customFormat="1" x14ac:dyDescent="0.3"/>
    <row r="18349" s="160" customFormat="1" x14ac:dyDescent="0.3"/>
    <row r="18350" s="160" customFormat="1" x14ac:dyDescent="0.3"/>
    <row r="18351" s="160" customFormat="1" x14ac:dyDescent="0.3"/>
    <row r="18352" s="160" customFormat="1" x14ac:dyDescent="0.3"/>
    <row r="18353" s="160" customFormat="1" x14ac:dyDescent="0.3"/>
    <row r="18354" s="160" customFormat="1" x14ac:dyDescent="0.3"/>
    <row r="18355" s="160" customFormat="1" x14ac:dyDescent="0.3"/>
    <row r="18356" s="160" customFormat="1" x14ac:dyDescent="0.3"/>
    <row r="18357" s="160" customFormat="1" x14ac:dyDescent="0.3"/>
    <row r="18358" s="160" customFormat="1" x14ac:dyDescent="0.3"/>
    <row r="18359" s="160" customFormat="1" x14ac:dyDescent="0.3"/>
    <row r="18360" s="160" customFormat="1" x14ac:dyDescent="0.3"/>
    <row r="18361" s="160" customFormat="1" x14ac:dyDescent="0.3"/>
    <row r="18362" s="160" customFormat="1" x14ac:dyDescent="0.3"/>
    <row r="18363" s="160" customFormat="1" x14ac:dyDescent="0.3"/>
    <row r="18364" s="160" customFormat="1" x14ac:dyDescent="0.3"/>
    <row r="18365" s="160" customFormat="1" x14ac:dyDescent="0.3"/>
    <row r="18366" s="160" customFormat="1" x14ac:dyDescent="0.3"/>
    <row r="18367" s="160" customFormat="1" x14ac:dyDescent="0.3"/>
    <row r="18368" s="160" customFormat="1" x14ac:dyDescent="0.3"/>
    <row r="18369" s="160" customFormat="1" x14ac:dyDescent="0.3"/>
    <row r="18370" s="160" customFormat="1" x14ac:dyDescent="0.3"/>
    <row r="18371" s="160" customFormat="1" x14ac:dyDescent="0.3"/>
    <row r="18372" s="160" customFormat="1" x14ac:dyDescent="0.3"/>
    <row r="18373" s="160" customFormat="1" x14ac:dyDescent="0.3"/>
    <row r="18374" s="160" customFormat="1" x14ac:dyDescent="0.3"/>
    <row r="18375" s="160" customFormat="1" x14ac:dyDescent="0.3"/>
    <row r="18376" s="160" customFormat="1" x14ac:dyDescent="0.3"/>
    <row r="18377" s="160" customFormat="1" x14ac:dyDescent="0.3"/>
    <row r="18378" s="160" customFormat="1" x14ac:dyDescent="0.3"/>
    <row r="18379" s="160" customFormat="1" x14ac:dyDescent="0.3"/>
    <row r="18380" s="160" customFormat="1" x14ac:dyDescent="0.3"/>
    <row r="18381" s="160" customFormat="1" x14ac:dyDescent="0.3"/>
    <row r="18382" s="160" customFormat="1" x14ac:dyDescent="0.3"/>
    <row r="18383" s="160" customFormat="1" x14ac:dyDescent="0.3"/>
    <row r="18384" s="160" customFormat="1" x14ac:dyDescent="0.3"/>
    <row r="18385" s="160" customFormat="1" x14ac:dyDescent="0.3"/>
    <row r="18386" s="160" customFormat="1" x14ac:dyDescent="0.3"/>
    <row r="18387" s="160" customFormat="1" x14ac:dyDescent="0.3"/>
    <row r="18388" s="160" customFormat="1" x14ac:dyDescent="0.3"/>
    <row r="18389" s="160" customFormat="1" x14ac:dyDescent="0.3"/>
    <row r="18390" s="160" customFormat="1" x14ac:dyDescent="0.3"/>
    <row r="18391" s="160" customFormat="1" x14ac:dyDescent="0.3"/>
    <row r="18392" s="160" customFormat="1" x14ac:dyDescent="0.3"/>
    <row r="18393" s="160" customFormat="1" x14ac:dyDescent="0.3"/>
    <row r="18394" s="160" customFormat="1" x14ac:dyDescent="0.3"/>
    <row r="18395" s="160" customFormat="1" x14ac:dyDescent="0.3"/>
    <row r="18396" s="160" customFormat="1" x14ac:dyDescent="0.3"/>
    <row r="18397" s="160" customFormat="1" x14ac:dyDescent="0.3"/>
    <row r="18398" s="160" customFormat="1" x14ac:dyDescent="0.3"/>
    <row r="18399" s="160" customFormat="1" x14ac:dyDescent="0.3"/>
    <row r="18400" s="160" customFormat="1" x14ac:dyDescent="0.3"/>
    <row r="18401" s="160" customFormat="1" x14ac:dyDescent="0.3"/>
    <row r="18402" s="160" customFormat="1" x14ac:dyDescent="0.3"/>
    <row r="18403" s="160" customFormat="1" x14ac:dyDescent="0.3"/>
    <row r="18404" s="160" customFormat="1" x14ac:dyDescent="0.3"/>
    <row r="18405" s="160" customFormat="1" x14ac:dyDescent="0.3"/>
    <row r="18406" s="160" customFormat="1" x14ac:dyDescent="0.3"/>
    <row r="18407" s="160" customFormat="1" x14ac:dyDescent="0.3"/>
    <row r="18408" s="160" customFormat="1" x14ac:dyDescent="0.3"/>
    <row r="18409" s="160" customFormat="1" x14ac:dyDescent="0.3"/>
    <row r="18410" s="160" customFormat="1" x14ac:dyDescent="0.3"/>
    <row r="18411" s="160" customFormat="1" x14ac:dyDescent="0.3"/>
    <row r="18412" s="160" customFormat="1" x14ac:dyDescent="0.3"/>
    <row r="18413" s="160" customFormat="1" x14ac:dyDescent="0.3"/>
    <row r="18414" s="160" customFormat="1" x14ac:dyDescent="0.3"/>
    <row r="18415" s="160" customFormat="1" x14ac:dyDescent="0.3"/>
    <row r="18416" s="160" customFormat="1" x14ac:dyDescent="0.3"/>
    <row r="18417" s="160" customFormat="1" x14ac:dyDescent="0.3"/>
    <row r="18418" s="160" customFormat="1" x14ac:dyDescent="0.3"/>
    <row r="18419" s="160" customFormat="1" x14ac:dyDescent="0.3"/>
    <row r="18420" s="160" customFormat="1" x14ac:dyDescent="0.3"/>
    <row r="18421" s="160" customFormat="1" x14ac:dyDescent="0.3"/>
    <row r="18422" s="160" customFormat="1" x14ac:dyDescent="0.3"/>
    <row r="18423" s="160" customFormat="1" x14ac:dyDescent="0.3"/>
    <row r="18424" s="160" customFormat="1" x14ac:dyDescent="0.3"/>
    <row r="18425" s="160" customFormat="1" x14ac:dyDescent="0.3"/>
    <row r="18426" s="160" customFormat="1" x14ac:dyDescent="0.3"/>
    <row r="18427" s="160" customFormat="1" x14ac:dyDescent="0.3"/>
    <row r="18428" s="160" customFormat="1" x14ac:dyDescent="0.3"/>
    <row r="18429" s="160" customFormat="1" x14ac:dyDescent="0.3"/>
    <row r="18430" s="160" customFormat="1" x14ac:dyDescent="0.3"/>
    <row r="18431" s="160" customFormat="1" x14ac:dyDescent="0.3"/>
    <row r="18432" s="160" customFormat="1" x14ac:dyDescent="0.3"/>
    <row r="18433" s="160" customFormat="1" x14ac:dyDescent="0.3"/>
    <row r="18434" s="160" customFormat="1" x14ac:dyDescent="0.3"/>
    <row r="18435" s="160" customFormat="1" x14ac:dyDescent="0.3"/>
    <row r="18436" s="160" customFormat="1" x14ac:dyDescent="0.3"/>
    <row r="18437" s="160" customFormat="1" x14ac:dyDescent="0.3"/>
    <row r="18438" s="160" customFormat="1" x14ac:dyDescent="0.3"/>
    <row r="18439" s="160" customFormat="1" x14ac:dyDescent="0.3"/>
    <row r="18440" s="160" customFormat="1" x14ac:dyDescent="0.3"/>
    <row r="18441" s="160" customFormat="1" x14ac:dyDescent="0.3"/>
    <row r="18442" s="160" customFormat="1" x14ac:dyDescent="0.3"/>
    <row r="18443" s="160" customFormat="1" x14ac:dyDescent="0.3"/>
    <row r="18444" s="160" customFormat="1" x14ac:dyDescent="0.3"/>
    <row r="18445" s="160" customFormat="1" x14ac:dyDescent="0.3"/>
    <row r="18446" s="160" customFormat="1" x14ac:dyDescent="0.3"/>
    <row r="18447" s="160" customFormat="1" x14ac:dyDescent="0.3"/>
    <row r="18448" s="160" customFormat="1" x14ac:dyDescent="0.3"/>
    <row r="18449" s="160" customFormat="1" x14ac:dyDescent="0.3"/>
    <row r="18450" s="160" customFormat="1" x14ac:dyDescent="0.3"/>
    <row r="18451" s="160" customFormat="1" x14ac:dyDescent="0.3"/>
    <row r="18452" s="160" customFormat="1" x14ac:dyDescent="0.3"/>
    <row r="18453" s="160" customFormat="1" x14ac:dyDescent="0.3"/>
    <row r="18454" s="160" customFormat="1" x14ac:dyDescent="0.3"/>
    <row r="18455" s="160" customFormat="1" x14ac:dyDescent="0.3"/>
    <row r="18456" s="160" customFormat="1" x14ac:dyDescent="0.3"/>
    <row r="18457" s="160" customFormat="1" x14ac:dyDescent="0.3"/>
    <row r="18458" s="160" customFormat="1" x14ac:dyDescent="0.3"/>
    <row r="18459" s="160" customFormat="1" x14ac:dyDescent="0.3"/>
    <row r="18460" s="160" customFormat="1" x14ac:dyDescent="0.3"/>
    <row r="18461" s="160" customFormat="1" x14ac:dyDescent="0.3"/>
    <row r="18462" s="160" customFormat="1" x14ac:dyDescent="0.3"/>
    <row r="18463" s="160" customFormat="1" x14ac:dyDescent="0.3"/>
    <row r="18464" s="160" customFormat="1" x14ac:dyDescent="0.3"/>
    <row r="18465" s="160" customFormat="1" x14ac:dyDescent="0.3"/>
    <row r="18466" s="160" customFormat="1" x14ac:dyDescent="0.3"/>
    <row r="18467" s="160" customFormat="1" x14ac:dyDescent="0.3"/>
    <row r="18468" s="160" customFormat="1" x14ac:dyDescent="0.3"/>
    <row r="18469" s="160" customFormat="1" x14ac:dyDescent="0.3"/>
    <row r="18470" s="160" customFormat="1" x14ac:dyDescent="0.3"/>
    <row r="18471" s="160" customFormat="1" x14ac:dyDescent="0.3"/>
    <row r="18472" s="160" customFormat="1" x14ac:dyDescent="0.3"/>
    <row r="18473" s="160" customFormat="1" x14ac:dyDescent="0.3"/>
    <row r="18474" s="160" customFormat="1" x14ac:dyDescent="0.3"/>
    <row r="18475" s="160" customFormat="1" x14ac:dyDescent="0.3"/>
    <row r="18476" s="160" customFormat="1" x14ac:dyDescent="0.3"/>
    <row r="18477" s="160" customFormat="1" x14ac:dyDescent="0.3"/>
    <row r="18478" s="160" customFormat="1" x14ac:dyDescent="0.3"/>
    <row r="18479" s="160" customFormat="1" x14ac:dyDescent="0.3"/>
    <row r="18480" s="160" customFormat="1" x14ac:dyDescent="0.3"/>
    <row r="18481" s="160" customFormat="1" x14ac:dyDescent="0.3"/>
    <row r="18482" s="160" customFormat="1" x14ac:dyDescent="0.3"/>
    <row r="18483" s="160" customFormat="1" x14ac:dyDescent="0.3"/>
    <row r="18484" s="160" customFormat="1" x14ac:dyDescent="0.3"/>
    <row r="18485" s="160" customFormat="1" x14ac:dyDescent="0.3"/>
    <row r="18486" s="160" customFormat="1" x14ac:dyDescent="0.3"/>
    <row r="18487" s="160" customFormat="1" x14ac:dyDescent="0.3"/>
    <row r="18488" s="160" customFormat="1" x14ac:dyDescent="0.3"/>
    <row r="18489" s="160" customFormat="1" x14ac:dyDescent="0.3"/>
    <row r="18490" s="160" customFormat="1" x14ac:dyDescent="0.3"/>
    <row r="18491" s="160" customFormat="1" x14ac:dyDescent="0.3"/>
    <row r="18492" s="160" customFormat="1" x14ac:dyDescent="0.3"/>
    <row r="18493" s="160" customFormat="1" x14ac:dyDescent="0.3"/>
    <row r="18494" s="160" customFormat="1" x14ac:dyDescent="0.3"/>
    <row r="18495" s="160" customFormat="1" x14ac:dyDescent="0.3"/>
    <row r="18496" s="160" customFormat="1" x14ac:dyDescent="0.3"/>
    <row r="18497" s="160" customFormat="1" x14ac:dyDescent="0.3"/>
    <row r="18498" s="160" customFormat="1" x14ac:dyDescent="0.3"/>
    <row r="18499" s="160" customFormat="1" x14ac:dyDescent="0.3"/>
    <row r="18500" s="160" customFormat="1" x14ac:dyDescent="0.3"/>
    <row r="18501" s="160" customFormat="1" x14ac:dyDescent="0.3"/>
    <row r="18502" s="160" customFormat="1" x14ac:dyDescent="0.3"/>
    <row r="18503" s="160" customFormat="1" x14ac:dyDescent="0.3"/>
    <row r="18504" s="160" customFormat="1" x14ac:dyDescent="0.3"/>
    <row r="18505" s="160" customFormat="1" x14ac:dyDescent="0.3"/>
    <row r="18506" s="160" customFormat="1" x14ac:dyDescent="0.3"/>
    <row r="18507" s="160" customFormat="1" x14ac:dyDescent="0.3"/>
    <row r="18508" s="160" customFormat="1" x14ac:dyDescent="0.3"/>
    <row r="18509" s="160" customFormat="1" x14ac:dyDescent="0.3"/>
    <row r="18510" s="160" customFormat="1" x14ac:dyDescent="0.3"/>
    <row r="18511" s="160" customFormat="1" x14ac:dyDescent="0.3"/>
    <row r="18512" s="160" customFormat="1" x14ac:dyDescent="0.3"/>
    <row r="18513" s="160" customFormat="1" x14ac:dyDescent="0.3"/>
    <row r="18514" s="160" customFormat="1" x14ac:dyDescent="0.3"/>
    <row r="18515" s="160" customFormat="1" x14ac:dyDescent="0.3"/>
    <row r="18516" s="160" customFormat="1" x14ac:dyDescent="0.3"/>
    <row r="18517" s="160" customFormat="1" x14ac:dyDescent="0.3"/>
    <row r="18518" s="160" customFormat="1" x14ac:dyDescent="0.3"/>
    <row r="18519" s="160" customFormat="1" x14ac:dyDescent="0.3"/>
    <row r="18520" s="160" customFormat="1" x14ac:dyDescent="0.3"/>
    <row r="18521" s="160" customFormat="1" x14ac:dyDescent="0.3"/>
    <row r="18522" s="160" customFormat="1" x14ac:dyDescent="0.3"/>
    <row r="18523" s="160" customFormat="1" x14ac:dyDescent="0.3"/>
    <row r="18524" s="160" customFormat="1" x14ac:dyDescent="0.3"/>
    <row r="18525" s="160" customFormat="1" x14ac:dyDescent="0.3"/>
    <row r="18526" s="160" customFormat="1" x14ac:dyDescent="0.3"/>
    <row r="18527" s="160" customFormat="1" x14ac:dyDescent="0.3"/>
    <row r="18528" s="160" customFormat="1" x14ac:dyDescent="0.3"/>
    <row r="18529" s="160" customFormat="1" x14ac:dyDescent="0.3"/>
    <row r="18530" s="160" customFormat="1" x14ac:dyDescent="0.3"/>
    <row r="18531" s="160" customFormat="1" x14ac:dyDescent="0.3"/>
    <row r="18532" s="160" customFormat="1" x14ac:dyDescent="0.3"/>
    <row r="18533" s="160" customFormat="1" x14ac:dyDescent="0.3"/>
    <row r="18534" s="160" customFormat="1" x14ac:dyDescent="0.3"/>
    <row r="18535" s="160" customFormat="1" x14ac:dyDescent="0.3"/>
    <row r="18536" s="160" customFormat="1" x14ac:dyDescent="0.3"/>
    <row r="18537" s="160" customFormat="1" x14ac:dyDescent="0.3"/>
    <row r="18538" s="160" customFormat="1" x14ac:dyDescent="0.3"/>
    <row r="18539" s="160" customFormat="1" x14ac:dyDescent="0.3"/>
    <row r="18540" s="160" customFormat="1" x14ac:dyDescent="0.3"/>
    <row r="18541" s="160" customFormat="1" x14ac:dyDescent="0.3"/>
    <row r="18542" s="160" customFormat="1" x14ac:dyDescent="0.3"/>
    <row r="18543" s="160" customFormat="1" x14ac:dyDescent="0.3"/>
    <row r="18544" s="160" customFormat="1" x14ac:dyDescent="0.3"/>
    <row r="18545" s="160" customFormat="1" x14ac:dyDescent="0.3"/>
    <row r="18546" s="160" customFormat="1" x14ac:dyDescent="0.3"/>
    <row r="18547" s="160" customFormat="1" x14ac:dyDescent="0.3"/>
    <row r="18548" s="160" customFormat="1" x14ac:dyDescent="0.3"/>
    <row r="18549" s="160" customFormat="1" x14ac:dyDescent="0.3"/>
    <row r="18550" s="160" customFormat="1" x14ac:dyDescent="0.3"/>
    <row r="18551" s="160" customFormat="1" x14ac:dyDescent="0.3"/>
    <row r="18552" s="160" customFormat="1" x14ac:dyDescent="0.3"/>
    <row r="18553" s="160" customFormat="1" x14ac:dyDescent="0.3"/>
    <row r="18554" s="160" customFormat="1" x14ac:dyDescent="0.3"/>
    <row r="18555" s="160" customFormat="1" x14ac:dyDescent="0.3"/>
    <row r="18556" s="160" customFormat="1" x14ac:dyDescent="0.3"/>
    <row r="18557" s="160" customFormat="1" x14ac:dyDescent="0.3"/>
    <row r="18558" s="160" customFormat="1" x14ac:dyDescent="0.3"/>
    <row r="18559" s="160" customFormat="1" x14ac:dyDescent="0.3"/>
    <row r="18560" s="160" customFormat="1" x14ac:dyDescent="0.3"/>
    <row r="18561" s="160" customFormat="1" x14ac:dyDescent="0.3"/>
    <row r="18562" s="160" customFormat="1" x14ac:dyDescent="0.3"/>
    <row r="18563" s="160" customFormat="1" x14ac:dyDescent="0.3"/>
    <row r="18564" s="160" customFormat="1" x14ac:dyDescent="0.3"/>
    <row r="18565" s="160" customFormat="1" x14ac:dyDescent="0.3"/>
    <row r="18566" s="160" customFormat="1" x14ac:dyDescent="0.3"/>
    <row r="18567" s="160" customFormat="1" x14ac:dyDescent="0.3"/>
    <row r="18568" s="160" customFormat="1" x14ac:dyDescent="0.3"/>
    <row r="18569" s="160" customFormat="1" x14ac:dyDescent="0.3"/>
    <row r="18570" s="160" customFormat="1" x14ac:dyDescent="0.3"/>
    <row r="18571" s="160" customFormat="1" x14ac:dyDescent="0.3"/>
    <row r="18572" s="160" customFormat="1" x14ac:dyDescent="0.3"/>
    <row r="18573" s="160" customFormat="1" x14ac:dyDescent="0.3"/>
    <row r="18574" s="160" customFormat="1" x14ac:dyDescent="0.3"/>
    <row r="18575" s="160" customFormat="1" x14ac:dyDescent="0.3"/>
    <row r="18576" s="160" customFormat="1" x14ac:dyDescent="0.3"/>
    <row r="18577" s="160" customFormat="1" x14ac:dyDescent="0.3"/>
    <row r="18578" s="160" customFormat="1" x14ac:dyDescent="0.3"/>
    <row r="18579" s="160" customFormat="1" x14ac:dyDescent="0.3"/>
    <row r="18580" s="160" customFormat="1" x14ac:dyDescent="0.3"/>
    <row r="18581" s="160" customFormat="1" x14ac:dyDescent="0.3"/>
    <row r="18582" s="160" customFormat="1" x14ac:dyDescent="0.3"/>
    <row r="18583" s="160" customFormat="1" x14ac:dyDescent="0.3"/>
    <row r="18584" s="160" customFormat="1" x14ac:dyDescent="0.3"/>
    <row r="18585" s="160" customFormat="1" x14ac:dyDescent="0.3"/>
    <row r="18586" s="160" customFormat="1" x14ac:dyDescent="0.3"/>
    <row r="18587" s="160" customFormat="1" x14ac:dyDescent="0.3"/>
    <row r="18588" s="160" customFormat="1" x14ac:dyDescent="0.3"/>
    <row r="18589" s="160" customFormat="1" x14ac:dyDescent="0.3"/>
    <row r="18590" s="160" customFormat="1" x14ac:dyDescent="0.3"/>
    <row r="18591" s="160" customFormat="1" x14ac:dyDescent="0.3"/>
    <row r="18592" s="160" customFormat="1" x14ac:dyDescent="0.3"/>
    <row r="18593" s="160" customFormat="1" x14ac:dyDescent="0.3"/>
    <row r="18594" s="160" customFormat="1" x14ac:dyDescent="0.3"/>
    <row r="18595" s="160" customFormat="1" x14ac:dyDescent="0.3"/>
    <row r="18596" s="160" customFormat="1" x14ac:dyDescent="0.3"/>
    <row r="18597" s="160" customFormat="1" x14ac:dyDescent="0.3"/>
    <row r="18598" s="160" customFormat="1" x14ac:dyDescent="0.3"/>
    <row r="18599" s="160" customFormat="1" x14ac:dyDescent="0.3"/>
    <row r="18600" s="160" customFormat="1" x14ac:dyDescent="0.3"/>
    <row r="18601" s="160" customFormat="1" x14ac:dyDescent="0.3"/>
    <row r="18602" s="160" customFormat="1" x14ac:dyDescent="0.3"/>
    <row r="18603" s="160" customFormat="1" x14ac:dyDescent="0.3"/>
    <row r="18604" s="160" customFormat="1" x14ac:dyDescent="0.3"/>
    <row r="18605" s="160" customFormat="1" x14ac:dyDescent="0.3"/>
    <row r="18606" s="160" customFormat="1" x14ac:dyDescent="0.3"/>
    <row r="18607" s="160" customFormat="1" x14ac:dyDescent="0.3"/>
    <row r="18608" s="160" customFormat="1" x14ac:dyDescent="0.3"/>
    <row r="18609" s="160" customFormat="1" x14ac:dyDescent="0.3"/>
    <row r="18610" s="160" customFormat="1" x14ac:dyDescent="0.3"/>
    <row r="18611" s="160" customFormat="1" x14ac:dyDescent="0.3"/>
    <row r="18612" s="160" customFormat="1" x14ac:dyDescent="0.3"/>
    <row r="18613" s="160" customFormat="1" x14ac:dyDescent="0.3"/>
    <row r="18614" s="160" customFormat="1" x14ac:dyDescent="0.3"/>
    <row r="18615" s="160" customFormat="1" x14ac:dyDescent="0.3"/>
    <row r="18616" s="160" customFormat="1" x14ac:dyDescent="0.3"/>
    <row r="18617" s="160" customFormat="1" x14ac:dyDescent="0.3"/>
    <row r="18618" s="160" customFormat="1" x14ac:dyDescent="0.3"/>
    <row r="18619" s="160" customFormat="1" x14ac:dyDescent="0.3"/>
    <row r="18620" s="160" customFormat="1" x14ac:dyDescent="0.3"/>
    <row r="18621" s="160" customFormat="1" x14ac:dyDescent="0.3"/>
    <row r="18622" s="160" customFormat="1" x14ac:dyDescent="0.3"/>
    <row r="18623" s="160" customFormat="1" x14ac:dyDescent="0.3"/>
    <row r="18624" s="160" customFormat="1" x14ac:dyDescent="0.3"/>
    <row r="18625" s="160" customFormat="1" x14ac:dyDescent="0.3"/>
    <row r="18626" s="160" customFormat="1" x14ac:dyDescent="0.3"/>
    <row r="18627" s="160" customFormat="1" x14ac:dyDescent="0.3"/>
    <row r="18628" s="160" customFormat="1" x14ac:dyDescent="0.3"/>
    <row r="18629" s="160" customFormat="1" x14ac:dyDescent="0.3"/>
    <row r="18630" s="160" customFormat="1" x14ac:dyDescent="0.3"/>
    <row r="18631" s="160" customFormat="1" x14ac:dyDescent="0.3"/>
    <row r="18632" s="160" customFormat="1" x14ac:dyDescent="0.3"/>
    <row r="18633" s="160" customFormat="1" x14ac:dyDescent="0.3"/>
    <row r="18634" s="160" customFormat="1" x14ac:dyDescent="0.3"/>
    <row r="18635" s="160" customFormat="1" x14ac:dyDescent="0.3"/>
    <row r="18636" s="160" customFormat="1" x14ac:dyDescent="0.3"/>
    <row r="18637" s="160" customFormat="1" x14ac:dyDescent="0.3"/>
    <row r="18638" s="160" customFormat="1" x14ac:dyDescent="0.3"/>
    <row r="18639" s="160" customFormat="1" x14ac:dyDescent="0.3"/>
    <row r="18640" s="160" customFormat="1" x14ac:dyDescent="0.3"/>
    <row r="18641" s="160" customFormat="1" x14ac:dyDescent="0.3"/>
    <row r="18642" s="160" customFormat="1" x14ac:dyDescent="0.3"/>
    <row r="18643" s="160" customFormat="1" x14ac:dyDescent="0.3"/>
    <row r="18644" s="160" customFormat="1" x14ac:dyDescent="0.3"/>
    <row r="18645" s="160" customFormat="1" x14ac:dyDescent="0.3"/>
    <row r="18646" s="160" customFormat="1" x14ac:dyDescent="0.3"/>
    <row r="18647" s="160" customFormat="1" x14ac:dyDescent="0.3"/>
    <row r="18648" s="160" customFormat="1" x14ac:dyDescent="0.3"/>
    <row r="18649" s="160" customFormat="1" x14ac:dyDescent="0.3"/>
    <row r="18650" s="160" customFormat="1" x14ac:dyDescent="0.3"/>
    <row r="18651" s="160" customFormat="1" x14ac:dyDescent="0.3"/>
    <row r="18652" s="160" customFormat="1" x14ac:dyDescent="0.3"/>
    <row r="18653" s="160" customFormat="1" x14ac:dyDescent="0.3"/>
    <row r="18654" s="160" customFormat="1" x14ac:dyDescent="0.3"/>
    <row r="18655" s="160" customFormat="1" x14ac:dyDescent="0.3"/>
    <row r="18656" s="160" customFormat="1" x14ac:dyDescent="0.3"/>
    <row r="18657" s="160" customFormat="1" x14ac:dyDescent="0.3"/>
    <row r="18658" s="160" customFormat="1" x14ac:dyDescent="0.3"/>
    <row r="18659" s="160" customFormat="1" x14ac:dyDescent="0.3"/>
    <row r="18660" s="160" customFormat="1" x14ac:dyDescent="0.3"/>
    <row r="18661" s="160" customFormat="1" x14ac:dyDescent="0.3"/>
    <row r="18662" s="160" customFormat="1" x14ac:dyDescent="0.3"/>
    <row r="18663" s="160" customFormat="1" x14ac:dyDescent="0.3"/>
    <row r="18664" s="160" customFormat="1" x14ac:dyDescent="0.3"/>
    <row r="18665" s="160" customFormat="1" x14ac:dyDescent="0.3"/>
    <row r="18666" s="160" customFormat="1" x14ac:dyDescent="0.3"/>
    <row r="18667" s="160" customFormat="1" x14ac:dyDescent="0.3"/>
    <row r="18668" s="160" customFormat="1" x14ac:dyDescent="0.3"/>
    <row r="18669" s="160" customFormat="1" x14ac:dyDescent="0.3"/>
    <row r="18670" s="160" customFormat="1" x14ac:dyDescent="0.3"/>
    <row r="18671" s="160" customFormat="1" x14ac:dyDescent="0.3"/>
    <row r="18672" s="160" customFormat="1" x14ac:dyDescent="0.3"/>
    <row r="18673" s="160" customFormat="1" x14ac:dyDescent="0.3"/>
    <row r="18674" s="160" customFormat="1" x14ac:dyDescent="0.3"/>
    <row r="18675" s="160" customFormat="1" x14ac:dyDescent="0.3"/>
    <row r="18676" s="160" customFormat="1" x14ac:dyDescent="0.3"/>
    <row r="18677" s="160" customFormat="1" x14ac:dyDescent="0.3"/>
    <row r="18678" s="160" customFormat="1" x14ac:dyDescent="0.3"/>
    <row r="18679" s="160" customFormat="1" x14ac:dyDescent="0.3"/>
    <row r="18680" s="160" customFormat="1" x14ac:dyDescent="0.3"/>
    <row r="18681" s="160" customFormat="1" x14ac:dyDescent="0.3"/>
    <row r="18682" s="160" customFormat="1" x14ac:dyDescent="0.3"/>
    <row r="18683" s="160" customFormat="1" x14ac:dyDescent="0.3"/>
    <row r="18684" s="160" customFormat="1" x14ac:dyDescent="0.3"/>
    <row r="18685" s="160" customFormat="1" x14ac:dyDescent="0.3"/>
    <row r="18686" s="160" customFormat="1" x14ac:dyDescent="0.3"/>
    <row r="18687" s="160" customFormat="1" x14ac:dyDescent="0.3"/>
    <row r="18688" s="160" customFormat="1" x14ac:dyDescent="0.3"/>
    <row r="18689" s="160" customFormat="1" x14ac:dyDescent="0.3"/>
    <row r="18690" s="160" customFormat="1" x14ac:dyDescent="0.3"/>
    <row r="18691" s="160" customFormat="1" x14ac:dyDescent="0.3"/>
    <row r="18692" s="160" customFormat="1" x14ac:dyDescent="0.3"/>
    <row r="18693" s="160" customFormat="1" x14ac:dyDescent="0.3"/>
    <row r="18694" s="160" customFormat="1" x14ac:dyDescent="0.3"/>
    <row r="18695" s="160" customFormat="1" x14ac:dyDescent="0.3"/>
    <row r="18696" s="160" customFormat="1" x14ac:dyDescent="0.3"/>
    <row r="18697" s="160" customFormat="1" x14ac:dyDescent="0.3"/>
    <row r="18698" s="160" customFormat="1" x14ac:dyDescent="0.3"/>
    <row r="18699" s="160" customFormat="1" x14ac:dyDescent="0.3"/>
    <row r="18700" s="160" customFormat="1" x14ac:dyDescent="0.3"/>
    <row r="18701" s="160" customFormat="1" x14ac:dyDescent="0.3"/>
    <row r="18702" s="160" customFormat="1" x14ac:dyDescent="0.3"/>
    <row r="18703" s="160" customFormat="1" x14ac:dyDescent="0.3"/>
    <row r="18704" s="160" customFormat="1" x14ac:dyDescent="0.3"/>
    <row r="18705" s="160" customFormat="1" x14ac:dyDescent="0.3"/>
    <row r="18706" s="160" customFormat="1" x14ac:dyDescent="0.3"/>
    <row r="18707" s="160" customFormat="1" x14ac:dyDescent="0.3"/>
    <row r="18708" s="160" customFormat="1" x14ac:dyDescent="0.3"/>
    <row r="18709" s="160" customFormat="1" x14ac:dyDescent="0.3"/>
    <row r="18710" s="160" customFormat="1" x14ac:dyDescent="0.3"/>
    <row r="18711" s="160" customFormat="1" x14ac:dyDescent="0.3"/>
    <row r="18712" s="160" customFormat="1" x14ac:dyDescent="0.3"/>
    <row r="18713" s="160" customFormat="1" x14ac:dyDescent="0.3"/>
    <row r="18714" s="160" customFormat="1" x14ac:dyDescent="0.3"/>
    <row r="18715" s="160" customFormat="1" x14ac:dyDescent="0.3"/>
    <row r="18716" s="160" customFormat="1" x14ac:dyDescent="0.3"/>
    <row r="18717" s="160" customFormat="1" x14ac:dyDescent="0.3"/>
    <row r="18718" s="160" customFormat="1" x14ac:dyDescent="0.3"/>
    <row r="18719" s="160" customFormat="1" x14ac:dyDescent="0.3"/>
    <row r="18720" s="160" customFormat="1" x14ac:dyDescent="0.3"/>
    <row r="18721" s="160" customFormat="1" x14ac:dyDescent="0.3"/>
    <row r="18722" s="160" customFormat="1" x14ac:dyDescent="0.3"/>
    <row r="18723" s="160" customFormat="1" x14ac:dyDescent="0.3"/>
    <row r="18724" s="160" customFormat="1" x14ac:dyDescent="0.3"/>
    <row r="18725" s="160" customFormat="1" x14ac:dyDescent="0.3"/>
    <row r="18726" s="160" customFormat="1" x14ac:dyDescent="0.3"/>
    <row r="18727" s="160" customFormat="1" x14ac:dyDescent="0.3"/>
    <row r="18728" s="160" customFormat="1" x14ac:dyDescent="0.3"/>
    <row r="18729" s="160" customFormat="1" x14ac:dyDescent="0.3"/>
    <row r="18730" s="160" customFormat="1" x14ac:dyDescent="0.3"/>
    <row r="18731" s="160" customFormat="1" x14ac:dyDescent="0.3"/>
    <row r="18732" s="160" customFormat="1" x14ac:dyDescent="0.3"/>
    <row r="18733" s="160" customFormat="1" x14ac:dyDescent="0.3"/>
    <row r="18734" s="160" customFormat="1" x14ac:dyDescent="0.3"/>
    <row r="18735" s="160" customFormat="1" x14ac:dyDescent="0.3"/>
    <row r="18736" s="160" customFormat="1" x14ac:dyDescent="0.3"/>
    <row r="18737" s="160" customFormat="1" x14ac:dyDescent="0.3"/>
    <row r="18738" s="160" customFormat="1" x14ac:dyDescent="0.3"/>
    <row r="18739" s="160" customFormat="1" x14ac:dyDescent="0.3"/>
    <row r="18740" s="160" customFormat="1" x14ac:dyDescent="0.3"/>
    <row r="18741" s="160" customFormat="1" x14ac:dyDescent="0.3"/>
    <row r="18742" s="160" customFormat="1" x14ac:dyDescent="0.3"/>
    <row r="18743" s="160" customFormat="1" x14ac:dyDescent="0.3"/>
    <row r="18744" s="160" customFormat="1" x14ac:dyDescent="0.3"/>
    <row r="18745" s="160" customFormat="1" x14ac:dyDescent="0.3"/>
    <row r="18746" s="160" customFormat="1" x14ac:dyDescent="0.3"/>
    <row r="18747" s="160" customFormat="1" x14ac:dyDescent="0.3"/>
    <row r="18748" s="160" customFormat="1" x14ac:dyDescent="0.3"/>
    <row r="18749" s="160" customFormat="1" x14ac:dyDescent="0.3"/>
    <row r="18750" s="160" customFormat="1" x14ac:dyDescent="0.3"/>
    <row r="18751" s="160" customFormat="1" x14ac:dyDescent="0.3"/>
    <row r="18752" s="160" customFormat="1" x14ac:dyDescent="0.3"/>
    <row r="18753" s="160" customFormat="1" x14ac:dyDescent="0.3"/>
    <row r="18754" s="160" customFormat="1" x14ac:dyDescent="0.3"/>
    <row r="18755" s="160" customFormat="1" x14ac:dyDescent="0.3"/>
    <row r="18756" s="160" customFormat="1" x14ac:dyDescent="0.3"/>
    <row r="18757" s="160" customFormat="1" x14ac:dyDescent="0.3"/>
    <row r="18758" s="160" customFormat="1" x14ac:dyDescent="0.3"/>
    <row r="18759" s="160" customFormat="1" x14ac:dyDescent="0.3"/>
    <row r="18760" s="160" customFormat="1" x14ac:dyDescent="0.3"/>
    <row r="18761" s="160" customFormat="1" x14ac:dyDescent="0.3"/>
    <row r="18762" s="160" customFormat="1" x14ac:dyDescent="0.3"/>
    <row r="18763" s="160" customFormat="1" x14ac:dyDescent="0.3"/>
    <row r="18764" s="160" customFormat="1" x14ac:dyDescent="0.3"/>
    <row r="18765" s="160" customFormat="1" x14ac:dyDescent="0.3"/>
    <row r="18766" s="160" customFormat="1" x14ac:dyDescent="0.3"/>
    <row r="18767" s="160" customFormat="1" x14ac:dyDescent="0.3"/>
    <row r="18768" s="160" customFormat="1" x14ac:dyDescent="0.3"/>
    <row r="18769" s="160" customFormat="1" x14ac:dyDescent="0.3"/>
    <row r="18770" s="160" customFormat="1" x14ac:dyDescent="0.3"/>
    <row r="18771" s="160" customFormat="1" x14ac:dyDescent="0.3"/>
    <row r="18772" s="160" customFormat="1" x14ac:dyDescent="0.3"/>
    <row r="18773" s="160" customFormat="1" x14ac:dyDescent="0.3"/>
    <row r="18774" s="160" customFormat="1" x14ac:dyDescent="0.3"/>
    <row r="18775" s="160" customFormat="1" x14ac:dyDescent="0.3"/>
    <row r="18776" s="160" customFormat="1" x14ac:dyDescent="0.3"/>
    <row r="18777" s="160" customFormat="1" x14ac:dyDescent="0.3"/>
    <row r="18778" s="160" customFormat="1" x14ac:dyDescent="0.3"/>
    <row r="18779" s="160" customFormat="1" x14ac:dyDescent="0.3"/>
    <row r="18780" s="160" customFormat="1" x14ac:dyDescent="0.3"/>
    <row r="18781" s="160" customFormat="1" x14ac:dyDescent="0.3"/>
    <row r="18782" s="160" customFormat="1" x14ac:dyDescent="0.3"/>
    <row r="18783" s="160" customFormat="1" x14ac:dyDescent="0.3"/>
    <row r="18784" s="160" customFormat="1" x14ac:dyDescent="0.3"/>
    <row r="18785" s="160" customFormat="1" x14ac:dyDescent="0.3"/>
    <row r="18786" s="160" customFormat="1" x14ac:dyDescent="0.3"/>
    <row r="18787" s="160" customFormat="1" x14ac:dyDescent="0.3"/>
    <row r="18788" s="160" customFormat="1" x14ac:dyDescent="0.3"/>
    <row r="18789" s="160" customFormat="1" x14ac:dyDescent="0.3"/>
    <row r="18790" s="160" customFormat="1" x14ac:dyDescent="0.3"/>
    <row r="18791" s="160" customFormat="1" x14ac:dyDescent="0.3"/>
    <row r="18792" s="160" customFormat="1" x14ac:dyDescent="0.3"/>
    <row r="18793" s="160" customFormat="1" x14ac:dyDescent="0.3"/>
    <row r="18794" s="160" customFormat="1" x14ac:dyDescent="0.3"/>
    <row r="18795" s="160" customFormat="1" x14ac:dyDescent="0.3"/>
    <row r="18796" s="160" customFormat="1" x14ac:dyDescent="0.3"/>
    <row r="18797" s="160" customFormat="1" x14ac:dyDescent="0.3"/>
    <row r="18798" s="160" customFormat="1" x14ac:dyDescent="0.3"/>
    <row r="18799" s="160" customFormat="1" x14ac:dyDescent="0.3"/>
    <row r="18800" s="160" customFormat="1" x14ac:dyDescent="0.3"/>
    <row r="18801" s="160" customFormat="1" x14ac:dyDescent="0.3"/>
    <row r="18802" s="160" customFormat="1" x14ac:dyDescent="0.3"/>
    <row r="18803" s="160" customFormat="1" x14ac:dyDescent="0.3"/>
    <row r="18804" s="160" customFormat="1" x14ac:dyDescent="0.3"/>
    <row r="18805" s="160" customFormat="1" x14ac:dyDescent="0.3"/>
    <row r="18806" s="160" customFormat="1" x14ac:dyDescent="0.3"/>
    <row r="18807" s="160" customFormat="1" x14ac:dyDescent="0.3"/>
    <row r="18808" s="160" customFormat="1" x14ac:dyDescent="0.3"/>
    <row r="18809" s="160" customFormat="1" x14ac:dyDescent="0.3"/>
    <row r="18810" s="160" customFormat="1" x14ac:dyDescent="0.3"/>
    <row r="18811" s="160" customFormat="1" x14ac:dyDescent="0.3"/>
    <row r="18812" s="160" customFormat="1" x14ac:dyDescent="0.3"/>
    <row r="18813" s="160" customFormat="1" x14ac:dyDescent="0.3"/>
    <row r="18814" s="160" customFormat="1" x14ac:dyDescent="0.3"/>
    <row r="18815" s="160" customFormat="1" x14ac:dyDescent="0.3"/>
    <row r="18816" s="160" customFormat="1" x14ac:dyDescent="0.3"/>
    <row r="18817" s="160" customFormat="1" x14ac:dyDescent="0.3"/>
    <row r="18818" s="160" customFormat="1" x14ac:dyDescent="0.3"/>
    <row r="18819" s="160" customFormat="1" x14ac:dyDescent="0.3"/>
    <row r="18820" s="160" customFormat="1" x14ac:dyDescent="0.3"/>
    <row r="18821" s="160" customFormat="1" x14ac:dyDescent="0.3"/>
    <row r="18822" s="160" customFormat="1" x14ac:dyDescent="0.3"/>
    <row r="18823" s="160" customFormat="1" x14ac:dyDescent="0.3"/>
    <row r="18824" s="160" customFormat="1" x14ac:dyDescent="0.3"/>
    <row r="18825" s="160" customFormat="1" x14ac:dyDescent="0.3"/>
    <row r="18826" s="160" customFormat="1" x14ac:dyDescent="0.3"/>
    <row r="18827" s="160" customFormat="1" x14ac:dyDescent="0.3"/>
    <row r="18828" s="160" customFormat="1" x14ac:dyDescent="0.3"/>
    <row r="18829" s="160" customFormat="1" x14ac:dyDescent="0.3"/>
    <row r="18830" s="160" customFormat="1" x14ac:dyDescent="0.3"/>
    <row r="18831" s="160" customFormat="1" x14ac:dyDescent="0.3"/>
    <row r="18832" s="160" customFormat="1" x14ac:dyDescent="0.3"/>
    <row r="18833" s="160" customFormat="1" x14ac:dyDescent="0.3"/>
    <row r="18834" s="160" customFormat="1" x14ac:dyDescent="0.3"/>
    <row r="18835" s="160" customFormat="1" x14ac:dyDescent="0.3"/>
    <row r="18836" s="160" customFormat="1" x14ac:dyDescent="0.3"/>
    <row r="18837" s="160" customFormat="1" x14ac:dyDescent="0.3"/>
    <row r="18838" s="160" customFormat="1" x14ac:dyDescent="0.3"/>
    <row r="18839" s="160" customFormat="1" x14ac:dyDescent="0.3"/>
    <row r="18840" s="160" customFormat="1" x14ac:dyDescent="0.3"/>
    <row r="18841" s="160" customFormat="1" x14ac:dyDescent="0.3"/>
    <row r="18842" s="160" customFormat="1" x14ac:dyDescent="0.3"/>
    <row r="18843" s="160" customFormat="1" x14ac:dyDescent="0.3"/>
    <row r="18844" s="160" customFormat="1" x14ac:dyDescent="0.3"/>
    <row r="18845" s="160" customFormat="1" x14ac:dyDescent="0.3"/>
    <row r="18846" s="160" customFormat="1" x14ac:dyDescent="0.3"/>
    <row r="18847" s="160" customFormat="1" x14ac:dyDescent="0.3"/>
    <row r="18848" s="160" customFormat="1" x14ac:dyDescent="0.3"/>
    <row r="18849" s="160" customFormat="1" x14ac:dyDescent="0.3"/>
    <row r="18850" s="160" customFormat="1" x14ac:dyDescent="0.3"/>
    <row r="18851" s="160" customFormat="1" x14ac:dyDescent="0.3"/>
    <row r="18852" s="160" customFormat="1" x14ac:dyDescent="0.3"/>
    <row r="18853" s="160" customFormat="1" x14ac:dyDescent="0.3"/>
    <row r="18854" s="160" customFormat="1" x14ac:dyDescent="0.3"/>
    <row r="18855" s="160" customFormat="1" x14ac:dyDescent="0.3"/>
    <row r="18856" s="160" customFormat="1" x14ac:dyDescent="0.3"/>
    <row r="18857" s="160" customFormat="1" x14ac:dyDescent="0.3"/>
    <row r="18858" s="160" customFormat="1" x14ac:dyDescent="0.3"/>
    <row r="18859" s="160" customFormat="1" x14ac:dyDescent="0.3"/>
    <row r="18860" s="160" customFormat="1" x14ac:dyDescent="0.3"/>
    <row r="18861" s="160" customFormat="1" x14ac:dyDescent="0.3"/>
    <row r="18862" s="160" customFormat="1" x14ac:dyDescent="0.3"/>
    <row r="18863" s="160" customFormat="1" x14ac:dyDescent="0.3"/>
    <row r="18864" s="160" customFormat="1" x14ac:dyDescent="0.3"/>
    <row r="18865" s="160" customFormat="1" x14ac:dyDescent="0.3"/>
    <row r="18866" s="160" customFormat="1" x14ac:dyDescent="0.3"/>
    <row r="18867" s="160" customFormat="1" x14ac:dyDescent="0.3"/>
    <row r="18868" s="160" customFormat="1" x14ac:dyDescent="0.3"/>
    <row r="18869" s="160" customFormat="1" x14ac:dyDescent="0.3"/>
    <row r="18870" s="160" customFormat="1" x14ac:dyDescent="0.3"/>
    <row r="18871" s="160" customFormat="1" x14ac:dyDescent="0.3"/>
    <row r="18872" s="160" customFormat="1" x14ac:dyDescent="0.3"/>
    <row r="18873" s="160" customFormat="1" x14ac:dyDescent="0.3"/>
    <row r="18874" s="160" customFormat="1" x14ac:dyDescent="0.3"/>
    <row r="18875" s="160" customFormat="1" x14ac:dyDescent="0.3"/>
    <row r="18876" s="160" customFormat="1" x14ac:dyDescent="0.3"/>
    <row r="18877" s="160" customFormat="1" x14ac:dyDescent="0.3"/>
    <row r="18878" s="160" customFormat="1" x14ac:dyDescent="0.3"/>
    <row r="18879" s="160" customFormat="1" x14ac:dyDescent="0.3"/>
    <row r="18880" s="160" customFormat="1" x14ac:dyDescent="0.3"/>
    <row r="18881" s="160" customFormat="1" x14ac:dyDescent="0.3"/>
    <row r="18882" s="160" customFormat="1" x14ac:dyDescent="0.3"/>
    <row r="18883" s="160" customFormat="1" x14ac:dyDescent="0.3"/>
    <row r="18884" s="160" customFormat="1" x14ac:dyDescent="0.3"/>
    <row r="18885" s="160" customFormat="1" x14ac:dyDescent="0.3"/>
    <row r="18886" s="160" customFormat="1" x14ac:dyDescent="0.3"/>
    <row r="18887" s="160" customFormat="1" x14ac:dyDescent="0.3"/>
    <row r="18888" s="160" customFormat="1" x14ac:dyDescent="0.3"/>
    <row r="18889" s="160" customFormat="1" x14ac:dyDescent="0.3"/>
    <row r="18890" s="160" customFormat="1" x14ac:dyDescent="0.3"/>
    <row r="18891" s="160" customFormat="1" x14ac:dyDescent="0.3"/>
    <row r="18892" s="160" customFormat="1" x14ac:dyDescent="0.3"/>
    <row r="18893" s="160" customFormat="1" x14ac:dyDescent="0.3"/>
    <row r="18894" s="160" customFormat="1" x14ac:dyDescent="0.3"/>
    <row r="18895" s="160" customFormat="1" x14ac:dyDescent="0.3"/>
    <row r="18896" s="160" customFormat="1" x14ac:dyDescent="0.3"/>
    <row r="18897" s="160" customFormat="1" x14ac:dyDescent="0.3"/>
    <row r="18898" s="160" customFormat="1" x14ac:dyDescent="0.3"/>
    <row r="18899" s="160" customFormat="1" x14ac:dyDescent="0.3"/>
    <row r="18900" s="160" customFormat="1" x14ac:dyDescent="0.3"/>
    <row r="18901" s="160" customFormat="1" x14ac:dyDescent="0.3"/>
    <row r="18902" s="160" customFormat="1" x14ac:dyDescent="0.3"/>
    <row r="18903" s="160" customFormat="1" x14ac:dyDescent="0.3"/>
    <row r="18904" s="160" customFormat="1" x14ac:dyDescent="0.3"/>
    <row r="18905" s="160" customFormat="1" x14ac:dyDescent="0.3"/>
    <row r="18906" s="160" customFormat="1" x14ac:dyDescent="0.3"/>
    <row r="18907" s="160" customFormat="1" x14ac:dyDescent="0.3"/>
    <row r="18908" s="160" customFormat="1" x14ac:dyDescent="0.3"/>
    <row r="18909" s="160" customFormat="1" x14ac:dyDescent="0.3"/>
    <row r="18910" s="160" customFormat="1" x14ac:dyDescent="0.3"/>
    <row r="18911" s="160" customFormat="1" x14ac:dyDescent="0.3"/>
    <row r="18912" s="160" customFormat="1" x14ac:dyDescent="0.3"/>
    <row r="18913" s="160" customFormat="1" x14ac:dyDescent="0.3"/>
    <row r="18914" s="160" customFormat="1" x14ac:dyDescent="0.3"/>
    <row r="18915" s="160" customFormat="1" x14ac:dyDescent="0.3"/>
    <row r="18916" s="160" customFormat="1" x14ac:dyDescent="0.3"/>
    <row r="18917" s="160" customFormat="1" x14ac:dyDescent="0.3"/>
    <row r="18918" s="160" customFormat="1" x14ac:dyDescent="0.3"/>
    <row r="18919" s="160" customFormat="1" x14ac:dyDescent="0.3"/>
    <row r="18920" s="160" customFormat="1" x14ac:dyDescent="0.3"/>
    <row r="18921" s="160" customFormat="1" x14ac:dyDescent="0.3"/>
    <row r="18922" s="160" customFormat="1" x14ac:dyDescent="0.3"/>
    <row r="18923" s="160" customFormat="1" x14ac:dyDescent="0.3"/>
    <row r="18924" s="160" customFormat="1" x14ac:dyDescent="0.3"/>
    <row r="18925" s="160" customFormat="1" x14ac:dyDescent="0.3"/>
    <row r="18926" s="160" customFormat="1" x14ac:dyDescent="0.3"/>
    <row r="18927" s="160" customFormat="1" x14ac:dyDescent="0.3"/>
    <row r="18928" s="160" customFormat="1" x14ac:dyDescent="0.3"/>
    <row r="18929" s="160" customFormat="1" x14ac:dyDescent="0.3"/>
    <row r="18930" s="160" customFormat="1" x14ac:dyDescent="0.3"/>
    <row r="18931" s="160" customFormat="1" x14ac:dyDescent="0.3"/>
    <row r="18932" s="160" customFormat="1" x14ac:dyDescent="0.3"/>
    <row r="18933" s="160" customFormat="1" x14ac:dyDescent="0.3"/>
    <row r="18934" s="160" customFormat="1" x14ac:dyDescent="0.3"/>
    <row r="18935" s="160" customFormat="1" x14ac:dyDescent="0.3"/>
    <row r="18936" s="160" customFormat="1" x14ac:dyDescent="0.3"/>
    <row r="18937" s="160" customFormat="1" x14ac:dyDescent="0.3"/>
    <row r="18938" s="160" customFormat="1" x14ac:dyDescent="0.3"/>
    <row r="18939" s="160" customFormat="1" x14ac:dyDescent="0.3"/>
    <row r="18940" s="160" customFormat="1" x14ac:dyDescent="0.3"/>
    <row r="18941" s="160" customFormat="1" x14ac:dyDescent="0.3"/>
    <row r="18942" s="160" customFormat="1" x14ac:dyDescent="0.3"/>
    <row r="18943" s="160" customFormat="1" x14ac:dyDescent="0.3"/>
    <row r="18944" s="160" customFormat="1" x14ac:dyDescent="0.3"/>
    <row r="18945" s="160" customFormat="1" x14ac:dyDescent="0.3"/>
    <row r="18946" s="160" customFormat="1" x14ac:dyDescent="0.3"/>
    <row r="18947" s="160" customFormat="1" x14ac:dyDescent="0.3"/>
    <row r="18948" s="160" customFormat="1" x14ac:dyDescent="0.3"/>
    <row r="18949" s="160" customFormat="1" x14ac:dyDescent="0.3"/>
    <row r="18950" s="160" customFormat="1" x14ac:dyDescent="0.3"/>
    <row r="18951" s="160" customFormat="1" x14ac:dyDescent="0.3"/>
    <row r="18952" s="160" customFormat="1" x14ac:dyDescent="0.3"/>
    <row r="18953" s="160" customFormat="1" x14ac:dyDescent="0.3"/>
    <row r="18954" s="160" customFormat="1" x14ac:dyDescent="0.3"/>
    <row r="18955" s="160" customFormat="1" x14ac:dyDescent="0.3"/>
    <row r="18956" s="160" customFormat="1" x14ac:dyDescent="0.3"/>
    <row r="18957" s="160" customFormat="1" x14ac:dyDescent="0.3"/>
    <row r="18958" s="160" customFormat="1" x14ac:dyDescent="0.3"/>
    <row r="18959" s="160" customFormat="1" x14ac:dyDescent="0.3"/>
    <row r="18960" s="160" customFormat="1" x14ac:dyDescent="0.3"/>
    <row r="18961" s="160" customFormat="1" x14ac:dyDescent="0.3"/>
    <row r="18962" s="160" customFormat="1" x14ac:dyDescent="0.3"/>
    <row r="18963" s="160" customFormat="1" x14ac:dyDescent="0.3"/>
    <row r="18964" s="160" customFormat="1" x14ac:dyDescent="0.3"/>
    <row r="18965" s="160" customFormat="1" x14ac:dyDescent="0.3"/>
    <row r="18966" s="160" customFormat="1" x14ac:dyDescent="0.3"/>
    <row r="18967" s="160" customFormat="1" x14ac:dyDescent="0.3"/>
    <row r="18968" s="160" customFormat="1" x14ac:dyDescent="0.3"/>
    <row r="18969" s="160" customFormat="1" x14ac:dyDescent="0.3"/>
    <row r="18970" s="160" customFormat="1" x14ac:dyDescent="0.3"/>
    <row r="18971" s="160" customFormat="1" x14ac:dyDescent="0.3"/>
    <row r="18972" s="160" customFormat="1" x14ac:dyDescent="0.3"/>
    <row r="18973" s="160" customFormat="1" x14ac:dyDescent="0.3"/>
    <row r="18974" s="160" customFormat="1" x14ac:dyDescent="0.3"/>
    <row r="18975" s="160" customFormat="1" x14ac:dyDescent="0.3"/>
    <row r="18976" s="160" customFormat="1" x14ac:dyDescent="0.3"/>
    <row r="18977" s="160" customFormat="1" x14ac:dyDescent="0.3"/>
    <row r="18978" s="160" customFormat="1" x14ac:dyDescent="0.3"/>
    <row r="18979" s="160" customFormat="1" x14ac:dyDescent="0.3"/>
    <row r="18980" s="160" customFormat="1" x14ac:dyDescent="0.3"/>
    <row r="18981" s="160" customFormat="1" x14ac:dyDescent="0.3"/>
    <row r="18982" s="160" customFormat="1" x14ac:dyDescent="0.3"/>
    <row r="18983" s="160" customFormat="1" x14ac:dyDescent="0.3"/>
    <row r="18984" s="160" customFormat="1" x14ac:dyDescent="0.3"/>
    <row r="18985" s="160" customFormat="1" x14ac:dyDescent="0.3"/>
    <row r="18986" s="160" customFormat="1" x14ac:dyDescent="0.3"/>
    <row r="18987" s="160" customFormat="1" x14ac:dyDescent="0.3"/>
    <row r="18988" s="160" customFormat="1" x14ac:dyDescent="0.3"/>
    <row r="18989" s="160" customFormat="1" x14ac:dyDescent="0.3"/>
    <row r="18990" s="160" customFormat="1" x14ac:dyDescent="0.3"/>
    <row r="18991" s="160" customFormat="1" x14ac:dyDescent="0.3"/>
    <row r="18992" s="160" customFormat="1" x14ac:dyDescent="0.3"/>
    <row r="18993" s="160" customFormat="1" x14ac:dyDescent="0.3"/>
    <row r="18994" s="160" customFormat="1" x14ac:dyDescent="0.3"/>
    <row r="18995" s="160" customFormat="1" x14ac:dyDescent="0.3"/>
    <row r="18996" s="160" customFormat="1" x14ac:dyDescent="0.3"/>
    <row r="18997" s="160" customFormat="1" x14ac:dyDescent="0.3"/>
    <row r="18998" s="160" customFormat="1" x14ac:dyDescent="0.3"/>
    <row r="18999" s="160" customFormat="1" x14ac:dyDescent="0.3"/>
    <row r="19000" s="160" customFormat="1" x14ac:dyDescent="0.3"/>
    <row r="19001" s="160" customFormat="1" x14ac:dyDescent="0.3"/>
    <row r="19002" s="160" customFormat="1" x14ac:dyDescent="0.3"/>
    <row r="19003" s="160" customFormat="1" x14ac:dyDescent="0.3"/>
    <row r="19004" s="160" customFormat="1" x14ac:dyDescent="0.3"/>
    <row r="19005" s="160" customFormat="1" x14ac:dyDescent="0.3"/>
    <row r="19006" s="160" customFormat="1" x14ac:dyDescent="0.3"/>
    <row r="19007" s="160" customFormat="1" x14ac:dyDescent="0.3"/>
    <row r="19008" s="160" customFormat="1" x14ac:dyDescent="0.3"/>
    <row r="19009" s="160" customFormat="1" x14ac:dyDescent="0.3"/>
    <row r="19010" s="160" customFormat="1" x14ac:dyDescent="0.3"/>
    <row r="19011" s="160" customFormat="1" x14ac:dyDescent="0.3"/>
    <row r="19012" s="160" customFormat="1" x14ac:dyDescent="0.3"/>
    <row r="19013" s="160" customFormat="1" x14ac:dyDescent="0.3"/>
    <row r="19014" s="160" customFormat="1" x14ac:dyDescent="0.3"/>
    <row r="19015" s="160" customFormat="1" x14ac:dyDescent="0.3"/>
    <row r="19016" s="160" customFormat="1" x14ac:dyDescent="0.3"/>
    <row r="19017" s="160" customFormat="1" x14ac:dyDescent="0.3"/>
    <row r="19018" s="160" customFormat="1" x14ac:dyDescent="0.3"/>
    <row r="19019" s="160" customFormat="1" x14ac:dyDescent="0.3"/>
    <row r="19020" s="160" customFormat="1" x14ac:dyDescent="0.3"/>
    <row r="19021" s="160" customFormat="1" x14ac:dyDescent="0.3"/>
    <row r="19022" s="160" customFormat="1" x14ac:dyDescent="0.3"/>
    <row r="19023" s="160" customFormat="1" x14ac:dyDescent="0.3"/>
    <row r="19024" s="160" customFormat="1" x14ac:dyDescent="0.3"/>
    <row r="19025" s="160" customFormat="1" x14ac:dyDescent="0.3"/>
    <row r="19026" s="160" customFormat="1" x14ac:dyDescent="0.3"/>
    <row r="19027" s="160" customFormat="1" x14ac:dyDescent="0.3"/>
    <row r="19028" s="160" customFormat="1" x14ac:dyDescent="0.3"/>
    <row r="19029" s="160" customFormat="1" x14ac:dyDescent="0.3"/>
    <row r="19030" s="160" customFormat="1" x14ac:dyDescent="0.3"/>
    <row r="19031" s="160" customFormat="1" x14ac:dyDescent="0.3"/>
    <row r="19032" s="160" customFormat="1" x14ac:dyDescent="0.3"/>
    <row r="19033" s="160" customFormat="1" x14ac:dyDescent="0.3"/>
    <row r="19034" s="160" customFormat="1" x14ac:dyDescent="0.3"/>
    <row r="19035" s="160" customFormat="1" x14ac:dyDescent="0.3"/>
    <row r="19036" s="160" customFormat="1" x14ac:dyDescent="0.3"/>
    <row r="19037" s="160" customFormat="1" x14ac:dyDescent="0.3"/>
    <row r="19038" s="160" customFormat="1" x14ac:dyDescent="0.3"/>
    <row r="19039" s="160" customFormat="1" x14ac:dyDescent="0.3"/>
    <row r="19040" s="160" customFormat="1" x14ac:dyDescent="0.3"/>
    <row r="19041" s="160" customFormat="1" x14ac:dyDescent="0.3"/>
    <row r="19042" s="160" customFormat="1" x14ac:dyDescent="0.3"/>
    <row r="19043" s="160" customFormat="1" x14ac:dyDescent="0.3"/>
    <row r="19044" s="160" customFormat="1" x14ac:dyDescent="0.3"/>
    <row r="19045" s="160" customFormat="1" x14ac:dyDescent="0.3"/>
    <row r="19046" s="160" customFormat="1" x14ac:dyDescent="0.3"/>
    <row r="19047" s="160" customFormat="1" x14ac:dyDescent="0.3"/>
    <row r="19048" s="160" customFormat="1" x14ac:dyDescent="0.3"/>
    <row r="19049" s="160" customFormat="1" x14ac:dyDescent="0.3"/>
    <row r="19050" s="160" customFormat="1" x14ac:dyDescent="0.3"/>
    <row r="19051" s="160" customFormat="1" x14ac:dyDescent="0.3"/>
    <row r="19052" s="160" customFormat="1" x14ac:dyDescent="0.3"/>
    <row r="19053" s="160" customFormat="1" x14ac:dyDescent="0.3"/>
    <row r="19054" s="160" customFormat="1" x14ac:dyDescent="0.3"/>
    <row r="19055" s="160" customFormat="1" x14ac:dyDescent="0.3"/>
    <row r="19056" s="160" customFormat="1" x14ac:dyDescent="0.3"/>
    <row r="19057" s="160" customFormat="1" x14ac:dyDescent="0.3"/>
    <row r="19058" s="160" customFormat="1" x14ac:dyDescent="0.3"/>
    <row r="19059" s="160" customFormat="1" x14ac:dyDescent="0.3"/>
    <row r="19060" s="160" customFormat="1" x14ac:dyDescent="0.3"/>
    <row r="19061" s="160" customFormat="1" x14ac:dyDescent="0.3"/>
    <row r="19062" s="160" customFormat="1" x14ac:dyDescent="0.3"/>
    <row r="19063" s="160" customFormat="1" x14ac:dyDescent="0.3"/>
    <row r="19064" s="160" customFormat="1" x14ac:dyDescent="0.3"/>
    <row r="19065" s="160" customFormat="1" x14ac:dyDescent="0.3"/>
    <row r="19066" s="160" customFormat="1" x14ac:dyDescent="0.3"/>
    <row r="19067" s="160" customFormat="1" x14ac:dyDescent="0.3"/>
    <row r="19068" s="160" customFormat="1" x14ac:dyDescent="0.3"/>
    <row r="19069" s="160" customFormat="1" x14ac:dyDescent="0.3"/>
    <row r="19070" s="160" customFormat="1" x14ac:dyDescent="0.3"/>
    <row r="19071" s="160" customFormat="1" x14ac:dyDescent="0.3"/>
    <row r="19072" s="160" customFormat="1" x14ac:dyDescent="0.3"/>
    <row r="19073" s="160" customFormat="1" x14ac:dyDescent="0.3"/>
    <row r="19074" s="160" customFormat="1" x14ac:dyDescent="0.3"/>
    <row r="19075" s="160" customFormat="1" x14ac:dyDescent="0.3"/>
    <row r="19076" s="160" customFormat="1" x14ac:dyDescent="0.3"/>
    <row r="19077" s="160" customFormat="1" x14ac:dyDescent="0.3"/>
    <row r="19078" s="160" customFormat="1" x14ac:dyDescent="0.3"/>
    <row r="19079" s="160" customFormat="1" x14ac:dyDescent="0.3"/>
    <row r="19080" s="160" customFormat="1" x14ac:dyDescent="0.3"/>
    <row r="19081" s="160" customFormat="1" x14ac:dyDescent="0.3"/>
    <row r="19082" s="160" customFormat="1" x14ac:dyDescent="0.3"/>
    <row r="19083" s="160" customFormat="1" x14ac:dyDescent="0.3"/>
    <row r="19084" s="160" customFormat="1" x14ac:dyDescent="0.3"/>
    <row r="19085" s="160" customFormat="1" x14ac:dyDescent="0.3"/>
    <row r="19086" s="160" customFormat="1" x14ac:dyDescent="0.3"/>
    <row r="19087" s="160" customFormat="1" x14ac:dyDescent="0.3"/>
    <row r="19088" s="160" customFormat="1" x14ac:dyDescent="0.3"/>
    <row r="19089" s="160" customFormat="1" x14ac:dyDescent="0.3"/>
    <row r="19090" s="160" customFormat="1" x14ac:dyDescent="0.3"/>
    <row r="19091" s="160" customFormat="1" x14ac:dyDescent="0.3"/>
    <row r="19092" s="160" customFormat="1" x14ac:dyDescent="0.3"/>
    <row r="19093" s="160" customFormat="1" x14ac:dyDescent="0.3"/>
    <row r="19094" s="160" customFormat="1" x14ac:dyDescent="0.3"/>
    <row r="19095" s="160" customFormat="1" x14ac:dyDescent="0.3"/>
    <row r="19096" s="160" customFormat="1" x14ac:dyDescent="0.3"/>
    <row r="19097" s="160" customFormat="1" x14ac:dyDescent="0.3"/>
    <row r="19098" s="160" customFormat="1" x14ac:dyDescent="0.3"/>
    <row r="19099" s="160" customFormat="1" x14ac:dyDescent="0.3"/>
    <row r="19100" s="160" customFormat="1" x14ac:dyDescent="0.3"/>
    <row r="19101" s="160" customFormat="1" x14ac:dyDescent="0.3"/>
    <row r="19102" s="160" customFormat="1" x14ac:dyDescent="0.3"/>
    <row r="19103" s="160" customFormat="1" x14ac:dyDescent="0.3"/>
    <row r="19104" s="160" customFormat="1" x14ac:dyDescent="0.3"/>
    <row r="19105" s="160" customFormat="1" x14ac:dyDescent="0.3"/>
    <row r="19106" s="160" customFormat="1" x14ac:dyDescent="0.3"/>
    <row r="19107" s="160" customFormat="1" x14ac:dyDescent="0.3"/>
    <row r="19108" s="160" customFormat="1" x14ac:dyDescent="0.3"/>
    <row r="19109" s="160" customFormat="1" x14ac:dyDescent="0.3"/>
    <row r="19110" s="160" customFormat="1" x14ac:dyDescent="0.3"/>
    <row r="19111" s="160" customFormat="1" x14ac:dyDescent="0.3"/>
    <row r="19112" s="160" customFormat="1" x14ac:dyDescent="0.3"/>
    <row r="19113" s="160" customFormat="1" x14ac:dyDescent="0.3"/>
    <row r="19114" s="160" customFormat="1" x14ac:dyDescent="0.3"/>
    <row r="19115" s="160" customFormat="1" x14ac:dyDescent="0.3"/>
    <row r="19116" s="160" customFormat="1" x14ac:dyDescent="0.3"/>
    <row r="19117" s="160" customFormat="1" x14ac:dyDescent="0.3"/>
    <row r="19118" s="160" customFormat="1" x14ac:dyDescent="0.3"/>
    <row r="19119" s="160" customFormat="1" x14ac:dyDescent="0.3"/>
    <row r="19120" s="160" customFormat="1" x14ac:dyDescent="0.3"/>
    <row r="19121" s="160" customFormat="1" x14ac:dyDescent="0.3"/>
    <row r="19122" s="160" customFormat="1" x14ac:dyDescent="0.3"/>
    <row r="19123" s="160" customFormat="1" x14ac:dyDescent="0.3"/>
    <row r="19124" s="160" customFormat="1" x14ac:dyDescent="0.3"/>
    <row r="19125" s="160" customFormat="1" x14ac:dyDescent="0.3"/>
    <row r="19126" s="160" customFormat="1" x14ac:dyDescent="0.3"/>
    <row r="19127" s="160" customFormat="1" x14ac:dyDescent="0.3"/>
    <row r="19128" s="160" customFormat="1" x14ac:dyDescent="0.3"/>
    <row r="19129" s="160" customFormat="1" x14ac:dyDescent="0.3"/>
    <row r="19130" s="160" customFormat="1" x14ac:dyDescent="0.3"/>
    <row r="19131" s="160" customFormat="1" x14ac:dyDescent="0.3"/>
    <row r="19132" s="160" customFormat="1" x14ac:dyDescent="0.3"/>
    <row r="19133" s="160" customFormat="1" x14ac:dyDescent="0.3"/>
    <row r="19134" s="160" customFormat="1" x14ac:dyDescent="0.3"/>
    <row r="19135" s="160" customFormat="1" x14ac:dyDescent="0.3"/>
    <row r="19136" s="160" customFormat="1" x14ac:dyDescent="0.3"/>
    <row r="19137" s="160" customFormat="1" x14ac:dyDescent="0.3"/>
    <row r="19138" s="160" customFormat="1" x14ac:dyDescent="0.3"/>
    <row r="19139" s="160" customFormat="1" x14ac:dyDescent="0.3"/>
    <row r="19140" s="160" customFormat="1" x14ac:dyDescent="0.3"/>
    <row r="19141" s="160" customFormat="1" x14ac:dyDescent="0.3"/>
    <row r="19142" s="160" customFormat="1" x14ac:dyDescent="0.3"/>
    <row r="19143" s="160" customFormat="1" x14ac:dyDescent="0.3"/>
    <row r="19144" s="160" customFormat="1" x14ac:dyDescent="0.3"/>
    <row r="19145" s="160" customFormat="1" x14ac:dyDescent="0.3"/>
    <row r="19146" s="160" customFormat="1" x14ac:dyDescent="0.3"/>
    <row r="19147" s="160" customFormat="1" x14ac:dyDescent="0.3"/>
    <row r="19148" s="160" customFormat="1" x14ac:dyDescent="0.3"/>
    <row r="19149" s="160" customFormat="1" x14ac:dyDescent="0.3"/>
    <row r="19150" s="160" customFormat="1" x14ac:dyDescent="0.3"/>
    <row r="19151" s="160" customFormat="1" x14ac:dyDescent="0.3"/>
    <row r="19152" s="160" customFormat="1" x14ac:dyDescent="0.3"/>
    <row r="19153" s="160" customFormat="1" x14ac:dyDescent="0.3"/>
    <row r="19154" s="160" customFormat="1" x14ac:dyDescent="0.3"/>
    <row r="19155" s="160" customFormat="1" x14ac:dyDescent="0.3"/>
    <row r="19156" s="160" customFormat="1" x14ac:dyDescent="0.3"/>
    <row r="19157" s="160" customFormat="1" x14ac:dyDescent="0.3"/>
    <row r="19158" s="160" customFormat="1" x14ac:dyDescent="0.3"/>
    <row r="19159" s="160" customFormat="1" x14ac:dyDescent="0.3"/>
    <row r="19160" s="160" customFormat="1" x14ac:dyDescent="0.3"/>
    <row r="19161" s="160" customFormat="1" x14ac:dyDescent="0.3"/>
    <row r="19162" s="160" customFormat="1" x14ac:dyDescent="0.3"/>
    <row r="19163" s="160" customFormat="1" x14ac:dyDescent="0.3"/>
    <row r="19164" s="160" customFormat="1" x14ac:dyDescent="0.3"/>
    <row r="19165" s="160" customFormat="1" x14ac:dyDescent="0.3"/>
    <row r="19166" s="160" customFormat="1" x14ac:dyDescent="0.3"/>
    <row r="19167" s="160" customFormat="1" x14ac:dyDescent="0.3"/>
    <row r="19168" s="160" customFormat="1" x14ac:dyDescent="0.3"/>
    <row r="19169" s="160" customFormat="1" x14ac:dyDescent="0.3"/>
    <row r="19170" s="160" customFormat="1" x14ac:dyDescent="0.3"/>
    <row r="19171" s="160" customFormat="1" x14ac:dyDescent="0.3"/>
    <row r="19172" s="160" customFormat="1" x14ac:dyDescent="0.3"/>
    <row r="19173" s="160" customFormat="1" x14ac:dyDescent="0.3"/>
    <row r="19174" s="160" customFormat="1" x14ac:dyDescent="0.3"/>
    <row r="19175" s="160" customFormat="1" x14ac:dyDescent="0.3"/>
    <row r="19176" s="160" customFormat="1" x14ac:dyDescent="0.3"/>
    <row r="19177" s="160" customFormat="1" x14ac:dyDescent="0.3"/>
    <row r="19178" s="160" customFormat="1" x14ac:dyDescent="0.3"/>
    <row r="19179" s="160" customFormat="1" x14ac:dyDescent="0.3"/>
    <row r="19180" s="160" customFormat="1" x14ac:dyDescent="0.3"/>
    <row r="19181" s="160" customFormat="1" x14ac:dyDescent="0.3"/>
    <row r="19182" s="160" customFormat="1" x14ac:dyDescent="0.3"/>
    <row r="19183" s="160" customFormat="1" x14ac:dyDescent="0.3"/>
    <row r="19184" s="160" customFormat="1" x14ac:dyDescent="0.3"/>
    <row r="19185" s="160" customFormat="1" x14ac:dyDescent="0.3"/>
    <row r="19186" s="160" customFormat="1" x14ac:dyDescent="0.3"/>
    <row r="19187" s="160" customFormat="1" x14ac:dyDescent="0.3"/>
    <row r="19188" s="160" customFormat="1" x14ac:dyDescent="0.3"/>
    <row r="19189" s="160" customFormat="1" x14ac:dyDescent="0.3"/>
    <row r="19190" s="160" customFormat="1" x14ac:dyDescent="0.3"/>
    <row r="19191" s="160" customFormat="1" x14ac:dyDescent="0.3"/>
    <row r="19192" s="160" customFormat="1" x14ac:dyDescent="0.3"/>
    <row r="19193" s="160" customFormat="1" x14ac:dyDescent="0.3"/>
    <row r="19194" s="160" customFormat="1" x14ac:dyDescent="0.3"/>
    <row r="19195" s="160" customFormat="1" x14ac:dyDescent="0.3"/>
    <row r="19196" s="160" customFormat="1" x14ac:dyDescent="0.3"/>
    <row r="19197" s="160" customFormat="1" x14ac:dyDescent="0.3"/>
    <row r="19198" s="160" customFormat="1" x14ac:dyDescent="0.3"/>
    <row r="19199" s="160" customFormat="1" x14ac:dyDescent="0.3"/>
    <row r="19200" s="160" customFormat="1" x14ac:dyDescent="0.3"/>
    <row r="19201" s="160" customFormat="1" x14ac:dyDescent="0.3"/>
    <row r="19202" s="160" customFormat="1" x14ac:dyDescent="0.3"/>
    <row r="19203" s="160" customFormat="1" x14ac:dyDescent="0.3"/>
    <row r="19204" s="160" customFormat="1" x14ac:dyDescent="0.3"/>
    <row r="19205" s="160" customFormat="1" x14ac:dyDescent="0.3"/>
    <row r="19206" s="160" customFormat="1" x14ac:dyDescent="0.3"/>
    <row r="19207" s="160" customFormat="1" x14ac:dyDescent="0.3"/>
    <row r="19208" s="160" customFormat="1" x14ac:dyDescent="0.3"/>
    <row r="19209" s="160" customFormat="1" x14ac:dyDescent="0.3"/>
    <row r="19210" s="160" customFormat="1" x14ac:dyDescent="0.3"/>
    <row r="19211" s="160" customFormat="1" x14ac:dyDescent="0.3"/>
    <row r="19212" s="160" customFormat="1" x14ac:dyDescent="0.3"/>
    <row r="19213" s="160" customFormat="1" x14ac:dyDescent="0.3"/>
    <row r="19214" s="160" customFormat="1" x14ac:dyDescent="0.3"/>
    <row r="19215" s="160" customFormat="1" x14ac:dyDescent="0.3"/>
    <row r="19216" s="160" customFormat="1" x14ac:dyDescent="0.3"/>
    <row r="19217" s="160" customFormat="1" x14ac:dyDescent="0.3"/>
    <row r="19218" s="160" customFormat="1" x14ac:dyDescent="0.3"/>
    <row r="19219" s="160" customFormat="1" x14ac:dyDescent="0.3"/>
    <row r="19220" s="160" customFormat="1" x14ac:dyDescent="0.3"/>
    <row r="19221" s="160" customFormat="1" x14ac:dyDescent="0.3"/>
    <row r="19222" s="160" customFormat="1" x14ac:dyDescent="0.3"/>
    <row r="19223" s="160" customFormat="1" x14ac:dyDescent="0.3"/>
    <row r="19224" s="160" customFormat="1" x14ac:dyDescent="0.3"/>
    <row r="19225" s="160" customFormat="1" x14ac:dyDescent="0.3"/>
    <row r="19226" s="160" customFormat="1" x14ac:dyDescent="0.3"/>
    <row r="19227" s="160" customFormat="1" x14ac:dyDescent="0.3"/>
    <row r="19228" s="160" customFormat="1" x14ac:dyDescent="0.3"/>
    <row r="19229" s="160" customFormat="1" x14ac:dyDescent="0.3"/>
    <row r="19230" s="160" customFormat="1" x14ac:dyDescent="0.3"/>
    <row r="19231" s="160" customFormat="1" x14ac:dyDescent="0.3"/>
    <row r="19232" s="160" customFormat="1" x14ac:dyDescent="0.3"/>
    <row r="19233" s="160" customFormat="1" x14ac:dyDescent="0.3"/>
    <row r="19234" s="160" customFormat="1" x14ac:dyDescent="0.3"/>
    <row r="19235" s="160" customFormat="1" x14ac:dyDescent="0.3"/>
    <row r="19236" s="160" customFormat="1" x14ac:dyDescent="0.3"/>
    <row r="19237" s="160" customFormat="1" x14ac:dyDescent="0.3"/>
    <row r="19238" s="160" customFormat="1" x14ac:dyDescent="0.3"/>
    <row r="19239" s="160" customFormat="1" x14ac:dyDescent="0.3"/>
    <row r="19240" s="160" customFormat="1" x14ac:dyDescent="0.3"/>
    <row r="19241" s="160" customFormat="1" x14ac:dyDescent="0.3"/>
    <row r="19242" s="160" customFormat="1" x14ac:dyDescent="0.3"/>
    <row r="19243" s="160" customFormat="1" x14ac:dyDescent="0.3"/>
    <row r="19244" s="160" customFormat="1" x14ac:dyDescent="0.3"/>
    <row r="19245" s="160" customFormat="1" x14ac:dyDescent="0.3"/>
    <row r="19246" s="160" customFormat="1" x14ac:dyDescent="0.3"/>
    <row r="19247" s="160" customFormat="1" x14ac:dyDescent="0.3"/>
    <row r="19248" s="160" customFormat="1" x14ac:dyDescent="0.3"/>
    <row r="19249" s="160" customFormat="1" x14ac:dyDescent="0.3"/>
    <row r="19250" s="160" customFormat="1" x14ac:dyDescent="0.3"/>
    <row r="19251" s="160" customFormat="1" x14ac:dyDescent="0.3"/>
    <row r="19252" s="160" customFormat="1" x14ac:dyDescent="0.3"/>
    <row r="19253" s="160" customFormat="1" x14ac:dyDescent="0.3"/>
    <row r="19254" s="160" customFormat="1" x14ac:dyDescent="0.3"/>
    <row r="19255" s="160" customFormat="1" x14ac:dyDescent="0.3"/>
    <row r="19256" s="160" customFormat="1" x14ac:dyDescent="0.3"/>
    <row r="19257" s="160" customFormat="1" x14ac:dyDescent="0.3"/>
    <row r="19258" s="160" customFormat="1" x14ac:dyDescent="0.3"/>
    <row r="19259" s="160" customFormat="1" x14ac:dyDescent="0.3"/>
    <row r="19260" s="160" customFormat="1" x14ac:dyDescent="0.3"/>
    <row r="19261" s="160" customFormat="1" x14ac:dyDescent="0.3"/>
    <row r="19262" s="160" customFormat="1" x14ac:dyDescent="0.3"/>
    <row r="19263" s="160" customFormat="1" x14ac:dyDescent="0.3"/>
    <row r="19264" s="160" customFormat="1" x14ac:dyDescent="0.3"/>
    <row r="19265" s="160" customFormat="1" x14ac:dyDescent="0.3"/>
    <row r="19266" s="160" customFormat="1" x14ac:dyDescent="0.3"/>
    <row r="19267" s="160" customFormat="1" x14ac:dyDescent="0.3"/>
    <row r="19268" s="160" customFormat="1" x14ac:dyDescent="0.3"/>
    <row r="19269" s="160" customFormat="1" x14ac:dyDescent="0.3"/>
    <row r="19270" s="160" customFormat="1" x14ac:dyDescent="0.3"/>
    <row r="19271" s="160" customFormat="1" x14ac:dyDescent="0.3"/>
    <row r="19272" s="160" customFormat="1" x14ac:dyDescent="0.3"/>
    <row r="19273" s="160" customFormat="1" x14ac:dyDescent="0.3"/>
    <row r="19274" s="160" customFormat="1" x14ac:dyDescent="0.3"/>
    <row r="19275" s="160" customFormat="1" x14ac:dyDescent="0.3"/>
    <row r="19276" s="160" customFormat="1" x14ac:dyDescent="0.3"/>
    <row r="19277" s="160" customFormat="1" x14ac:dyDescent="0.3"/>
    <row r="19278" s="160" customFormat="1" x14ac:dyDescent="0.3"/>
    <row r="19279" s="160" customFormat="1" x14ac:dyDescent="0.3"/>
    <row r="19280" s="160" customFormat="1" x14ac:dyDescent="0.3"/>
    <row r="19281" s="160" customFormat="1" x14ac:dyDescent="0.3"/>
    <row r="19282" s="160" customFormat="1" x14ac:dyDescent="0.3"/>
    <row r="19283" s="160" customFormat="1" x14ac:dyDescent="0.3"/>
    <row r="19284" s="160" customFormat="1" x14ac:dyDescent="0.3"/>
    <row r="19285" s="160" customFormat="1" x14ac:dyDescent="0.3"/>
    <row r="19286" s="160" customFormat="1" x14ac:dyDescent="0.3"/>
    <row r="19287" s="160" customFormat="1" x14ac:dyDescent="0.3"/>
    <row r="19288" s="160" customFormat="1" x14ac:dyDescent="0.3"/>
    <row r="19289" s="160" customFormat="1" x14ac:dyDescent="0.3"/>
    <row r="19290" s="160" customFormat="1" x14ac:dyDescent="0.3"/>
    <row r="19291" s="160" customFormat="1" x14ac:dyDescent="0.3"/>
    <row r="19292" s="160" customFormat="1" x14ac:dyDescent="0.3"/>
    <row r="19293" s="160" customFormat="1" x14ac:dyDescent="0.3"/>
    <row r="19294" s="160" customFormat="1" x14ac:dyDescent="0.3"/>
    <row r="19295" s="160" customFormat="1" x14ac:dyDescent="0.3"/>
    <row r="19296" s="160" customFormat="1" x14ac:dyDescent="0.3"/>
    <row r="19297" s="160" customFormat="1" x14ac:dyDescent="0.3"/>
    <row r="19298" s="160" customFormat="1" x14ac:dyDescent="0.3"/>
    <row r="19299" s="160" customFormat="1" x14ac:dyDescent="0.3"/>
    <row r="19300" s="160" customFormat="1" x14ac:dyDescent="0.3"/>
    <row r="19301" s="160" customFormat="1" x14ac:dyDescent="0.3"/>
    <row r="19302" s="160" customFormat="1" x14ac:dyDescent="0.3"/>
    <row r="19303" s="160" customFormat="1" x14ac:dyDescent="0.3"/>
    <row r="19304" s="160" customFormat="1" x14ac:dyDescent="0.3"/>
    <row r="19305" s="160" customFormat="1" x14ac:dyDescent="0.3"/>
    <row r="19306" s="160" customFormat="1" x14ac:dyDescent="0.3"/>
    <row r="19307" s="160" customFormat="1" x14ac:dyDescent="0.3"/>
    <row r="19308" s="160" customFormat="1" x14ac:dyDescent="0.3"/>
    <row r="19309" s="160" customFormat="1" x14ac:dyDescent="0.3"/>
    <row r="19310" s="160" customFormat="1" x14ac:dyDescent="0.3"/>
    <row r="19311" s="160" customFormat="1" x14ac:dyDescent="0.3"/>
    <row r="19312" s="160" customFormat="1" x14ac:dyDescent="0.3"/>
    <row r="19313" s="160" customFormat="1" x14ac:dyDescent="0.3"/>
    <row r="19314" s="160" customFormat="1" x14ac:dyDescent="0.3"/>
    <row r="19315" s="160" customFormat="1" x14ac:dyDescent="0.3"/>
    <row r="19316" s="160" customFormat="1" x14ac:dyDescent="0.3"/>
    <row r="19317" s="160" customFormat="1" x14ac:dyDescent="0.3"/>
    <row r="19318" s="160" customFormat="1" x14ac:dyDescent="0.3"/>
    <row r="19319" s="160" customFormat="1" x14ac:dyDescent="0.3"/>
    <row r="19320" s="160" customFormat="1" x14ac:dyDescent="0.3"/>
    <row r="19321" s="160" customFormat="1" x14ac:dyDescent="0.3"/>
    <row r="19322" s="160" customFormat="1" x14ac:dyDescent="0.3"/>
    <row r="19323" s="160" customFormat="1" x14ac:dyDescent="0.3"/>
    <row r="19324" s="160" customFormat="1" x14ac:dyDescent="0.3"/>
    <row r="19325" s="160" customFormat="1" x14ac:dyDescent="0.3"/>
    <row r="19326" s="160" customFormat="1" x14ac:dyDescent="0.3"/>
    <row r="19327" s="160" customFormat="1" x14ac:dyDescent="0.3"/>
    <row r="19328" s="160" customFormat="1" x14ac:dyDescent="0.3"/>
    <row r="19329" s="160" customFormat="1" x14ac:dyDescent="0.3"/>
    <row r="19330" s="160" customFormat="1" x14ac:dyDescent="0.3"/>
    <row r="19331" s="160" customFormat="1" x14ac:dyDescent="0.3"/>
    <row r="19332" s="160" customFormat="1" x14ac:dyDescent="0.3"/>
    <row r="19333" s="160" customFormat="1" x14ac:dyDescent="0.3"/>
    <row r="19334" s="160" customFormat="1" x14ac:dyDescent="0.3"/>
    <row r="19335" s="160" customFormat="1" x14ac:dyDescent="0.3"/>
    <row r="19336" s="160" customFormat="1" x14ac:dyDescent="0.3"/>
    <row r="19337" s="160" customFormat="1" x14ac:dyDescent="0.3"/>
    <row r="19338" s="160" customFormat="1" x14ac:dyDescent="0.3"/>
    <row r="19339" s="160" customFormat="1" x14ac:dyDescent="0.3"/>
    <row r="19340" s="160" customFormat="1" x14ac:dyDescent="0.3"/>
    <row r="19341" s="160" customFormat="1" x14ac:dyDescent="0.3"/>
    <row r="19342" s="160" customFormat="1" x14ac:dyDescent="0.3"/>
    <row r="19343" s="160" customFormat="1" x14ac:dyDescent="0.3"/>
    <row r="19344" s="160" customFormat="1" x14ac:dyDescent="0.3"/>
    <row r="19345" s="160" customFormat="1" x14ac:dyDescent="0.3"/>
    <row r="19346" s="160" customFormat="1" x14ac:dyDescent="0.3"/>
    <row r="19347" s="160" customFormat="1" x14ac:dyDescent="0.3"/>
    <row r="19348" s="160" customFormat="1" x14ac:dyDescent="0.3"/>
    <row r="19349" s="160" customFormat="1" x14ac:dyDescent="0.3"/>
    <row r="19350" s="160" customFormat="1" x14ac:dyDescent="0.3"/>
    <row r="19351" s="160" customFormat="1" x14ac:dyDescent="0.3"/>
    <row r="19352" s="160" customFormat="1" x14ac:dyDescent="0.3"/>
    <row r="19353" s="160" customFormat="1" x14ac:dyDescent="0.3"/>
    <row r="19354" s="160" customFormat="1" x14ac:dyDescent="0.3"/>
    <row r="19355" s="160" customFormat="1" x14ac:dyDescent="0.3"/>
    <row r="19356" s="160" customFormat="1" x14ac:dyDescent="0.3"/>
    <row r="19357" s="160" customFormat="1" x14ac:dyDescent="0.3"/>
    <row r="19358" s="160" customFormat="1" x14ac:dyDescent="0.3"/>
    <row r="19359" s="160" customFormat="1" x14ac:dyDescent="0.3"/>
    <row r="19360" s="160" customFormat="1" x14ac:dyDescent="0.3"/>
    <row r="19361" s="160" customFormat="1" x14ac:dyDescent="0.3"/>
    <row r="19362" s="160" customFormat="1" x14ac:dyDescent="0.3"/>
    <row r="19363" s="160" customFormat="1" x14ac:dyDescent="0.3"/>
    <row r="19364" s="160" customFormat="1" x14ac:dyDescent="0.3"/>
    <row r="19365" s="160" customFormat="1" x14ac:dyDescent="0.3"/>
    <row r="19366" s="160" customFormat="1" x14ac:dyDescent="0.3"/>
    <row r="19367" s="160" customFormat="1" x14ac:dyDescent="0.3"/>
    <row r="19368" s="160" customFormat="1" x14ac:dyDescent="0.3"/>
    <row r="19369" s="160" customFormat="1" x14ac:dyDescent="0.3"/>
    <row r="19370" s="160" customFormat="1" x14ac:dyDescent="0.3"/>
    <row r="19371" s="160" customFormat="1" x14ac:dyDescent="0.3"/>
    <row r="19372" s="160" customFormat="1" x14ac:dyDescent="0.3"/>
    <row r="19373" s="160" customFormat="1" x14ac:dyDescent="0.3"/>
    <row r="19374" s="160" customFormat="1" x14ac:dyDescent="0.3"/>
    <row r="19375" s="160" customFormat="1" x14ac:dyDescent="0.3"/>
    <row r="19376" s="160" customFormat="1" x14ac:dyDescent="0.3"/>
    <row r="19377" s="160" customFormat="1" x14ac:dyDescent="0.3"/>
    <row r="19378" s="160" customFormat="1" x14ac:dyDescent="0.3"/>
    <row r="19379" s="160" customFormat="1" x14ac:dyDescent="0.3"/>
    <row r="19380" s="160" customFormat="1" x14ac:dyDescent="0.3"/>
    <row r="19381" s="160" customFormat="1" x14ac:dyDescent="0.3"/>
    <row r="19382" s="160" customFormat="1" x14ac:dyDescent="0.3"/>
    <row r="19383" s="160" customFormat="1" x14ac:dyDescent="0.3"/>
    <row r="19384" s="160" customFormat="1" x14ac:dyDescent="0.3"/>
    <row r="19385" s="160" customFormat="1" x14ac:dyDescent="0.3"/>
    <row r="19386" s="160" customFormat="1" x14ac:dyDescent="0.3"/>
    <row r="19387" s="160" customFormat="1" x14ac:dyDescent="0.3"/>
    <row r="19388" s="160" customFormat="1" x14ac:dyDescent="0.3"/>
    <row r="19389" s="160" customFormat="1" x14ac:dyDescent="0.3"/>
    <row r="19390" s="160" customFormat="1" x14ac:dyDescent="0.3"/>
    <row r="19391" s="160" customFormat="1" x14ac:dyDescent="0.3"/>
    <row r="19392" s="160" customFormat="1" x14ac:dyDescent="0.3"/>
    <row r="19393" s="160" customFormat="1" x14ac:dyDescent="0.3"/>
    <row r="19394" s="160" customFormat="1" x14ac:dyDescent="0.3"/>
    <row r="19395" s="160" customFormat="1" x14ac:dyDescent="0.3"/>
    <row r="19396" s="160" customFormat="1" x14ac:dyDescent="0.3"/>
    <row r="19397" s="160" customFormat="1" x14ac:dyDescent="0.3"/>
    <row r="19398" s="160" customFormat="1" x14ac:dyDescent="0.3"/>
    <row r="19399" s="160" customFormat="1" x14ac:dyDescent="0.3"/>
    <row r="19400" s="160" customFormat="1" x14ac:dyDescent="0.3"/>
    <row r="19401" s="160" customFormat="1" x14ac:dyDescent="0.3"/>
    <row r="19402" s="160" customFormat="1" x14ac:dyDescent="0.3"/>
    <row r="19403" s="160" customFormat="1" x14ac:dyDescent="0.3"/>
    <row r="19404" s="160" customFormat="1" x14ac:dyDescent="0.3"/>
    <row r="19405" s="160" customFormat="1" x14ac:dyDescent="0.3"/>
    <row r="19406" s="160" customFormat="1" x14ac:dyDescent="0.3"/>
    <row r="19407" s="160" customFormat="1" x14ac:dyDescent="0.3"/>
    <row r="19408" s="160" customFormat="1" x14ac:dyDescent="0.3"/>
    <row r="19409" s="160" customFormat="1" x14ac:dyDescent="0.3"/>
    <row r="19410" s="160" customFormat="1" x14ac:dyDescent="0.3"/>
    <row r="19411" s="160" customFormat="1" x14ac:dyDescent="0.3"/>
    <row r="19412" s="160" customFormat="1" x14ac:dyDescent="0.3"/>
    <row r="19413" s="160" customFormat="1" x14ac:dyDescent="0.3"/>
    <row r="19414" s="160" customFormat="1" x14ac:dyDescent="0.3"/>
    <row r="19415" s="160" customFormat="1" x14ac:dyDescent="0.3"/>
    <row r="19416" s="160" customFormat="1" x14ac:dyDescent="0.3"/>
    <row r="19417" s="160" customFormat="1" x14ac:dyDescent="0.3"/>
    <row r="19418" s="160" customFormat="1" x14ac:dyDescent="0.3"/>
    <row r="19419" s="160" customFormat="1" x14ac:dyDescent="0.3"/>
    <row r="19420" s="160" customFormat="1" x14ac:dyDescent="0.3"/>
    <row r="19421" s="160" customFormat="1" x14ac:dyDescent="0.3"/>
    <row r="19422" s="160" customFormat="1" x14ac:dyDescent="0.3"/>
    <row r="19423" s="160" customFormat="1" x14ac:dyDescent="0.3"/>
    <row r="19424" s="160" customFormat="1" x14ac:dyDescent="0.3"/>
    <row r="19425" s="160" customFormat="1" x14ac:dyDescent="0.3"/>
    <row r="19426" s="160" customFormat="1" x14ac:dyDescent="0.3"/>
    <row r="19427" s="160" customFormat="1" x14ac:dyDescent="0.3"/>
    <row r="19428" s="160" customFormat="1" x14ac:dyDescent="0.3"/>
    <row r="19429" s="160" customFormat="1" x14ac:dyDescent="0.3"/>
    <row r="19430" s="160" customFormat="1" x14ac:dyDescent="0.3"/>
    <row r="19431" s="160" customFormat="1" x14ac:dyDescent="0.3"/>
    <row r="19432" s="160" customFormat="1" x14ac:dyDescent="0.3"/>
    <row r="19433" s="160" customFormat="1" x14ac:dyDescent="0.3"/>
    <row r="19434" s="160" customFormat="1" x14ac:dyDescent="0.3"/>
    <row r="19435" s="160" customFormat="1" x14ac:dyDescent="0.3"/>
    <row r="19436" s="160" customFormat="1" x14ac:dyDescent="0.3"/>
    <row r="19437" s="160" customFormat="1" x14ac:dyDescent="0.3"/>
    <row r="19438" s="160" customFormat="1" x14ac:dyDescent="0.3"/>
    <row r="19439" s="160" customFormat="1" x14ac:dyDescent="0.3"/>
    <row r="19440" s="160" customFormat="1" x14ac:dyDescent="0.3"/>
    <row r="19441" s="160" customFormat="1" x14ac:dyDescent="0.3"/>
    <row r="19442" s="160" customFormat="1" x14ac:dyDescent="0.3"/>
    <row r="19443" s="160" customFormat="1" x14ac:dyDescent="0.3"/>
    <row r="19444" s="160" customFormat="1" x14ac:dyDescent="0.3"/>
    <row r="19445" s="160" customFormat="1" x14ac:dyDescent="0.3"/>
    <row r="19446" s="160" customFormat="1" x14ac:dyDescent="0.3"/>
    <row r="19447" s="160" customFormat="1" x14ac:dyDescent="0.3"/>
    <row r="19448" s="160" customFormat="1" x14ac:dyDescent="0.3"/>
    <row r="19449" s="160" customFormat="1" x14ac:dyDescent="0.3"/>
    <row r="19450" s="160" customFormat="1" x14ac:dyDescent="0.3"/>
    <row r="19451" s="160" customFormat="1" x14ac:dyDescent="0.3"/>
    <row r="19452" s="160" customFormat="1" x14ac:dyDescent="0.3"/>
    <row r="19453" s="160" customFormat="1" x14ac:dyDescent="0.3"/>
    <row r="19454" s="160" customFormat="1" x14ac:dyDescent="0.3"/>
    <row r="19455" s="160" customFormat="1" x14ac:dyDescent="0.3"/>
    <row r="19456" s="160" customFormat="1" x14ac:dyDescent="0.3"/>
    <row r="19457" s="160" customFormat="1" x14ac:dyDescent="0.3"/>
    <row r="19458" s="160" customFormat="1" x14ac:dyDescent="0.3"/>
    <row r="19459" s="160" customFormat="1" x14ac:dyDescent="0.3"/>
    <row r="19460" s="160" customFormat="1" x14ac:dyDescent="0.3"/>
    <row r="19461" s="160" customFormat="1" x14ac:dyDescent="0.3"/>
    <row r="19462" s="160" customFormat="1" x14ac:dyDescent="0.3"/>
    <row r="19463" s="160" customFormat="1" x14ac:dyDescent="0.3"/>
    <row r="19464" s="160" customFormat="1" x14ac:dyDescent="0.3"/>
    <row r="19465" s="160" customFormat="1" x14ac:dyDescent="0.3"/>
    <row r="19466" s="160" customFormat="1" x14ac:dyDescent="0.3"/>
    <row r="19467" s="160" customFormat="1" x14ac:dyDescent="0.3"/>
    <row r="19468" s="160" customFormat="1" x14ac:dyDescent="0.3"/>
    <row r="19469" s="160" customFormat="1" x14ac:dyDescent="0.3"/>
    <row r="19470" s="160" customFormat="1" x14ac:dyDescent="0.3"/>
    <row r="19471" s="160" customFormat="1" x14ac:dyDescent="0.3"/>
    <row r="19472" s="160" customFormat="1" x14ac:dyDescent="0.3"/>
    <row r="19473" s="160" customFormat="1" x14ac:dyDescent="0.3"/>
    <row r="19474" s="160" customFormat="1" x14ac:dyDescent="0.3"/>
    <row r="19475" s="160" customFormat="1" x14ac:dyDescent="0.3"/>
    <row r="19476" s="160" customFormat="1" x14ac:dyDescent="0.3"/>
    <row r="19477" s="160" customFormat="1" x14ac:dyDescent="0.3"/>
    <row r="19478" s="160" customFormat="1" x14ac:dyDescent="0.3"/>
    <row r="19479" s="160" customFormat="1" x14ac:dyDescent="0.3"/>
    <row r="19480" s="160" customFormat="1" x14ac:dyDescent="0.3"/>
    <row r="19481" s="160" customFormat="1" x14ac:dyDescent="0.3"/>
    <row r="19482" s="160" customFormat="1" x14ac:dyDescent="0.3"/>
    <row r="19483" s="160" customFormat="1" x14ac:dyDescent="0.3"/>
    <row r="19484" s="160" customFormat="1" x14ac:dyDescent="0.3"/>
    <row r="19485" s="160" customFormat="1" x14ac:dyDescent="0.3"/>
    <row r="19486" s="160" customFormat="1" x14ac:dyDescent="0.3"/>
    <row r="19487" s="160" customFormat="1" x14ac:dyDescent="0.3"/>
    <row r="19488" s="160" customFormat="1" x14ac:dyDescent="0.3"/>
    <row r="19489" s="160" customFormat="1" x14ac:dyDescent="0.3"/>
    <row r="19490" s="160" customFormat="1" x14ac:dyDescent="0.3"/>
    <row r="19491" s="160" customFormat="1" x14ac:dyDescent="0.3"/>
    <row r="19492" s="160" customFormat="1" x14ac:dyDescent="0.3"/>
    <row r="19493" s="160" customFormat="1" x14ac:dyDescent="0.3"/>
    <row r="19494" s="160" customFormat="1" x14ac:dyDescent="0.3"/>
    <row r="19495" s="160" customFormat="1" x14ac:dyDescent="0.3"/>
    <row r="19496" s="160" customFormat="1" x14ac:dyDescent="0.3"/>
    <row r="19497" s="160" customFormat="1" x14ac:dyDescent="0.3"/>
    <row r="19498" s="160" customFormat="1" x14ac:dyDescent="0.3"/>
    <row r="19499" s="160" customFormat="1" x14ac:dyDescent="0.3"/>
    <row r="19500" s="160" customFormat="1" x14ac:dyDescent="0.3"/>
    <row r="19501" s="160" customFormat="1" x14ac:dyDescent="0.3"/>
    <row r="19502" s="160" customFormat="1" x14ac:dyDescent="0.3"/>
    <row r="19503" s="160" customFormat="1" x14ac:dyDescent="0.3"/>
    <row r="19504" s="160" customFormat="1" x14ac:dyDescent="0.3"/>
    <row r="19505" s="160" customFormat="1" x14ac:dyDescent="0.3"/>
    <row r="19506" s="160" customFormat="1" x14ac:dyDescent="0.3"/>
    <row r="19507" s="160" customFormat="1" x14ac:dyDescent="0.3"/>
    <row r="19508" s="160" customFormat="1" x14ac:dyDescent="0.3"/>
    <row r="19509" s="160" customFormat="1" x14ac:dyDescent="0.3"/>
    <row r="19510" s="160" customFormat="1" x14ac:dyDescent="0.3"/>
    <row r="19511" s="160" customFormat="1" x14ac:dyDescent="0.3"/>
    <row r="19512" s="160" customFormat="1" x14ac:dyDescent="0.3"/>
    <row r="19513" s="160" customFormat="1" x14ac:dyDescent="0.3"/>
    <row r="19514" s="160" customFormat="1" x14ac:dyDescent="0.3"/>
    <row r="19515" s="160" customFormat="1" x14ac:dyDescent="0.3"/>
    <row r="19516" s="160" customFormat="1" x14ac:dyDescent="0.3"/>
    <row r="19517" s="160" customFormat="1" x14ac:dyDescent="0.3"/>
    <row r="19518" s="160" customFormat="1" x14ac:dyDescent="0.3"/>
    <row r="19519" s="160" customFormat="1" x14ac:dyDescent="0.3"/>
    <row r="19520" s="160" customFormat="1" x14ac:dyDescent="0.3"/>
    <row r="19521" s="160" customFormat="1" x14ac:dyDescent="0.3"/>
    <row r="19522" s="160" customFormat="1" x14ac:dyDescent="0.3"/>
    <row r="19523" s="160" customFormat="1" x14ac:dyDescent="0.3"/>
    <row r="19524" s="160" customFormat="1" x14ac:dyDescent="0.3"/>
    <row r="19525" s="160" customFormat="1" x14ac:dyDescent="0.3"/>
    <row r="19526" s="160" customFormat="1" x14ac:dyDescent="0.3"/>
    <row r="19527" s="160" customFormat="1" x14ac:dyDescent="0.3"/>
    <row r="19528" s="160" customFormat="1" x14ac:dyDescent="0.3"/>
    <row r="19529" s="160" customFormat="1" x14ac:dyDescent="0.3"/>
    <row r="19530" s="160" customFormat="1" x14ac:dyDescent="0.3"/>
    <row r="19531" s="160" customFormat="1" x14ac:dyDescent="0.3"/>
    <row r="19532" s="160" customFormat="1" x14ac:dyDescent="0.3"/>
    <row r="19533" s="160" customFormat="1" x14ac:dyDescent="0.3"/>
    <row r="19534" s="160" customFormat="1" x14ac:dyDescent="0.3"/>
    <row r="19535" s="160" customFormat="1" x14ac:dyDescent="0.3"/>
    <row r="19536" s="160" customFormat="1" x14ac:dyDescent="0.3"/>
    <row r="19537" s="160" customFormat="1" x14ac:dyDescent="0.3"/>
    <row r="19538" s="160" customFormat="1" x14ac:dyDescent="0.3"/>
    <row r="19539" s="160" customFormat="1" x14ac:dyDescent="0.3"/>
    <row r="19540" s="160" customFormat="1" x14ac:dyDescent="0.3"/>
    <row r="19541" s="160" customFormat="1" x14ac:dyDescent="0.3"/>
    <row r="19542" s="160" customFormat="1" x14ac:dyDescent="0.3"/>
    <row r="19543" s="160" customFormat="1" x14ac:dyDescent="0.3"/>
    <row r="19544" s="160" customFormat="1" x14ac:dyDescent="0.3"/>
    <row r="19545" s="160" customFormat="1" x14ac:dyDescent="0.3"/>
    <row r="19546" s="160" customFormat="1" x14ac:dyDescent="0.3"/>
    <row r="19547" s="160" customFormat="1" x14ac:dyDescent="0.3"/>
    <row r="19548" s="160" customFormat="1" x14ac:dyDescent="0.3"/>
    <row r="19549" s="160" customFormat="1" x14ac:dyDescent="0.3"/>
    <row r="19550" s="160" customFormat="1" x14ac:dyDescent="0.3"/>
    <row r="19551" s="160" customFormat="1" x14ac:dyDescent="0.3"/>
    <row r="19552" s="160" customFormat="1" x14ac:dyDescent="0.3"/>
    <row r="19553" s="160" customFormat="1" x14ac:dyDescent="0.3"/>
    <row r="19554" s="160" customFormat="1" x14ac:dyDescent="0.3"/>
    <row r="19555" s="160" customFormat="1" x14ac:dyDescent="0.3"/>
    <row r="19556" s="160" customFormat="1" x14ac:dyDescent="0.3"/>
    <row r="19557" s="160" customFormat="1" x14ac:dyDescent="0.3"/>
    <row r="19558" s="160" customFormat="1" x14ac:dyDescent="0.3"/>
    <row r="19559" s="160" customFormat="1" x14ac:dyDescent="0.3"/>
    <row r="19560" s="160" customFormat="1" x14ac:dyDescent="0.3"/>
    <row r="19561" s="160" customFormat="1" x14ac:dyDescent="0.3"/>
    <row r="19562" s="160" customFormat="1" x14ac:dyDescent="0.3"/>
    <row r="19563" s="160" customFormat="1" x14ac:dyDescent="0.3"/>
    <row r="19564" s="160" customFormat="1" x14ac:dyDescent="0.3"/>
    <row r="19565" s="160" customFormat="1" x14ac:dyDescent="0.3"/>
    <row r="19566" s="160" customFormat="1" x14ac:dyDescent="0.3"/>
    <row r="19567" s="160" customFormat="1" x14ac:dyDescent="0.3"/>
    <row r="19568" s="160" customFormat="1" x14ac:dyDescent="0.3"/>
    <row r="19569" s="160" customFormat="1" x14ac:dyDescent="0.3"/>
    <row r="19570" s="160" customFormat="1" x14ac:dyDescent="0.3"/>
    <row r="19571" s="160" customFormat="1" x14ac:dyDescent="0.3"/>
    <row r="19572" s="160" customFormat="1" x14ac:dyDescent="0.3"/>
    <row r="19573" s="160" customFormat="1" x14ac:dyDescent="0.3"/>
    <row r="19574" s="160" customFormat="1" x14ac:dyDescent="0.3"/>
    <row r="19575" s="160" customFormat="1" x14ac:dyDescent="0.3"/>
    <row r="19576" s="160" customFormat="1" x14ac:dyDescent="0.3"/>
    <row r="19577" s="160" customFormat="1" x14ac:dyDescent="0.3"/>
    <row r="19578" s="160" customFormat="1" x14ac:dyDescent="0.3"/>
    <row r="19579" s="160" customFormat="1" x14ac:dyDescent="0.3"/>
    <row r="19580" s="160" customFormat="1" x14ac:dyDescent="0.3"/>
    <row r="19581" s="160" customFormat="1" x14ac:dyDescent="0.3"/>
    <row r="19582" s="160" customFormat="1" x14ac:dyDescent="0.3"/>
    <row r="19583" s="160" customFormat="1" x14ac:dyDescent="0.3"/>
    <row r="19584" s="160" customFormat="1" x14ac:dyDescent="0.3"/>
    <row r="19585" s="160" customFormat="1" x14ac:dyDescent="0.3"/>
    <row r="19586" s="160" customFormat="1" x14ac:dyDescent="0.3"/>
    <row r="19587" s="160" customFormat="1" x14ac:dyDescent="0.3"/>
    <row r="19588" s="160" customFormat="1" x14ac:dyDescent="0.3"/>
    <row r="19589" s="160" customFormat="1" x14ac:dyDescent="0.3"/>
    <row r="19590" s="160" customFormat="1" x14ac:dyDescent="0.3"/>
    <row r="19591" s="160" customFormat="1" x14ac:dyDescent="0.3"/>
    <row r="19592" s="160" customFormat="1" x14ac:dyDescent="0.3"/>
    <row r="19593" s="160" customFormat="1" x14ac:dyDescent="0.3"/>
    <row r="19594" s="160" customFormat="1" x14ac:dyDescent="0.3"/>
    <row r="19595" s="160" customFormat="1" x14ac:dyDescent="0.3"/>
    <row r="19596" s="160" customFormat="1" x14ac:dyDescent="0.3"/>
    <row r="19597" s="160" customFormat="1" x14ac:dyDescent="0.3"/>
    <row r="19598" s="160" customFormat="1" x14ac:dyDescent="0.3"/>
    <row r="19599" s="160" customFormat="1" x14ac:dyDescent="0.3"/>
    <row r="19600" s="160" customFormat="1" x14ac:dyDescent="0.3"/>
    <row r="19601" s="160" customFormat="1" x14ac:dyDescent="0.3"/>
    <row r="19602" s="160" customFormat="1" x14ac:dyDescent="0.3"/>
    <row r="19603" s="160" customFormat="1" x14ac:dyDescent="0.3"/>
    <row r="19604" s="160" customFormat="1" x14ac:dyDescent="0.3"/>
    <row r="19605" s="160" customFormat="1" x14ac:dyDescent="0.3"/>
    <row r="19606" s="160" customFormat="1" x14ac:dyDescent="0.3"/>
    <row r="19607" s="160" customFormat="1" x14ac:dyDescent="0.3"/>
    <row r="19608" s="160" customFormat="1" x14ac:dyDescent="0.3"/>
    <row r="19609" s="160" customFormat="1" x14ac:dyDescent="0.3"/>
    <row r="19610" s="160" customFormat="1" x14ac:dyDescent="0.3"/>
    <row r="19611" s="160" customFormat="1" x14ac:dyDescent="0.3"/>
    <row r="19612" s="160" customFormat="1" x14ac:dyDescent="0.3"/>
    <row r="19613" s="160" customFormat="1" x14ac:dyDescent="0.3"/>
    <row r="19614" s="160" customFormat="1" x14ac:dyDescent="0.3"/>
    <row r="19615" s="160" customFormat="1" x14ac:dyDescent="0.3"/>
    <row r="19616" s="160" customFormat="1" x14ac:dyDescent="0.3"/>
    <row r="19617" s="160" customFormat="1" x14ac:dyDescent="0.3"/>
    <row r="19618" s="160" customFormat="1" x14ac:dyDescent="0.3"/>
    <row r="19619" s="160" customFormat="1" x14ac:dyDescent="0.3"/>
    <row r="19620" s="160" customFormat="1" x14ac:dyDescent="0.3"/>
    <row r="19621" s="160" customFormat="1" x14ac:dyDescent="0.3"/>
    <row r="19622" s="160" customFormat="1" x14ac:dyDescent="0.3"/>
    <row r="19623" s="160" customFormat="1" x14ac:dyDescent="0.3"/>
    <row r="19624" s="160" customFormat="1" x14ac:dyDescent="0.3"/>
    <row r="19625" s="160" customFormat="1" x14ac:dyDescent="0.3"/>
    <row r="19626" s="160" customFormat="1" x14ac:dyDescent="0.3"/>
    <row r="19627" s="160" customFormat="1" x14ac:dyDescent="0.3"/>
    <row r="19628" s="160" customFormat="1" x14ac:dyDescent="0.3"/>
    <row r="19629" s="160" customFormat="1" x14ac:dyDescent="0.3"/>
    <row r="19630" s="160" customFormat="1" x14ac:dyDescent="0.3"/>
    <row r="19631" s="160" customFormat="1" x14ac:dyDescent="0.3"/>
    <row r="19632" s="160" customFormat="1" x14ac:dyDescent="0.3"/>
    <row r="19633" s="160" customFormat="1" x14ac:dyDescent="0.3"/>
    <row r="19634" s="160" customFormat="1" x14ac:dyDescent="0.3"/>
    <row r="19635" s="160" customFormat="1" x14ac:dyDescent="0.3"/>
    <row r="19636" s="160" customFormat="1" x14ac:dyDescent="0.3"/>
    <row r="19637" s="160" customFormat="1" x14ac:dyDescent="0.3"/>
    <row r="19638" s="160" customFormat="1" x14ac:dyDescent="0.3"/>
    <row r="19639" s="160" customFormat="1" x14ac:dyDescent="0.3"/>
    <row r="19640" s="160" customFormat="1" x14ac:dyDescent="0.3"/>
    <row r="19641" s="160" customFormat="1" x14ac:dyDescent="0.3"/>
    <row r="19642" s="160" customFormat="1" x14ac:dyDescent="0.3"/>
    <row r="19643" s="160" customFormat="1" x14ac:dyDescent="0.3"/>
    <row r="19644" s="160" customFormat="1" x14ac:dyDescent="0.3"/>
    <row r="19645" s="160" customFormat="1" x14ac:dyDescent="0.3"/>
    <row r="19646" s="160" customFormat="1" x14ac:dyDescent="0.3"/>
    <row r="19647" s="160" customFormat="1" x14ac:dyDescent="0.3"/>
    <row r="19648" s="160" customFormat="1" x14ac:dyDescent="0.3"/>
    <row r="19649" s="160" customFormat="1" x14ac:dyDescent="0.3"/>
    <row r="19650" s="160" customFormat="1" x14ac:dyDescent="0.3"/>
    <row r="19651" s="160" customFormat="1" x14ac:dyDescent="0.3"/>
    <row r="19652" s="160" customFormat="1" x14ac:dyDescent="0.3"/>
    <row r="19653" s="160" customFormat="1" x14ac:dyDescent="0.3"/>
    <row r="19654" s="160" customFormat="1" x14ac:dyDescent="0.3"/>
    <row r="19655" s="160" customFormat="1" x14ac:dyDescent="0.3"/>
    <row r="19656" s="160" customFormat="1" x14ac:dyDescent="0.3"/>
    <row r="19657" s="160" customFormat="1" x14ac:dyDescent="0.3"/>
    <row r="19658" s="160" customFormat="1" x14ac:dyDescent="0.3"/>
    <row r="19659" s="160" customFormat="1" x14ac:dyDescent="0.3"/>
    <row r="19660" s="160" customFormat="1" x14ac:dyDescent="0.3"/>
    <row r="19661" s="160" customFormat="1" x14ac:dyDescent="0.3"/>
    <row r="19662" s="160" customFormat="1" x14ac:dyDescent="0.3"/>
    <row r="19663" s="160" customFormat="1" x14ac:dyDescent="0.3"/>
    <row r="19664" s="160" customFormat="1" x14ac:dyDescent="0.3"/>
    <row r="19665" s="160" customFormat="1" x14ac:dyDescent="0.3"/>
    <row r="19666" s="160" customFormat="1" x14ac:dyDescent="0.3"/>
    <row r="19667" s="160" customFormat="1" x14ac:dyDescent="0.3"/>
    <row r="19668" s="160" customFormat="1" x14ac:dyDescent="0.3"/>
    <row r="19669" s="160" customFormat="1" x14ac:dyDescent="0.3"/>
    <row r="19670" s="160" customFormat="1" x14ac:dyDescent="0.3"/>
    <row r="19671" s="160" customFormat="1" x14ac:dyDescent="0.3"/>
    <row r="19672" s="160" customFormat="1" x14ac:dyDescent="0.3"/>
    <row r="19673" s="160" customFormat="1" x14ac:dyDescent="0.3"/>
    <row r="19674" s="160" customFormat="1" x14ac:dyDescent="0.3"/>
    <row r="19675" s="160" customFormat="1" x14ac:dyDescent="0.3"/>
    <row r="19676" s="160" customFormat="1" x14ac:dyDescent="0.3"/>
    <row r="19677" s="160" customFormat="1" x14ac:dyDescent="0.3"/>
    <row r="19678" s="160" customFormat="1" x14ac:dyDescent="0.3"/>
    <row r="19679" s="160" customFormat="1" x14ac:dyDescent="0.3"/>
    <row r="19680" s="160" customFormat="1" x14ac:dyDescent="0.3"/>
    <row r="19681" s="160" customFormat="1" x14ac:dyDescent="0.3"/>
    <row r="19682" s="160" customFormat="1" x14ac:dyDescent="0.3"/>
    <row r="19683" s="160" customFormat="1" x14ac:dyDescent="0.3"/>
    <row r="19684" s="160" customFormat="1" x14ac:dyDescent="0.3"/>
    <row r="19685" s="160" customFormat="1" x14ac:dyDescent="0.3"/>
    <row r="19686" s="160" customFormat="1" x14ac:dyDescent="0.3"/>
    <row r="19687" s="160" customFormat="1" x14ac:dyDescent="0.3"/>
    <row r="19688" s="160" customFormat="1" x14ac:dyDescent="0.3"/>
    <row r="19689" s="160" customFormat="1" x14ac:dyDescent="0.3"/>
    <row r="19690" s="160" customFormat="1" x14ac:dyDescent="0.3"/>
    <row r="19691" s="160" customFormat="1" x14ac:dyDescent="0.3"/>
    <row r="19692" s="160" customFormat="1" x14ac:dyDescent="0.3"/>
    <row r="19693" s="160" customFormat="1" x14ac:dyDescent="0.3"/>
    <row r="19694" s="160" customFormat="1" x14ac:dyDescent="0.3"/>
    <row r="19695" s="160" customFormat="1" x14ac:dyDescent="0.3"/>
    <row r="19696" s="160" customFormat="1" x14ac:dyDescent="0.3"/>
    <row r="19697" s="160" customFormat="1" x14ac:dyDescent="0.3"/>
    <row r="19698" s="160" customFormat="1" x14ac:dyDescent="0.3"/>
    <row r="19699" s="160" customFormat="1" x14ac:dyDescent="0.3"/>
    <row r="19700" s="160" customFormat="1" x14ac:dyDescent="0.3"/>
    <row r="19701" s="160" customFormat="1" x14ac:dyDescent="0.3"/>
    <row r="19702" s="160" customFormat="1" x14ac:dyDescent="0.3"/>
    <row r="19703" s="160" customFormat="1" x14ac:dyDescent="0.3"/>
    <row r="19704" s="160" customFormat="1" x14ac:dyDescent="0.3"/>
    <row r="19705" s="160" customFormat="1" x14ac:dyDescent="0.3"/>
    <row r="19706" s="160" customFormat="1" x14ac:dyDescent="0.3"/>
    <row r="19707" s="160" customFormat="1" x14ac:dyDescent="0.3"/>
    <row r="19708" s="160" customFormat="1" x14ac:dyDescent="0.3"/>
    <row r="19709" s="160" customFormat="1" x14ac:dyDescent="0.3"/>
    <row r="19710" s="160" customFormat="1" x14ac:dyDescent="0.3"/>
    <row r="19711" s="160" customFormat="1" x14ac:dyDescent="0.3"/>
    <row r="19712" s="160" customFormat="1" x14ac:dyDescent="0.3"/>
    <row r="19713" s="160" customFormat="1" x14ac:dyDescent="0.3"/>
    <row r="19714" s="160" customFormat="1" x14ac:dyDescent="0.3"/>
    <row r="19715" s="160" customFormat="1" x14ac:dyDescent="0.3"/>
    <row r="19716" s="160" customFormat="1" x14ac:dyDescent="0.3"/>
    <row r="19717" s="160" customFormat="1" x14ac:dyDescent="0.3"/>
    <row r="19718" s="160" customFormat="1" x14ac:dyDescent="0.3"/>
    <row r="19719" s="160" customFormat="1" x14ac:dyDescent="0.3"/>
    <row r="19720" s="160" customFormat="1" x14ac:dyDescent="0.3"/>
    <row r="19721" s="160" customFormat="1" x14ac:dyDescent="0.3"/>
    <row r="19722" s="160" customFormat="1" x14ac:dyDescent="0.3"/>
    <row r="19723" s="160" customFormat="1" x14ac:dyDescent="0.3"/>
    <row r="19724" s="160" customFormat="1" x14ac:dyDescent="0.3"/>
    <row r="19725" s="160" customFormat="1" x14ac:dyDescent="0.3"/>
    <row r="19726" s="160" customFormat="1" x14ac:dyDescent="0.3"/>
    <row r="19727" s="160" customFormat="1" x14ac:dyDescent="0.3"/>
    <row r="19728" s="160" customFormat="1" x14ac:dyDescent="0.3"/>
    <row r="19729" s="160" customFormat="1" x14ac:dyDescent="0.3"/>
    <row r="19730" s="160" customFormat="1" x14ac:dyDescent="0.3"/>
    <row r="19731" s="160" customFormat="1" x14ac:dyDescent="0.3"/>
    <row r="19732" s="160" customFormat="1" x14ac:dyDescent="0.3"/>
    <row r="19733" s="160" customFormat="1" x14ac:dyDescent="0.3"/>
    <row r="19734" s="160" customFormat="1" x14ac:dyDescent="0.3"/>
    <row r="19735" s="160" customFormat="1" x14ac:dyDescent="0.3"/>
    <row r="19736" s="160" customFormat="1" x14ac:dyDescent="0.3"/>
    <row r="19737" s="160" customFormat="1" x14ac:dyDescent="0.3"/>
    <row r="19738" s="160" customFormat="1" x14ac:dyDescent="0.3"/>
    <row r="19739" s="160" customFormat="1" x14ac:dyDescent="0.3"/>
    <row r="19740" s="160" customFormat="1" x14ac:dyDescent="0.3"/>
    <row r="19741" s="160" customFormat="1" x14ac:dyDescent="0.3"/>
    <row r="19742" s="160" customFormat="1" x14ac:dyDescent="0.3"/>
    <row r="19743" s="160" customFormat="1" x14ac:dyDescent="0.3"/>
    <row r="19744" s="160" customFormat="1" x14ac:dyDescent="0.3"/>
    <row r="19745" s="160" customFormat="1" x14ac:dyDescent="0.3"/>
    <row r="19746" s="160" customFormat="1" x14ac:dyDescent="0.3"/>
    <row r="19747" s="160" customFormat="1" x14ac:dyDescent="0.3"/>
    <row r="19748" s="160" customFormat="1" x14ac:dyDescent="0.3"/>
    <row r="19749" s="160" customFormat="1" x14ac:dyDescent="0.3"/>
    <row r="19750" s="160" customFormat="1" x14ac:dyDescent="0.3"/>
    <row r="19751" s="160" customFormat="1" x14ac:dyDescent="0.3"/>
    <row r="19752" s="160" customFormat="1" x14ac:dyDescent="0.3"/>
    <row r="19753" s="160" customFormat="1" x14ac:dyDescent="0.3"/>
    <row r="19754" s="160" customFormat="1" x14ac:dyDescent="0.3"/>
    <row r="19755" s="160" customFormat="1" x14ac:dyDescent="0.3"/>
    <row r="19756" s="160" customFormat="1" x14ac:dyDescent="0.3"/>
    <row r="19757" s="160" customFormat="1" x14ac:dyDescent="0.3"/>
    <row r="19758" s="160" customFormat="1" x14ac:dyDescent="0.3"/>
    <row r="19759" s="160" customFormat="1" x14ac:dyDescent="0.3"/>
    <row r="19760" s="160" customFormat="1" x14ac:dyDescent="0.3"/>
    <row r="19761" s="160" customFormat="1" x14ac:dyDescent="0.3"/>
    <row r="19762" s="160" customFormat="1" x14ac:dyDescent="0.3"/>
    <row r="19763" s="160" customFormat="1" x14ac:dyDescent="0.3"/>
    <row r="19764" s="160" customFormat="1" x14ac:dyDescent="0.3"/>
    <row r="19765" s="160" customFormat="1" x14ac:dyDescent="0.3"/>
    <row r="19766" s="160" customFormat="1" x14ac:dyDescent="0.3"/>
    <row r="19767" s="160" customFormat="1" x14ac:dyDescent="0.3"/>
    <row r="19768" s="160" customFormat="1" x14ac:dyDescent="0.3"/>
    <row r="19769" s="160" customFormat="1" x14ac:dyDescent="0.3"/>
    <row r="19770" s="160" customFormat="1" x14ac:dyDescent="0.3"/>
    <row r="19771" s="160" customFormat="1" x14ac:dyDescent="0.3"/>
    <row r="19772" s="160" customFormat="1" x14ac:dyDescent="0.3"/>
    <row r="19773" s="160" customFormat="1" x14ac:dyDescent="0.3"/>
    <row r="19774" s="160" customFormat="1" x14ac:dyDescent="0.3"/>
    <row r="19775" s="160" customFormat="1" x14ac:dyDescent="0.3"/>
    <row r="19776" s="160" customFormat="1" x14ac:dyDescent="0.3"/>
    <row r="19777" s="160" customFormat="1" x14ac:dyDescent="0.3"/>
    <row r="19778" s="160" customFormat="1" x14ac:dyDescent="0.3"/>
    <row r="19779" s="160" customFormat="1" x14ac:dyDescent="0.3"/>
    <row r="19780" s="160" customFormat="1" x14ac:dyDescent="0.3"/>
    <row r="19781" s="160" customFormat="1" x14ac:dyDescent="0.3"/>
    <row r="19782" s="160" customFormat="1" x14ac:dyDescent="0.3"/>
    <row r="19783" s="160" customFormat="1" x14ac:dyDescent="0.3"/>
    <row r="19784" s="160" customFormat="1" x14ac:dyDescent="0.3"/>
    <row r="19785" s="160" customFormat="1" x14ac:dyDescent="0.3"/>
    <row r="19786" s="160" customFormat="1" x14ac:dyDescent="0.3"/>
    <row r="19787" s="160" customFormat="1" x14ac:dyDescent="0.3"/>
    <row r="19788" s="160" customFormat="1" x14ac:dyDescent="0.3"/>
    <row r="19789" s="160" customFormat="1" x14ac:dyDescent="0.3"/>
    <row r="19790" s="160" customFormat="1" x14ac:dyDescent="0.3"/>
    <row r="19791" s="160" customFormat="1" x14ac:dyDescent="0.3"/>
    <row r="19792" s="160" customFormat="1" x14ac:dyDescent="0.3"/>
    <row r="19793" s="160" customFormat="1" x14ac:dyDescent="0.3"/>
    <row r="19794" s="160" customFormat="1" x14ac:dyDescent="0.3"/>
    <row r="19795" s="160" customFormat="1" x14ac:dyDescent="0.3"/>
    <row r="19796" s="160" customFormat="1" x14ac:dyDescent="0.3"/>
    <row r="19797" s="160" customFormat="1" x14ac:dyDescent="0.3"/>
    <row r="19798" s="160" customFormat="1" x14ac:dyDescent="0.3"/>
    <row r="19799" s="160" customFormat="1" x14ac:dyDescent="0.3"/>
    <row r="19800" s="160" customFormat="1" x14ac:dyDescent="0.3"/>
    <row r="19801" s="160" customFormat="1" x14ac:dyDescent="0.3"/>
    <row r="19802" s="160" customFormat="1" x14ac:dyDescent="0.3"/>
    <row r="19803" s="160" customFormat="1" x14ac:dyDescent="0.3"/>
    <row r="19804" s="160" customFormat="1" x14ac:dyDescent="0.3"/>
    <row r="19805" s="160" customFormat="1" x14ac:dyDescent="0.3"/>
    <row r="19806" s="160" customFormat="1" x14ac:dyDescent="0.3"/>
    <row r="19807" s="160" customFormat="1" x14ac:dyDescent="0.3"/>
    <row r="19808" s="160" customFormat="1" x14ac:dyDescent="0.3"/>
    <row r="19809" s="160" customFormat="1" x14ac:dyDescent="0.3"/>
    <row r="19810" s="160" customFormat="1" x14ac:dyDescent="0.3"/>
    <row r="19811" s="160" customFormat="1" x14ac:dyDescent="0.3"/>
    <row r="19812" s="160" customFormat="1" x14ac:dyDescent="0.3"/>
    <row r="19813" s="160" customFormat="1" x14ac:dyDescent="0.3"/>
    <row r="19814" s="160" customFormat="1" x14ac:dyDescent="0.3"/>
    <row r="19815" s="160" customFormat="1" x14ac:dyDescent="0.3"/>
    <row r="19816" s="160" customFormat="1" x14ac:dyDescent="0.3"/>
    <row r="19817" s="160" customFormat="1" x14ac:dyDescent="0.3"/>
    <row r="19818" s="160" customFormat="1" x14ac:dyDescent="0.3"/>
    <row r="19819" s="160" customFormat="1" x14ac:dyDescent="0.3"/>
    <row r="19820" s="160" customFormat="1" x14ac:dyDescent="0.3"/>
    <row r="19821" s="160" customFormat="1" x14ac:dyDescent="0.3"/>
    <row r="19822" s="160" customFormat="1" x14ac:dyDescent="0.3"/>
    <row r="19823" s="160" customFormat="1" x14ac:dyDescent="0.3"/>
    <row r="19824" s="160" customFormat="1" x14ac:dyDescent="0.3"/>
    <row r="19825" s="160" customFormat="1" x14ac:dyDescent="0.3"/>
    <row r="19826" s="160" customFormat="1" x14ac:dyDescent="0.3"/>
    <row r="19827" s="160" customFormat="1" x14ac:dyDescent="0.3"/>
    <row r="19828" s="160" customFormat="1" x14ac:dyDescent="0.3"/>
    <row r="19829" s="160" customFormat="1" x14ac:dyDescent="0.3"/>
    <row r="19830" s="160" customFormat="1" x14ac:dyDescent="0.3"/>
    <row r="19831" s="160" customFormat="1" x14ac:dyDescent="0.3"/>
    <row r="19832" s="160" customFormat="1" x14ac:dyDescent="0.3"/>
    <row r="19833" s="160" customFormat="1" x14ac:dyDescent="0.3"/>
    <row r="19834" s="160" customFormat="1" x14ac:dyDescent="0.3"/>
    <row r="19835" s="160" customFormat="1" x14ac:dyDescent="0.3"/>
    <row r="19836" s="160" customFormat="1" x14ac:dyDescent="0.3"/>
    <row r="19837" s="160" customFormat="1" x14ac:dyDescent="0.3"/>
    <row r="19838" s="160" customFormat="1" x14ac:dyDescent="0.3"/>
    <row r="19839" s="160" customFormat="1" x14ac:dyDescent="0.3"/>
    <row r="19840" s="160" customFormat="1" x14ac:dyDescent="0.3"/>
    <row r="19841" s="160" customFormat="1" x14ac:dyDescent="0.3"/>
    <row r="19842" s="160" customFormat="1" x14ac:dyDescent="0.3"/>
    <row r="19843" s="160" customFormat="1" x14ac:dyDescent="0.3"/>
    <row r="19844" s="160" customFormat="1" x14ac:dyDescent="0.3"/>
    <row r="19845" s="160" customFormat="1" x14ac:dyDescent="0.3"/>
    <row r="19846" s="160" customFormat="1" x14ac:dyDescent="0.3"/>
    <row r="19847" s="160" customFormat="1" x14ac:dyDescent="0.3"/>
    <row r="19848" s="160" customFormat="1" x14ac:dyDescent="0.3"/>
    <row r="19849" s="160" customFormat="1" x14ac:dyDescent="0.3"/>
    <row r="19850" s="160" customFormat="1" x14ac:dyDescent="0.3"/>
    <row r="19851" s="160" customFormat="1" x14ac:dyDescent="0.3"/>
    <row r="19852" s="160" customFormat="1" x14ac:dyDescent="0.3"/>
    <row r="19853" s="160" customFormat="1" x14ac:dyDescent="0.3"/>
    <row r="19854" s="160" customFormat="1" x14ac:dyDescent="0.3"/>
    <row r="19855" s="160" customFormat="1" x14ac:dyDescent="0.3"/>
    <row r="19856" s="160" customFormat="1" x14ac:dyDescent="0.3"/>
    <row r="19857" s="160" customFormat="1" x14ac:dyDescent="0.3"/>
    <row r="19858" s="160" customFormat="1" x14ac:dyDescent="0.3"/>
    <row r="19859" s="160" customFormat="1" x14ac:dyDescent="0.3"/>
    <row r="19860" s="160" customFormat="1" x14ac:dyDescent="0.3"/>
    <row r="19861" s="160" customFormat="1" x14ac:dyDescent="0.3"/>
    <row r="19862" s="160" customFormat="1" x14ac:dyDescent="0.3"/>
    <row r="19863" s="160" customFormat="1" x14ac:dyDescent="0.3"/>
    <row r="19864" s="160" customFormat="1" x14ac:dyDescent="0.3"/>
    <row r="19865" s="160" customFormat="1" x14ac:dyDescent="0.3"/>
    <row r="19866" s="160" customFormat="1" x14ac:dyDescent="0.3"/>
    <row r="19867" s="160" customFormat="1" x14ac:dyDescent="0.3"/>
    <row r="19868" s="160" customFormat="1" x14ac:dyDescent="0.3"/>
    <row r="19869" s="160" customFormat="1" x14ac:dyDescent="0.3"/>
    <row r="19870" s="160" customFormat="1" x14ac:dyDescent="0.3"/>
    <row r="19871" s="160" customFormat="1" x14ac:dyDescent="0.3"/>
    <row r="19872" s="160" customFormat="1" x14ac:dyDescent="0.3"/>
    <row r="19873" s="160" customFormat="1" x14ac:dyDescent="0.3"/>
    <row r="19874" s="160" customFormat="1" x14ac:dyDescent="0.3"/>
    <row r="19875" s="160" customFormat="1" x14ac:dyDescent="0.3"/>
    <row r="19876" s="160" customFormat="1" x14ac:dyDescent="0.3"/>
    <row r="19877" s="160" customFormat="1" x14ac:dyDescent="0.3"/>
    <row r="19878" s="160" customFormat="1" x14ac:dyDescent="0.3"/>
    <row r="19879" s="160" customFormat="1" x14ac:dyDescent="0.3"/>
    <row r="19880" s="160" customFormat="1" x14ac:dyDescent="0.3"/>
    <row r="19881" s="160" customFormat="1" x14ac:dyDescent="0.3"/>
    <row r="19882" s="160" customFormat="1" x14ac:dyDescent="0.3"/>
    <row r="19883" s="160" customFormat="1" x14ac:dyDescent="0.3"/>
    <row r="19884" s="160" customFormat="1" x14ac:dyDescent="0.3"/>
    <row r="19885" s="160" customFormat="1" x14ac:dyDescent="0.3"/>
    <row r="19886" s="160" customFormat="1" x14ac:dyDescent="0.3"/>
    <row r="19887" s="160" customFormat="1" x14ac:dyDescent="0.3"/>
    <row r="19888" s="160" customFormat="1" x14ac:dyDescent="0.3"/>
    <row r="19889" s="160" customFormat="1" x14ac:dyDescent="0.3"/>
    <row r="19890" s="160" customFormat="1" x14ac:dyDescent="0.3"/>
    <row r="19891" s="160" customFormat="1" x14ac:dyDescent="0.3"/>
    <row r="19892" s="160" customFormat="1" x14ac:dyDescent="0.3"/>
    <row r="19893" s="160" customFormat="1" x14ac:dyDescent="0.3"/>
    <row r="19894" s="160" customFormat="1" x14ac:dyDescent="0.3"/>
    <row r="19895" s="160" customFormat="1" x14ac:dyDescent="0.3"/>
    <row r="19896" s="160" customFormat="1" x14ac:dyDescent="0.3"/>
    <row r="19897" s="160" customFormat="1" x14ac:dyDescent="0.3"/>
    <row r="19898" s="160" customFormat="1" x14ac:dyDescent="0.3"/>
    <row r="19899" s="160" customFormat="1" x14ac:dyDescent="0.3"/>
    <row r="19900" s="160" customFormat="1" x14ac:dyDescent="0.3"/>
    <row r="19901" s="160" customFormat="1" x14ac:dyDescent="0.3"/>
    <row r="19902" s="160" customFormat="1" x14ac:dyDescent="0.3"/>
    <row r="19903" s="160" customFormat="1" x14ac:dyDescent="0.3"/>
    <row r="19904" s="160" customFormat="1" x14ac:dyDescent="0.3"/>
    <row r="19905" s="160" customFormat="1" x14ac:dyDescent="0.3"/>
    <row r="19906" s="160" customFormat="1" x14ac:dyDescent="0.3"/>
    <row r="19907" s="160" customFormat="1" x14ac:dyDescent="0.3"/>
    <row r="19908" s="160" customFormat="1" x14ac:dyDescent="0.3"/>
    <row r="19909" s="160" customFormat="1" x14ac:dyDescent="0.3"/>
    <row r="19910" s="160" customFormat="1" x14ac:dyDescent="0.3"/>
    <row r="19911" s="160" customFormat="1" x14ac:dyDescent="0.3"/>
    <row r="19912" s="160" customFormat="1" x14ac:dyDescent="0.3"/>
    <row r="19913" s="160" customFormat="1" x14ac:dyDescent="0.3"/>
    <row r="19914" s="160" customFormat="1" x14ac:dyDescent="0.3"/>
    <row r="19915" s="160" customFormat="1" x14ac:dyDescent="0.3"/>
    <row r="19916" s="160" customFormat="1" x14ac:dyDescent="0.3"/>
    <row r="19917" s="160" customFormat="1" x14ac:dyDescent="0.3"/>
    <row r="19918" s="160" customFormat="1" x14ac:dyDescent="0.3"/>
    <row r="19919" s="160" customFormat="1" x14ac:dyDescent="0.3"/>
    <row r="19920" s="160" customFormat="1" x14ac:dyDescent="0.3"/>
    <row r="19921" s="160" customFormat="1" x14ac:dyDescent="0.3"/>
    <row r="19922" s="160" customFormat="1" x14ac:dyDescent="0.3"/>
    <row r="19923" s="160" customFormat="1" x14ac:dyDescent="0.3"/>
    <row r="19924" s="160" customFormat="1" x14ac:dyDescent="0.3"/>
    <row r="19925" s="160" customFormat="1" x14ac:dyDescent="0.3"/>
    <row r="19926" s="160" customFormat="1" x14ac:dyDescent="0.3"/>
    <row r="19927" s="160" customFormat="1" x14ac:dyDescent="0.3"/>
    <row r="19928" s="160" customFormat="1" x14ac:dyDescent="0.3"/>
    <row r="19929" s="160" customFormat="1" x14ac:dyDescent="0.3"/>
    <row r="19930" s="160" customFormat="1" x14ac:dyDescent="0.3"/>
    <row r="19931" s="160" customFormat="1" x14ac:dyDescent="0.3"/>
    <row r="19932" s="160" customFormat="1" x14ac:dyDescent="0.3"/>
    <row r="19933" s="160" customFormat="1" x14ac:dyDescent="0.3"/>
    <row r="19934" s="160" customFormat="1" x14ac:dyDescent="0.3"/>
    <row r="19935" s="160" customFormat="1" x14ac:dyDescent="0.3"/>
    <row r="19936" s="160" customFormat="1" x14ac:dyDescent="0.3"/>
    <row r="19937" s="160" customFormat="1" x14ac:dyDescent="0.3"/>
    <row r="19938" s="160" customFormat="1" x14ac:dyDescent="0.3"/>
    <row r="19939" s="160" customFormat="1" x14ac:dyDescent="0.3"/>
    <row r="19940" s="160" customFormat="1" x14ac:dyDescent="0.3"/>
    <row r="19941" s="160" customFormat="1" x14ac:dyDescent="0.3"/>
    <row r="19942" s="160" customFormat="1" x14ac:dyDescent="0.3"/>
    <row r="19943" s="160" customFormat="1" x14ac:dyDescent="0.3"/>
    <row r="19944" s="160" customFormat="1" x14ac:dyDescent="0.3"/>
    <row r="19945" s="160" customFormat="1" x14ac:dyDescent="0.3"/>
    <row r="19946" s="160" customFormat="1" x14ac:dyDescent="0.3"/>
    <row r="19947" s="160" customFormat="1" x14ac:dyDescent="0.3"/>
    <row r="19948" s="160" customFormat="1" x14ac:dyDescent="0.3"/>
    <row r="19949" s="160" customFormat="1" x14ac:dyDescent="0.3"/>
    <row r="19950" s="160" customFormat="1" x14ac:dyDescent="0.3"/>
    <row r="19951" s="160" customFormat="1" x14ac:dyDescent="0.3"/>
    <row r="19952" s="160" customFormat="1" x14ac:dyDescent="0.3"/>
    <row r="19953" s="160" customFormat="1" x14ac:dyDescent="0.3"/>
    <row r="19954" s="160" customFormat="1" x14ac:dyDescent="0.3"/>
    <row r="19955" s="160" customFormat="1" x14ac:dyDescent="0.3"/>
    <row r="19956" s="160" customFormat="1" x14ac:dyDescent="0.3"/>
    <row r="19957" s="160" customFormat="1" x14ac:dyDescent="0.3"/>
    <row r="19958" s="160" customFormat="1" x14ac:dyDescent="0.3"/>
    <row r="19959" s="160" customFormat="1" x14ac:dyDescent="0.3"/>
    <row r="19960" s="160" customFormat="1" x14ac:dyDescent="0.3"/>
    <row r="19961" s="160" customFormat="1" x14ac:dyDescent="0.3"/>
    <row r="19962" s="160" customFormat="1" x14ac:dyDescent="0.3"/>
    <row r="19963" s="160" customFormat="1" x14ac:dyDescent="0.3"/>
    <row r="19964" s="160" customFormat="1" x14ac:dyDescent="0.3"/>
    <row r="19965" s="160" customFormat="1" x14ac:dyDescent="0.3"/>
    <row r="19966" s="160" customFormat="1" x14ac:dyDescent="0.3"/>
    <row r="19967" s="160" customFormat="1" x14ac:dyDescent="0.3"/>
    <row r="19968" s="160" customFormat="1" x14ac:dyDescent="0.3"/>
    <row r="19969" s="160" customFormat="1" x14ac:dyDescent="0.3"/>
    <row r="19970" s="160" customFormat="1" x14ac:dyDescent="0.3"/>
    <row r="19971" s="160" customFormat="1" x14ac:dyDescent="0.3"/>
    <row r="19972" s="160" customFormat="1" x14ac:dyDescent="0.3"/>
    <row r="19973" s="160" customFormat="1" x14ac:dyDescent="0.3"/>
    <row r="19974" s="160" customFormat="1" x14ac:dyDescent="0.3"/>
    <row r="19975" s="160" customFormat="1" x14ac:dyDescent="0.3"/>
    <row r="19976" s="160" customFormat="1" x14ac:dyDescent="0.3"/>
    <row r="19977" s="160" customFormat="1" x14ac:dyDescent="0.3"/>
    <row r="19978" s="160" customFormat="1" x14ac:dyDescent="0.3"/>
    <row r="19979" s="160" customFormat="1" x14ac:dyDescent="0.3"/>
    <row r="19980" s="160" customFormat="1" x14ac:dyDescent="0.3"/>
    <row r="19981" s="160" customFormat="1" x14ac:dyDescent="0.3"/>
    <row r="19982" s="160" customFormat="1" x14ac:dyDescent="0.3"/>
    <row r="19983" s="160" customFormat="1" x14ac:dyDescent="0.3"/>
    <row r="19984" s="160" customFormat="1" x14ac:dyDescent="0.3"/>
    <row r="19985" s="160" customFormat="1" x14ac:dyDescent="0.3"/>
    <row r="19986" s="160" customFormat="1" x14ac:dyDescent="0.3"/>
    <row r="19987" s="160" customFormat="1" x14ac:dyDescent="0.3"/>
    <row r="19988" s="160" customFormat="1" x14ac:dyDescent="0.3"/>
    <row r="19989" s="160" customFormat="1" x14ac:dyDescent="0.3"/>
    <row r="19990" s="160" customFormat="1" x14ac:dyDescent="0.3"/>
    <row r="19991" s="160" customFormat="1" x14ac:dyDescent="0.3"/>
    <row r="19992" s="160" customFormat="1" x14ac:dyDescent="0.3"/>
    <row r="19993" s="160" customFormat="1" x14ac:dyDescent="0.3"/>
    <row r="19994" s="160" customFormat="1" x14ac:dyDescent="0.3"/>
    <row r="19995" s="160" customFormat="1" x14ac:dyDescent="0.3"/>
    <row r="19996" s="160" customFormat="1" x14ac:dyDescent="0.3"/>
    <row r="19997" s="160" customFormat="1" x14ac:dyDescent="0.3"/>
    <row r="19998" s="160" customFormat="1" x14ac:dyDescent="0.3"/>
    <row r="19999" s="160" customFormat="1" x14ac:dyDescent="0.3"/>
    <row r="20000" s="160" customFormat="1" x14ac:dyDescent="0.3"/>
    <row r="20001" s="160" customFormat="1" x14ac:dyDescent="0.3"/>
    <row r="20002" s="160" customFormat="1" x14ac:dyDescent="0.3"/>
    <row r="20003" s="160" customFormat="1" x14ac:dyDescent="0.3"/>
    <row r="20004" s="160" customFormat="1" x14ac:dyDescent="0.3"/>
    <row r="20005" s="160" customFormat="1" x14ac:dyDescent="0.3"/>
    <row r="20006" s="160" customFormat="1" x14ac:dyDescent="0.3"/>
    <row r="20007" s="160" customFormat="1" x14ac:dyDescent="0.3"/>
    <row r="20008" s="160" customFormat="1" x14ac:dyDescent="0.3"/>
    <row r="20009" s="160" customFormat="1" x14ac:dyDescent="0.3"/>
    <row r="20010" s="160" customFormat="1" x14ac:dyDescent="0.3"/>
    <row r="20011" s="160" customFormat="1" x14ac:dyDescent="0.3"/>
    <row r="20012" s="160" customFormat="1" x14ac:dyDescent="0.3"/>
    <row r="20013" s="160" customFormat="1" x14ac:dyDescent="0.3"/>
    <row r="20014" s="160" customFormat="1" x14ac:dyDescent="0.3"/>
    <row r="20015" s="160" customFormat="1" x14ac:dyDescent="0.3"/>
    <row r="20016" s="160" customFormat="1" x14ac:dyDescent="0.3"/>
    <row r="20017" s="160" customFormat="1" x14ac:dyDescent="0.3"/>
    <row r="20018" s="160" customFormat="1" x14ac:dyDescent="0.3"/>
    <row r="20019" s="160" customFormat="1" x14ac:dyDescent="0.3"/>
    <row r="20020" s="160" customFormat="1" x14ac:dyDescent="0.3"/>
    <row r="20021" s="160" customFormat="1" x14ac:dyDescent="0.3"/>
    <row r="20022" s="160" customFormat="1" x14ac:dyDescent="0.3"/>
    <row r="20023" s="160" customFormat="1" x14ac:dyDescent="0.3"/>
    <row r="20024" s="160" customFormat="1" x14ac:dyDescent="0.3"/>
    <row r="20025" s="160" customFormat="1" x14ac:dyDescent="0.3"/>
    <row r="20026" s="160" customFormat="1" x14ac:dyDescent="0.3"/>
    <row r="20027" s="160" customFormat="1" x14ac:dyDescent="0.3"/>
    <row r="20028" s="160" customFormat="1" x14ac:dyDescent="0.3"/>
    <row r="20029" s="160" customFormat="1" x14ac:dyDescent="0.3"/>
    <row r="20030" s="160" customFormat="1" x14ac:dyDescent="0.3"/>
    <row r="20031" s="160" customFormat="1" x14ac:dyDescent="0.3"/>
    <row r="20032" s="160" customFormat="1" x14ac:dyDescent="0.3"/>
    <row r="20033" s="160" customFormat="1" x14ac:dyDescent="0.3"/>
    <row r="20034" s="160" customFormat="1" x14ac:dyDescent="0.3"/>
    <row r="20035" s="160" customFormat="1" x14ac:dyDescent="0.3"/>
    <row r="20036" s="160" customFormat="1" x14ac:dyDescent="0.3"/>
    <row r="20037" s="160" customFormat="1" x14ac:dyDescent="0.3"/>
    <row r="20038" s="160" customFormat="1" x14ac:dyDescent="0.3"/>
    <row r="20039" s="160" customFormat="1" x14ac:dyDescent="0.3"/>
    <row r="20040" s="160" customFormat="1" x14ac:dyDescent="0.3"/>
    <row r="20041" s="160" customFormat="1" x14ac:dyDescent="0.3"/>
    <row r="20042" s="160" customFormat="1" x14ac:dyDescent="0.3"/>
    <row r="20043" s="160" customFormat="1" x14ac:dyDescent="0.3"/>
    <row r="20044" s="160" customFormat="1" x14ac:dyDescent="0.3"/>
    <row r="20045" s="160" customFormat="1" x14ac:dyDescent="0.3"/>
    <row r="20046" s="160" customFormat="1" x14ac:dyDescent="0.3"/>
    <row r="20047" s="160" customFormat="1" x14ac:dyDescent="0.3"/>
    <row r="20048" s="160" customFormat="1" x14ac:dyDescent="0.3"/>
    <row r="20049" s="160" customFormat="1" x14ac:dyDescent="0.3"/>
    <row r="20050" s="160" customFormat="1" x14ac:dyDescent="0.3"/>
    <row r="20051" s="160" customFormat="1" x14ac:dyDescent="0.3"/>
    <row r="20052" s="160" customFormat="1" x14ac:dyDescent="0.3"/>
    <row r="20053" s="160" customFormat="1" x14ac:dyDescent="0.3"/>
    <row r="20054" s="160" customFormat="1" x14ac:dyDescent="0.3"/>
    <row r="20055" s="160" customFormat="1" x14ac:dyDescent="0.3"/>
    <row r="20056" s="160" customFormat="1" x14ac:dyDescent="0.3"/>
    <row r="20057" s="160" customFormat="1" x14ac:dyDescent="0.3"/>
    <row r="20058" s="160" customFormat="1" x14ac:dyDescent="0.3"/>
    <row r="20059" s="160" customFormat="1" x14ac:dyDescent="0.3"/>
    <row r="20060" s="160" customFormat="1" x14ac:dyDescent="0.3"/>
    <row r="20061" s="160" customFormat="1" x14ac:dyDescent="0.3"/>
    <row r="20062" s="160" customFormat="1" x14ac:dyDescent="0.3"/>
    <row r="20063" s="160" customFormat="1" x14ac:dyDescent="0.3"/>
    <row r="20064" s="160" customFormat="1" x14ac:dyDescent="0.3"/>
    <row r="20065" s="160" customFormat="1" x14ac:dyDescent="0.3"/>
    <row r="20066" s="160" customFormat="1" x14ac:dyDescent="0.3"/>
    <row r="20067" s="160" customFormat="1" x14ac:dyDescent="0.3"/>
    <row r="20068" s="160" customFormat="1" x14ac:dyDescent="0.3"/>
    <row r="20069" s="160" customFormat="1" x14ac:dyDescent="0.3"/>
    <row r="20070" s="160" customFormat="1" x14ac:dyDescent="0.3"/>
    <row r="20071" s="160" customFormat="1" x14ac:dyDescent="0.3"/>
    <row r="20072" s="160" customFormat="1" x14ac:dyDescent="0.3"/>
    <row r="20073" s="160" customFormat="1" x14ac:dyDescent="0.3"/>
    <row r="20074" s="160" customFormat="1" x14ac:dyDescent="0.3"/>
    <row r="20075" s="160" customFormat="1" x14ac:dyDescent="0.3"/>
    <row r="20076" s="160" customFormat="1" x14ac:dyDescent="0.3"/>
    <row r="20077" s="160" customFormat="1" x14ac:dyDescent="0.3"/>
    <row r="20078" s="160" customFormat="1" x14ac:dyDescent="0.3"/>
    <row r="20079" s="160" customFormat="1" x14ac:dyDescent="0.3"/>
    <row r="20080" s="160" customFormat="1" x14ac:dyDescent="0.3"/>
    <row r="20081" s="160" customFormat="1" x14ac:dyDescent="0.3"/>
    <row r="20082" s="160" customFormat="1" x14ac:dyDescent="0.3"/>
    <row r="20083" s="160" customFormat="1" x14ac:dyDescent="0.3"/>
    <row r="20084" s="160" customFormat="1" x14ac:dyDescent="0.3"/>
    <row r="20085" s="160" customFormat="1" x14ac:dyDescent="0.3"/>
    <row r="20086" s="160" customFormat="1" x14ac:dyDescent="0.3"/>
    <row r="20087" s="160" customFormat="1" x14ac:dyDescent="0.3"/>
    <row r="20088" s="160" customFormat="1" x14ac:dyDescent="0.3"/>
    <row r="20089" s="160" customFormat="1" x14ac:dyDescent="0.3"/>
    <row r="20090" s="160" customFormat="1" x14ac:dyDescent="0.3"/>
    <row r="20091" s="160" customFormat="1" x14ac:dyDescent="0.3"/>
    <row r="20092" s="160" customFormat="1" x14ac:dyDescent="0.3"/>
    <row r="20093" s="160" customFormat="1" x14ac:dyDescent="0.3"/>
    <row r="20094" s="160" customFormat="1" x14ac:dyDescent="0.3"/>
    <row r="20095" s="160" customFormat="1" x14ac:dyDescent="0.3"/>
    <row r="20096" s="160" customFormat="1" x14ac:dyDescent="0.3"/>
    <row r="20097" s="160" customFormat="1" x14ac:dyDescent="0.3"/>
    <row r="20098" s="160" customFormat="1" x14ac:dyDescent="0.3"/>
    <row r="20099" s="160" customFormat="1" x14ac:dyDescent="0.3"/>
    <row r="20100" s="160" customFormat="1" x14ac:dyDescent="0.3"/>
    <row r="20101" s="160" customFormat="1" x14ac:dyDescent="0.3"/>
    <row r="20102" s="160" customFormat="1" x14ac:dyDescent="0.3"/>
    <row r="20103" s="160" customFormat="1" x14ac:dyDescent="0.3"/>
    <row r="20104" s="160" customFormat="1" x14ac:dyDescent="0.3"/>
    <row r="20105" s="160" customFormat="1" x14ac:dyDescent="0.3"/>
    <row r="20106" s="160" customFormat="1" x14ac:dyDescent="0.3"/>
    <row r="20107" s="160" customFormat="1" x14ac:dyDescent="0.3"/>
    <row r="20108" s="160" customFormat="1" x14ac:dyDescent="0.3"/>
    <row r="20109" s="160" customFormat="1" x14ac:dyDescent="0.3"/>
    <row r="20110" s="160" customFormat="1" x14ac:dyDescent="0.3"/>
    <row r="20111" s="160" customFormat="1" x14ac:dyDescent="0.3"/>
    <row r="20112" s="160" customFormat="1" x14ac:dyDescent="0.3"/>
    <row r="20113" s="160" customFormat="1" x14ac:dyDescent="0.3"/>
    <row r="20114" s="160" customFormat="1" x14ac:dyDescent="0.3"/>
    <row r="20115" s="160" customFormat="1" x14ac:dyDescent="0.3"/>
    <row r="20116" s="160" customFormat="1" x14ac:dyDescent="0.3"/>
    <row r="20117" s="160" customFormat="1" x14ac:dyDescent="0.3"/>
    <row r="20118" s="160" customFormat="1" x14ac:dyDescent="0.3"/>
    <row r="20119" s="160" customFormat="1" x14ac:dyDescent="0.3"/>
    <row r="20120" s="160" customFormat="1" x14ac:dyDescent="0.3"/>
    <row r="20121" s="160" customFormat="1" x14ac:dyDescent="0.3"/>
    <row r="20122" s="160" customFormat="1" x14ac:dyDescent="0.3"/>
    <row r="20123" s="160" customFormat="1" x14ac:dyDescent="0.3"/>
    <row r="20124" s="160" customFormat="1" x14ac:dyDescent="0.3"/>
    <row r="20125" s="160" customFormat="1" x14ac:dyDescent="0.3"/>
    <row r="20126" s="160" customFormat="1" x14ac:dyDescent="0.3"/>
    <row r="20127" s="160" customFormat="1" x14ac:dyDescent="0.3"/>
    <row r="20128" s="160" customFormat="1" x14ac:dyDescent="0.3"/>
    <row r="20129" s="160" customFormat="1" x14ac:dyDescent="0.3"/>
    <row r="20130" s="160" customFormat="1" x14ac:dyDescent="0.3"/>
    <row r="20131" s="160" customFormat="1" x14ac:dyDescent="0.3"/>
    <row r="20132" s="160" customFormat="1" x14ac:dyDescent="0.3"/>
    <row r="20133" s="160" customFormat="1" x14ac:dyDescent="0.3"/>
    <row r="20134" s="160" customFormat="1" x14ac:dyDescent="0.3"/>
    <row r="20135" s="160" customFormat="1" x14ac:dyDescent="0.3"/>
    <row r="20136" s="160" customFormat="1" x14ac:dyDescent="0.3"/>
    <row r="20137" s="160" customFormat="1" x14ac:dyDescent="0.3"/>
    <row r="20138" s="160" customFormat="1" x14ac:dyDescent="0.3"/>
    <row r="20139" s="160" customFormat="1" x14ac:dyDescent="0.3"/>
    <row r="20140" s="160" customFormat="1" x14ac:dyDescent="0.3"/>
    <row r="20141" s="160" customFormat="1" x14ac:dyDescent="0.3"/>
    <row r="20142" s="160" customFormat="1" x14ac:dyDescent="0.3"/>
    <row r="20143" s="160" customFormat="1" x14ac:dyDescent="0.3"/>
    <row r="20144" s="160" customFormat="1" x14ac:dyDescent="0.3"/>
    <row r="20145" s="160" customFormat="1" x14ac:dyDescent="0.3"/>
    <row r="20146" s="160" customFormat="1" x14ac:dyDescent="0.3"/>
    <row r="20147" s="160" customFormat="1" x14ac:dyDescent="0.3"/>
    <row r="20148" s="160" customFormat="1" x14ac:dyDescent="0.3"/>
    <row r="20149" s="160" customFormat="1" x14ac:dyDescent="0.3"/>
    <row r="20150" s="160" customFormat="1" x14ac:dyDescent="0.3"/>
    <row r="20151" s="160" customFormat="1" x14ac:dyDescent="0.3"/>
    <row r="20152" s="160" customFormat="1" x14ac:dyDescent="0.3"/>
    <row r="20153" s="160" customFormat="1" x14ac:dyDescent="0.3"/>
    <row r="20154" s="160" customFormat="1" x14ac:dyDescent="0.3"/>
    <row r="20155" s="160" customFormat="1" x14ac:dyDescent="0.3"/>
    <row r="20156" s="160" customFormat="1" x14ac:dyDescent="0.3"/>
    <row r="20157" s="160" customFormat="1" x14ac:dyDescent="0.3"/>
    <row r="20158" s="160" customFormat="1" x14ac:dyDescent="0.3"/>
    <row r="20159" s="160" customFormat="1" x14ac:dyDescent="0.3"/>
    <row r="20160" s="160" customFormat="1" x14ac:dyDescent="0.3"/>
    <row r="20161" s="160" customFormat="1" x14ac:dyDescent="0.3"/>
    <row r="20162" s="160" customFormat="1" x14ac:dyDescent="0.3"/>
    <row r="20163" s="160" customFormat="1" x14ac:dyDescent="0.3"/>
    <row r="20164" s="160" customFormat="1" x14ac:dyDescent="0.3"/>
    <row r="20165" s="160" customFormat="1" x14ac:dyDescent="0.3"/>
    <row r="20166" s="160" customFormat="1" x14ac:dyDescent="0.3"/>
    <row r="20167" s="160" customFormat="1" x14ac:dyDescent="0.3"/>
    <row r="20168" s="160" customFormat="1" x14ac:dyDescent="0.3"/>
    <row r="20169" s="160" customFormat="1" x14ac:dyDescent="0.3"/>
    <row r="20170" s="160" customFormat="1" x14ac:dyDescent="0.3"/>
    <row r="20171" s="160" customFormat="1" x14ac:dyDescent="0.3"/>
    <row r="20172" s="160" customFormat="1" x14ac:dyDescent="0.3"/>
    <row r="20173" s="160" customFormat="1" x14ac:dyDescent="0.3"/>
    <row r="20174" s="160" customFormat="1" x14ac:dyDescent="0.3"/>
    <row r="20175" s="160" customFormat="1" x14ac:dyDescent="0.3"/>
    <row r="20176" s="160" customFormat="1" x14ac:dyDescent="0.3"/>
    <row r="20177" s="160" customFormat="1" x14ac:dyDescent="0.3"/>
    <row r="20178" s="160" customFormat="1" x14ac:dyDescent="0.3"/>
    <row r="20179" s="160" customFormat="1" x14ac:dyDescent="0.3"/>
    <row r="20180" s="160" customFormat="1" x14ac:dyDescent="0.3"/>
    <row r="20181" s="160" customFormat="1" x14ac:dyDescent="0.3"/>
    <row r="20182" s="160" customFormat="1" x14ac:dyDescent="0.3"/>
    <row r="20183" s="160" customFormat="1" x14ac:dyDescent="0.3"/>
    <row r="20184" s="160" customFormat="1" x14ac:dyDescent="0.3"/>
    <row r="20185" s="160" customFormat="1" x14ac:dyDescent="0.3"/>
    <row r="20186" s="160" customFormat="1" x14ac:dyDescent="0.3"/>
    <row r="20187" s="160" customFormat="1" x14ac:dyDescent="0.3"/>
    <row r="20188" s="160" customFormat="1" x14ac:dyDescent="0.3"/>
    <row r="20189" s="160" customFormat="1" x14ac:dyDescent="0.3"/>
    <row r="20190" s="160" customFormat="1" x14ac:dyDescent="0.3"/>
    <row r="20191" s="160" customFormat="1" x14ac:dyDescent="0.3"/>
    <row r="20192" s="160" customFormat="1" x14ac:dyDescent="0.3"/>
    <row r="20193" s="160" customFormat="1" x14ac:dyDescent="0.3"/>
    <row r="20194" s="160" customFormat="1" x14ac:dyDescent="0.3"/>
    <row r="20195" s="160" customFormat="1" x14ac:dyDescent="0.3"/>
    <row r="20196" s="160" customFormat="1" x14ac:dyDescent="0.3"/>
    <row r="20197" s="160" customFormat="1" x14ac:dyDescent="0.3"/>
    <row r="20198" s="160" customFormat="1" x14ac:dyDescent="0.3"/>
    <row r="20199" s="160" customFormat="1" x14ac:dyDescent="0.3"/>
    <row r="20200" s="160" customFormat="1" x14ac:dyDescent="0.3"/>
    <row r="20201" s="160" customFormat="1" x14ac:dyDescent="0.3"/>
    <row r="20202" s="160" customFormat="1" x14ac:dyDescent="0.3"/>
    <row r="20203" s="160" customFormat="1" x14ac:dyDescent="0.3"/>
    <row r="20204" s="160" customFormat="1" x14ac:dyDescent="0.3"/>
    <row r="20205" s="160" customFormat="1" x14ac:dyDescent="0.3"/>
    <row r="20206" s="160" customFormat="1" x14ac:dyDescent="0.3"/>
    <row r="20207" s="160" customFormat="1" x14ac:dyDescent="0.3"/>
    <row r="20208" s="160" customFormat="1" x14ac:dyDescent="0.3"/>
    <row r="20209" s="160" customFormat="1" x14ac:dyDescent="0.3"/>
    <row r="20210" s="160" customFormat="1" x14ac:dyDescent="0.3"/>
    <row r="20211" s="160" customFormat="1" x14ac:dyDescent="0.3"/>
    <row r="20212" s="160" customFormat="1" x14ac:dyDescent="0.3"/>
    <row r="20213" s="160" customFormat="1" x14ac:dyDescent="0.3"/>
    <row r="20214" s="160" customFormat="1" x14ac:dyDescent="0.3"/>
    <row r="20215" s="160" customFormat="1" x14ac:dyDescent="0.3"/>
    <row r="20216" s="160" customFormat="1" x14ac:dyDescent="0.3"/>
    <row r="20217" s="160" customFormat="1" x14ac:dyDescent="0.3"/>
    <row r="20218" s="160" customFormat="1" x14ac:dyDescent="0.3"/>
    <row r="20219" s="160" customFormat="1" x14ac:dyDescent="0.3"/>
    <row r="20220" s="160" customFormat="1" x14ac:dyDescent="0.3"/>
    <row r="20221" s="160" customFormat="1" x14ac:dyDescent="0.3"/>
    <row r="20222" s="160" customFormat="1" x14ac:dyDescent="0.3"/>
    <row r="20223" s="160" customFormat="1" x14ac:dyDescent="0.3"/>
    <row r="20224" s="160" customFormat="1" x14ac:dyDescent="0.3"/>
    <row r="20225" s="160" customFormat="1" x14ac:dyDescent="0.3"/>
    <row r="20226" s="160" customFormat="1" x14ac:dyDescent="0.3"/>
    <row r="20227" s="160" customFormat="1" x14ac:dyDescent="0.3"/>
    <row r="20228" s="160" customFormat="1" x14ac:dyDescent="0.3"/>
    <row r="20229" s="160" customFormat="1" x14ac:dyDescent="0.3"/>
    <row r="20230" s="160" customFormat="1" x14ac:dyDescent="0.3"/>
    <row r="20231" s="160" customFormat="1" x14ac:dyDescent="0.3"/>
    <row r="20232" s="160" customFormat="1" x14ac:dyDescent="0.3"/>
    <row r="20233" s="160" customFormat="1" x14ac:dyDescent="0.3"/>
    <row r="20234" s="160" customFormat="1" x14ac:dyDescent="0.3"/>
    <row r="20235" s="160" customFormat="1" x14ac:dyDescent="0.3"/>
    <row r="20236" s="160" customFormat="1" x14ac:dyDescent="0.3"/>
    <row r="20237" s="160" customFormat="1" x14ac:dyDescent="0.3"/>
    <row r="20238" s="160" customFormat="1" x14ac:dyDescent="0.3"/>
    <row r="20239" s="160" customFormat="1" x14ac:dyDescent="0.3"/>
    <row r="20240" s="160" customFormat="1" x14ac:dyDescent="0.3"/>
    <row r="20241" s="160" customFormat="1" x14ac:dyDescent="0.3"/>
    <row r="20242" s="160" customFormat="1" x14ac:dyDescent="0.3"/>
    <row r="20243" s="160" customFormat="1" x14ac:dyDescent="0.3"/>
    <row r="20244" s="160" customFormat="1" x14ac:dyDescent="0.3"/>
    <row r="20245" s="160" customFormat="1" x14ac:dyDescent="0.3"/>
    <row r="20246" s="160" customFormat="1" x14ac:dyDescent="0.3"/>
    <row r="20247" s="160" customFormat="1" x14ac:dyDescent="0.3"/>
    <row r="20248" s="160" customFormat="1" x14ac:dyDescent="0.3"/>
    <row r="20249" s="160" customFormat="1" x14ac:dyDescent="0.3"/>
    <row r="20250" s="160" customFormat="1" x14ac:dyDescent="0.3"/>
    <row r="20251" s="160" customFormat="1" x14ac:dyDescent="0.3"/>
    <row r="20252" s="160" customFormat="1" x14ac:dyDescent="0.3"/>
    <row r="20253" s="160" customFormat="1" x14ac:dyDescent="0.3"/>
    <row r="20254" s="160" customFormat="1" x14ac:dyDescent="0.3"/>
    <row r="20255" s="160" customFormat="1" x14ac:dyDescent="0.3"/>
    <row r="20256" s="160" customFormat="1" x14ac:dyDescent="0.3"/>
    <row r="20257" s="160" customFormat="1" x14ac:dyDescent="0.3"/>
    <row r="20258" s="160" customFormat="1" x14ac:dyDescent="0.3"/>
    <row r="20259" s="160" customFormat="1" x14ac:dyDescent="0.3"/>
    <row r="20260" s="160" customFormat="1" x14ac:dyDescent="0.3"/>
    <row r="20261" s="160" customFormat="1" x14ac:dyDescent="0.3"/>
    <row r="20262" s="160" customFormat="1" x14ac:dyDescent="0.3"/>
    <row r="20263" s="160" customFormat="1" x14ac:dyDescent="0.3"/>
    <row r="20264" s="160" customFormat="1" x14ac:dyDescent="0.3"/>
    <row r="20265" s="160" customFormat="1" x14ac:dyDescent="0.3"/>
    <row r="20266" s="160" customFormat="1" x14ac:dyDescent="0.3"/>
    <row r="20267" s="160" customFormat="1" x14ac:dyDescent="0.3"/>
    <row r="20268" s="160" customFormat="1" x14ac:dyDescent="0.3"/>
    <row r="20269" s="160" customFormat="1" x14ac:dyDescent="0.3"/>
    <row r="20270" s="160" customFormat="1" x14ac:dyDescent="0.3"/>
    <row r="20271" s="160" customFormat="1" x14ac:dyDescent="0.3"/>
    <row r="20272" s="160" customFormat="1" x14ac:dyDescent="0.3"/>
    <row r="20273" s="160" customFormat="1" x14ac:dyDescent="0.3"/>
    <row r="20274" s="160" customFormat="1" x14ac:dyDescent="0.3"/>
    <row r="20275" s="160" customFormat="1" x14ac:dyDescent="0.3"/>
    <row r="20276" s="160" customFormat="1" x14ac:dyDescent="0.3"/>
    <row r="20277" s="160" customFormat="1" x14ac:dyDescent="0.3"/>
    <row r="20278" s="160" customFormat="1" x14ac:dyDescent="0.3"/>
    <row r="20279" s="160" customFormat="1" x14ac:dyDescent="0.3"/>
    <row r="20280" s="160" customFormat="1" x14ac:dyDescent="0.3"/>
    <row r="20281" s="160" customFormat="1" x14ac:dyDescent="0.3"/>
    <row r="20282" s="160" customFormat="1" x14ac:dyDescent="0.3"/>
    <row r="20283" s="160" customFormat="1" x14ac:dyDescent="0.3"/>
    <row r="20284" s="160" customFormat="1" x14ac:dyDescent="0.3"/>
    <row r="20285" s="160" customFormat="1" x14ac:dyDescent="0.3"/>
    <row r="20286" s="160" customFormat="1" x14ac:dyDescent="0.3"/>
    <row r="20287" s="160" customFormat="1" x14ac:dyDescent="0.3"/>
    <row r="20288" s="160" customFormat="1" x14ac:dyDescent="0.3"/>
    <row r="20289" s="160" customFormat="1" x14ac:dyDescent="0.3"/>
    <row r="20290" s="160" customFormat="1" x14ac:dyDescent="0.3"/>
    <row r="20291" s="160" customFormat="1" x14ac:dyDescent="0.3"/>
    <row r="20292" s="160" customFormat="1" x14ac:dyDescent="0.3"/>
    <row r="20293" s="160" customFormat="1" x14ac:dyDescent="0.3"/>
    <row r="20294" s="160" customFormat="1" x14ac:dyDescent="0.3"/>
    <row r="20295" s="160" customFormat="1" x14ac:dyDescent="0.3"/>
    <row r="20296" s="160" customFormat="1" x14ac:dyDescent="0.3"/>
    <row r="20297" s="160" customFormat="1" x14ac:dyDescent="0.3"/>
    <row r="20298" s="160" customFormat="1" x14ac:dyDescent="0.3"/>
    <row r="20299" s="160" customFormat="1" x14ac:dyDescent="0.3"/>
    <row r="20300" s="160" customFormat="1" x14ac:dyDescent="0.3"/>
    <row r="20301" s="160" customFormat="1" x14ac:dyDescent="0.3"/>
    <row r="20302" s="160" customFormat="1" x14ac:dyDescent="0.3"/>
    <row r="20303" s="160" customFormat="1" x14ac:dyDescent="0.3"/>
    <row r="20304" s="160" customFormat="1" x14ac:dyDescent="0.3"/>
    <row r="20305" s="160" customFormat="1" x14ac:dyDescent="0.3"/>
    <row r="20306" s="160" customFormat="1" x14ac:dyDescent="0.3"/>
    <row r="20307" s="160" customFormat="1" x14ac:dyDescent="0.3"/>
    <row r="20308" s="160" customFormat="1" x14ac:dyDescent="0.3"/>
    <row r="20309" s="160" customFormat="1" x14ac:dyDescent="0.3"/>
    <row r="20310" s="160" customFormat="1" x14ac:dyDescent="0.3"/>
    <row r="20311" s="160" customFormat="1" x14ac:dyDescent="0.3"/>
    <row r="20312" s="160" customFormat="1" x14ac:dyDescent="0.3"/>
    <row r="20313" s="160" customFormat="1" x14ac:dyDescent="0.3"/>
    <row r="20314" s="160" customFormat="1" x14ac:dyDescent="0.3"/>
    <row r="20315" s="160" customFormat="1" x14ac:dyDescent="0.3"/>
    <row r="20316" s="160" customFormat="1" x14ac:dyDescent="0.3"/>
    <row r="20317" s="160" customFormat="1" x14ac:dyDescent="0.3"/>
    <row r="20318" s="160" customFormat="1" x14ac:dyDescent="0.3"/>
    <row r="20319" s="160" customFormat="1" x14ac:dyDescent="0.3"/>
    <row r="20320" s="160" customFormat="1" x14ac:dyDescent="0.3"/>
    <row r="20321" s="160" customFormat="1" x14ac:dyDescent="0.3"/>
    <row r="20322" s="160" customFormat="1" x14ac:dyDescent="0.3"/>
    <row r="20323" s="160" customFormat="1" x14ac:dyDescent="0.3"/>
    <row r="20324" s="160" customFormat="1" x14ac:dyDescent="0.3"/>
    <row r="20325" s="160" customFormat="1" x14ac:dyDescent="0.3"/>
    <row r="20326" s="160" customFormat="1" x14ac:dyDescent="0.3"/>
    <row r="20327" s="160" customFormat="1" x14ac:dyDescent="0.3"/>
    <row r="20328" s="160" customFormat="1" x14ac:dyDescent="0.3"/>
    <row r="20329" s="160" customFormat="1" x14ac:dyDescent="0.3"/>
    <row r="20330" s="160" customFormat="1" x14ac:dyDescent="0.3"/>
    <row r="20331" s="160" customFormat="1" x14ac:dyDescent="0.3"/>
    <row r="20332" s="160" customFormat="1" x14ac:dyDescent="0.3"/>
    <row r="20333" s="160" customFormat="1" x14ac:dyDescent="0.3"/>
    <row r="20334" s="160" customFormat="1" x14ac:dyDescent="0.3"/>
    <row r="20335" s="160" customFormat="1" x14ac:dyDescent="0.3"/>
    <row r="20336" s="160" customFormat="1" x14ac:dyDescent="0.3"/>
    <row r="20337" s="160" customFormat="1" x14ac:dyDescent="0.3"/>
    <row r="20338" s="160" customFormat="1" x14ac:dyDescent="0.3"/>
    <row r="20339" s="160" customFormat="1" x14ac:dyDescent="0.3"/>
    <row r="20340" s="160" customFormat="1" x14ac:dyDescent="0.3"/>
    <row r="20341" s="160" customFormat="1" x14ac:dyDescent="0.3"/>
    <row r="20342" s="160" customFormat="1" x14ac:dyDescent="0.3"/>
    <row r="20343" s="160" customFormat="1" x14ac:dyDescent="0.3"/>
    <row r="20344" s="160" customFormat="1" x14ac:dyDescent="0.3"/>
    <row r="20345" s="160" customFormat="1" x14ac:dyDescent="0.3"/>
    <row r="20346" s="160" customFormat="1" x14ac:dyDescent="0.3"/>
    <row r="20347" s="160" customFormat="1" x14ac:dyDescent="0.3"/>
    <row r="20348" s="160" customFormat="1" x14ac:dyDescent="0.3"/>
    <row r="20349" s="160" customFormat="1" x14ac:dyDescent="0.3"/>
    <row r="20350" s="160" customFormat="1" x14ac:dyDescent="0.3"/>
    <row r="20351" s="160" customFormat="1" x14ac:dyDescent="0.3"/>
    <row r="20352" s="160" customFormat="1" x14ac:dyDescent="0.3"/>
    <row r="20353" s="160" customFormat="1" x14ac:dyDescent="0.3"/>
    <row r="20354" s="160" customFormat="1" x14ac:dyDescent="0.3"/>
    <row r="20355" s="160" customFormat="1" x14ac:dyDescent="0.3"/>
    <row r="20356" s="160" customFormat="1" x14ac:dyDescent="0.3"/>
    <row r="20357" s="160" customFormat="1" x14ac:dyDescent="0.3"/>
    <row r="20358" s="160" customFormat="1" x14ac:dyDescent="0.3"/>
    <row r="20359" s="160" customFormat="1" x14ac:dyDescent="0.3"/>
    <row r="20360" s="160" customFormat="1" x14ac:dyDescent="0.3"/>
    <row r="20361" s="160" customFormat="1" x14ac:dyDescent="0.3"/>
    <row r="20362" s="160" customFormat="1" x14ac:dyDescent="0.3"/>
    <row r="20363" s="160" customFormat="1" x14ac:dyDescent="0.3"/>
    <row r="20364" s="160" customFormat="1" x14ac:dyDescent="0.3"/>
    <row r="20365" s="160" customFormat="1" x14ac:dyDescent="0.3"/>
    <row r="20366" s="160" customFormat="1" x14ac:dyDescent="0.3"/>
    <row r="20367" s="160" customFormat="1" x14ac:dyDescent="0.3"/>
    <row r="20368" s="160" customFormat="1" x14ac:dyDescent="0.3"/>
    <row r="20369" s="160" customFormat="1" x14ac:dyDescent="0.3"/>
    <row r="20370" s="160" customFormat="1" x14ac:dyDescent="0.3"/>
    <row r="20371" s="160" customFormat="1" x14ac:dyDescent="0.3"/>
    <row r="20372" s="160" customFormat="1" x14ac:dyDescent="0.3"/>
    <row r="20373" s="160" customFormat="1" x14ac:dyDescent="0.3"/>
    <row r="20374" s="160" customFormat="1" x14ac:dyDescent="0.3"/>
    <row r="20375" s="160" customFormat="1" x14ac:dyDescent="0.3"/>
    <row r="20376" s="160" customFormat="1" x14ac:dyDescent="0.3"/>
    <row r="20377" s="160" customFormat="1" x14ac:dyDescent="0.3"/>
    <row r="20378" s="160" customFormat="1" x14ac:dyDescent="0.3"/>
    <row r="20379" s="160" customFormat="1" x14ac:dyDescent="0.3"/>
    <row r="20380" s="160" customFormat="1" x14ac:dyDescent="0.3"/>
    <row r="20381" s="160" customFormat="1" x14ac:dyDescent="0.3"/>
    <row r="20382" s="160" customFormat="1" x14ac:dyDescent="0.3"/>
    <row r="20383" s="160" customFormat="1" x14ac:dyDescent="0.3"/>
    <row r="20384" s="160" customFormat="1" x14ac:dyDescent="0.3"/>
    <row r="20385" s="160" customFormat="1" x14ac:dyDescent="0.3"/>
    <row r="20386" s="160" customFormat="1" x14ac:dyDescent="0.3"/>
    <row r="20387" s="160" customFormat="1" x14ac:dyDescent="0.3"/>
    <row r="20388" s="160" customFormat="1" x14ac:dyDescent="0.3"/>
    <row r="20389" s="160" customFormat="1" x14ac:dyDescent="0.3"/>
    <row r="20390" s="160" customFormat="1" x14ac:dyDescent="0.3"/>
    <row r="20391" s="160" customFormat="1" x14ac:dyDescent="0.3"/>
    <row r="20392" s="160" customFormat="1" x14ac:dyDescent="0.3"/>
    <row r="20393" s="160" customFormat="1" x14ac:dyDescent="0.3"/>
    <row r="20394" s="160" customFormat="1" x14ac:dyDescent="0.3"/>
    <row r="20395" s="160" customFormat="1" x14ac:dyDescent="0.3"/>
    <row r="20396" s="160" customFormat="1" x14ac:dyDescent="0.3"/>
    <row r="20397" s="160" customFormat="1" x14ac:dyDescent="0.3"/>
    <row r="20398" s="160" customFormat="1" x14ac:dyDescent="0.3"/>
    <row r="20399" s="160" customFormat="1" x14ac:dyDescent="0.3"/>
    <row r="20400" s="160" customFormat="1" x14ac:dyDescent="0.3"/>
    <row r="20401" s="160" customFormat="1" x14ac:dyDescent="0.3"/>
    <row r="20402" s="160" customFormat="1" x14ac:dyDescent="0.3"/>
    <row r="20403" s="160" customFormat="1" x14ac:dyDescent="0.3"/>
    <row r="20404" s="160" customFormat="1" x14ac:dyDescent="0.3"/>
    <row r="20405" s="160" customFormat="1" x14ac:dyDescent="0.3"/>
    <row r="20406" s="160" customFormat="1" x14ac:dyDescent="0.3"/>
    <row r="20407" s="160" customFormat="1" x14ac:dyDescent="0.3"/>
    <row r="20408" s="160" customFormat="1" x14ac:dyDescent="0.3"/>
    <row r="20409" s="160" customFormat="1" x14ac:dyDescent="0.3"/>
    <row r="20410" s="160" customFormat="1" x14ac:dyDescent="0.3"/>
    <row r="20411" s="160" customFormat="1" x14ac:dyDescent="0.3"/>
    <row r="20412" s="160" customFormat="1" x14ac:dyDescent="0.3"/>
    <row r="20413" s="160" customFormat="1" x14ac:dyDescent="0.3"/>
    <row r="20414" s="160" customFormat="1" x14ac:dyDescent="0.3"/>
    <row r="20415" s="160" customFormat="1" x14ac:dyDescent="0.3"/>
    <row r="20416" s="160" customFormat="1" x14ac:dyDescent="0.3"/>
    <row r="20417" s="160" customFormat="1" x14ac:dyDescent="0.3"/>
    <row r="20418" s="160" customFormat="1" x14ac:dyDescent="0.3"/>
    <row r="20419" s="160" customFormat="1" x14ac:dyDescent="0.3"/>
    <row r="20420" s="160" customFormat="1" x14ac:dyDescent="0.3"/>
    <row r="20421" s="160" customFormat="1" x14ac:dyDescent="0.3"/>
    <row r="20422" s="160" customFormat="1" x14ac:dyDescent="0.3"/>
    <row r="20423" s="160" customFormat="1" x14ac:dyDescent="0.3"/>
    <row r="20424" s="160" customFormat="1" x14ac:dyDescent="0.3"/>
    <row r="20425" s="160" customFormat="1" x14ac:dyDescent="0.3"/>
    <row r="20426" s="160" customFormat="1" x14ac:dyDescent="0.3"/>
    <row r="20427" s="160" customFormat="1" x14ac:dyDescent="0.3"/>
    <row r="20428" s="160" customFormat="1" x14ac:dyDescent="0.3"/>
    <row r="20429" s="160" customFormat="1" x14ac:dyDescent="0.3"/>
    <row r="20430" s="160" customFormat="1" x14ac:dyDescent="0.3"/>
    <row r="20431" s="160" customFormat="1" x14ac:dyDescent="0.3"/>
    <row r="20432" s="160" customFormat="1" x14ac:dyDescent="0.3"/>
    <row r="20433" s="160" customFormat="1" x14ac:dyDescent="0.3"/>
    <row r="20434" s="160" customFormat="1" x14ac:dyDescent="0.3"/>
    <row r="20435" s="160" customFormat="1" x14ac:dyDescent="0.3"/>
    <row r="20436" s="160" customFormat="1" x14ac:dyDescent="0.3"/>
    <row r="20437" s="160" customFormat="1" x14ac:dyDescent="0.3"/>
    <row r="20438" s="160" customFormat="1" x14ac:dyDescent="0.3"/>
    <row r="20439" s="160" customFormat="1" x14ac:dyDescent="0.3"/>
    <row r="20440" s="160" customFormat="1" x14ac:dyDescent="0.3"/>
    <row r="20441" s="160" customFormat="1" x14ac:dyDescent="0.3"/>
    <row r="20442" s="160" customFormat="1" x14ac:dyDescent="0.3"/>
    <row r="20443" s="160" customFormat="1" x14ac:dyDescent="0.3"/>
    <row r="20444" s="160" customFormat="1" x14ac:dyDescent="0.3"/>
    <row r="20445" s="160" customFormat="1" x14ac:dyDescent="0.3"/>
    <row r="20446" s="160" customFormat="1" x14ac:dyDescent="0.3"/>
    <row r="20447" s="160" customFormat="1" x14ac:dyDescent="0.3"/>
    <row r="20448" s="160" customFormat="1" x14ac:dyDescent="0.3"/>
    <row r="20449" s="160" customFormat="1" x14ac:dyDescent="0.3"/>
    <row r="20450" s="160" customFormat="1" x14ac:dyDescent="0.3"/>
    <row r="20451" s="160" customFormat="1" x14ac:dyDescent="0.3"/>
    <row r="20452" s="160" customFormat="1" x14ac:dyDescent="0.3"/>
    <row r="20453" s="160" customFormat="1" x14ac:dyDescent="0.3"/>
    <row r="20454" s="160" customFormat="1" x14ac:dyDescent="0.3"/>
    <row r="20455" s="160" customFormat="1" x14ac:dyDescent="0.3"/>
    <row r="20456" s="160" customFormat="1" x14ac:dyDescent="0.3"/>
    <row r="20457" s="160" customFormat="1" x14ac:dyDescent="0.3"/>
    <row r="20458" s="160" customFormat="1" x14ac:dyDescent="0.3"/>
    <row r="20459" s="160" customFormat="1" x14ac:dyDescent="0.3"/>
    <row r="20460" s="160" customFormat="1" x14ac:dyDescent="0.3"/>
    <row r="20461" s="160" customFormat="1" x14ac:dyDescent="0.3"/>
    <row r="20462" s="160" customFormat="1" x14ac:dyDescent="0.3"/>
    <row r="20463" s="160" customFormat="1" x14ac:dyDescent="0.3"/>
    <row r="20464" s="160" customFormat="1" x14ac:dyDescent="0.3"/>
    <row r="20465" s="160" customFormat="1" x14ac:dyDescent="0.3"/>
    <row r="20466" s="160" customFormat="1" x14ac:dyDescent="0.3"/>
    <row r="20467" s="160" customFormat="1" x14ac:dyDescent="0.3"/>
    <row r="20468" s="160" customFormat="1" x14ac:dyDescent="0.3"/>
    <row r="20469" s="160" customFormat="1" x14ac:dyDescent="0.3"/>
    <row r="20470" s="160" customFormat="1" x14ac:dyDescent="0.3"/>
    <row r="20471" s="160" customFormat="1" x14ac:dyDescent="0.3"/>
    <row r="20472" s="160" customFormat="1" x14ac:dyDescent="0.3"/>
    <row r="20473" s="160" customFormat="1" x14ac:dyDescent="0.3"/>
    <row r="20474" s="160" customFormat="1" x14ac:dyDescent="0.3"/>
    <row r="20475" s="160" customFormat="1" x14ac:dyDescent="0.3"/>
    <row r="20476" s="160" customFormat="1" x14ac:dyDescent="0.3"/>
    <row r="20477" s="160" customFormat="1" x14ac:dyDescent="0.3"/>
    <row r="20478" s="160" customFormat="1" x14ac:dyDescent="0.3"/>
    <row r="20479" s="160" customFormat="1" x14ac:dyDescent="0.3"/>
    <row r="20480" s="160" customFormat="1" x14ac:dyDescent="0.3"/>
    <row r="20481" s="160" customFormat="1" x14ac:dyDescent="0.3"/>
    <row r="20482" s="160" customFormat="1" x14ac:dyDescent="0.3"/>
    <row r="20483" s="160" customFormat="1" x14ac:dyDescent="0.3"/>
    <row r="20484" s="160" customFormat="1" x14ac:dyDescent="0.3"/>
    <row r="20485" s="160" customFormat="1" x14ac:dyDescent="0.3"/>
    <row r="20486" s="160" customFormat="1" x14ac:dyDescent="0.3"/>
    <row r="20487" s="160" customFormat="1" x14ac:dyDescent="0.3"/>
    <row r="20488" s="160" customFormat="1" x14ac:dyDescent="0.3"/>
    <row r="20489" s="160" customFormat="1" x14ac:dyDescent="0.3"/>
    <row r="20490" s="160" customFormat="1" x14ac:dyDescent="0.3"/>
    <row r="20491" s="160" customFormat="1" x14ac:dyDescent="0.3"/>
    <row r="20492" s="160" customFormat="1" x14ac:dyDescent="0.3"/>
    <row r="20493" s="160" customFormat="1" x14ac:dyDescent="0.3"/>
    <row r="20494" s="160" customFormat="1" x14ac:dyDescent="0.3"/>
    <row r="20495" s="160" customFormat="1" x14ac:dyDescent="0.3"/>
    <row r="20496" s="160" customFormat="1" x14ac:dyDescent="0.3"/>
    <row r="20497" s="160" customFormat="1" x14ac:dyDescent="0.3"/>
    <row r="20498" s="160" customFormat="1" x14ac:dyDescent="0.3"/>
    <row r="20499" s="160" customFormat="1" x14ac:dyDescent="0.3"/>
    <row r="20500" s="160" customFormat="1" x14ac:dyDescent="0.3"/>
    <row r="20501" s="160" customFormat="1" x14ac:dyDescent="0.3"/>
    <row r="20502" s="160" customFormat="1" x14ac:dyDescent="0.3"/>
    <row r="20503" s="160" customFormat="1" x14ac:dyDescent="0.3"/>
    <row r="20504" s="160" customFormat="1" x14ac:dyDescent="0.3"/>
    <row r="20505" s="160" customFormat="1" x14ac:dyDescent="0.3"/>
    <row r="20506" s="160" customFormat="1" x14ac:dyDescent="0.3"/>
    <row r="20507" s="160" customFormat="1" x14ac:dyDescent="0.3"/>
    <row r="20508" s="160" customFormat="1" x14ac:dyDescent="0.3"/>
    <row r="20509" s="160" customFormat="1" x14ac:dyDescent="0.3"/>
    <row r="20510" s="160" customFormat="1" x14ac:dyDescent="0.3"/>
    <row r="20511" s="160" customFormat="1" x14ac:dyDescent="0.3"/>
    <row r="20512" s="160" customFormat="1" x14ac:dyDescent="0.3"/>
    <row r="20513" s="160" customFormat="1" x14ac:dyDescent="0.3"/>
    <row r="20514" s="160" customFormat="1" x14ac:dyDescent="0.3"/>
    <row r="20515" s="160" customFormat="1" x14ac:dyDescent="0.3"/>
    <row r="20516" s="160" customFormat="1" x14ac:dyDescent="0.3"/>
    <row r="20517" s="160" customFormat="1" x14ac:dyDescent="0.3"/>
    <row r="20518" s="160" customFormat="1" x14ac:dyDescent="0.3"/>
    <row r="20519" s="160" customFormat="1" x14ac:dyDescent="0.3"/>
    <row r="20520" s="160" customFormat="1" x14ac:dyDescent="0.3"/>
    <row r="20521" s="160" customFormat="1" x14ac:dyDescent="0.3"/>
    <row r="20522" s="160" customFormat="1" x14ac:dyDescent="0.3"/>
    <row r="20523" s="160" customFormat="1" x14ac:dyDescent="0.3"/>
    <row r="20524" s="160" customFormat="1" x14ac:dyDescent="0.3"/>
    <row r="20525" s="160" customFormat="1" x14ac:dyDescent="0.3"/>
    <row r="20526" s="160" customFormat="1" x14ac:dyDescent="0.3"/>
    <row r="20527" s="160" customFormat="1" x14ac:dyDescent="0.3"/>
    <row r="20528" s="160" customFormat="1" x14ac:dyDescent="0.3"/>
    <row r="20529" s="160" customFormat="1" x14ac:dyDescent="0.3"/>
    <row r="20530" s="160" customFormat="1" x14ac:dyDescent="0.3"/>
    <row r="20531" s="160" customFormat="1" x14ac:dyDescent="0.3"/>
    <row r="20532" s="160" customFormat="1" x14ac:dyDescent="0.3"/>
    <row r="20533" s="160" customFormat="1" x14ac:dyDescent="0.3"/>
    <row r="20534" s="160" customFormat="1" x14ac:dyDescent="0.3"/>
    <row r="20535" s="160" customFormat="1" x14ac:dyDescent="0.3"/>
    <row r="20536" s="160" customFormat="1" x14ac:dyDescent="0.3"/>
    <row r="20537" s="160" customFormat="1" x14ac:dyDescent="0.3"/>
    <row r="20538" s="160" customFormat="1" x14ac:dyDescent="0.3"/>
    <row r="20539" s="160" customFormat="1" x14ac:dyDescent="0.3"/>
    <row r="20540" s="160" customFormat="1" x14ac:dyDescent="0.3"/>
    <row r="20541" s="160" customFormat="1" x14ac:dyDescent="0.3"/>
    <row r="20542" s="160" customFormat="1" x14ac:dyDescent="0.3"/>
    <row r="20543" s="160" customFormat="1" x14ac:dyDescent="0.3"/>
    <row r="20544" s="160" customFormat="1" x14ac:dyDescent="0.3"/>
    <row r="20545" s="160" customFormat="1" x14ac:dyDescent="0.3"/>
    <row r="20546" s="160" customFormat="1" x14ac:dyDescent="0.3"/>
    <row r="20547" s="160" customFormat="1" x14ac:dyDescent="0.3"/>
    <row r="20548" s="160" customFormat="1" x14ac:dyDescent="0.3"/>
    <row r="20549" s="160" customFormat="1" x14ac:dyDescent="0.3"/>
    <row r="20550" s="160" customFormat="1" x14ac:dyDescent="0.3"/>
    <row r="20551" s="160" customFormat="1" x14ac:dyDescent="0.3"/>
    <row r="20552" s="160" customFormat="1" x14ac:dyDescent="0.3"/>
    <row r="20553" s="160" customFormat="1" x14ac:dyDescent="0.3"/>
    <row r="20554" s="160" customFormat="1" x14ac:dyDescent="0.3"/>
    <row r="20555" s="160" customFormat="1" x14ac:dyDescent="0.3"/>
    <row r="20556" s="160" customFormat="1" x14ac:dyDescent="0.3"/>
    <row r="20557" s="160" customFormat="1" x14ac:dyDescent="0.3"/>
    <row r="20558" s="160" customFormat="1" x14ac:dyDescent="0.3"/>
    <row r="20559" s="160" customFormat="1" x14ac:dyDescent="0.3"/>
    <row r="20560" s="160" customFormat="1" x14ac:dyDescent="0.3"/>
    <row r="20561" s="160" customFormat="1" x14ac:dyDescent="0.3"/>
    <row r="20562" s="160" customFormat="1" x14ac:dyDescent="0.3"/>
    <row r="20563" s="160" customFormat="1" x14ac:dyDescent="0.3"/>
    <row r="20564" s="160" customFormat="1" x14ac:dyDescent="0.3"/>
    <row r="20565" s="160" customFormat="1" x14ac:dyDescent="0.3"/>
    <row r="20566" s="160" customFormat="1" x14ac:dyDescent="0.3"/>
    <row r="20567" s="160" customFormat="1" x14ac:dyDescent="0.3"/>
    <row r="20568" s="160" customFormat="1" x14ac:dyDescent="0.3"/>
    <row r="20569" s="160" customFormat="1" x14ac:dyDescent="0.3"/>
    <row r="20570" s="160" customFormat="1" x14ac:dyDescent="0.3"/>
    <row r="20571" s="160" customFormat="1" x14ac:dyDescent="0.3"/>
    <row r="20572" s="160" customFormat="1" x14ac:dyDescent="0.3"/>
    <row r="20573" s="160" customFormat="1" x14ac:dyDescent="0.3"/>
    <row r="20574" s="160" customFormat="1" x14ac:dyDescent="0.3"/>
    <row r="20575" s="160" customFormat="1" x14ac:dyDescent="0.3"/>
    <row r="20576" s="160" customFormat="1" x14ac:dyDescent="0.3"/>
    <row r="20577" s="160" customFormat="1" x14ac:dyDescent="0.3"/>
    <row r="20578" s="160" customFormat="1" x14ac:dyDescent="0.3"/>
    <row r="20579" s="160" customFormat="1" x14ac:dyDescent="0.3"/>
    <row r="20580" s="160" customFormat="1" x14ac:dyDescent="0.3"/>
    <row r="20581" s="160" customFormat="1" x14ac:dyDescent="0.3"/>
    <row r="20582" s="160" customFormat="1" x14ac:dyDescent="0.3"/>
    <row r="20583" s="160" customFormat="1" x14ac:dyDescent="0.3"/>
    <row r="20584" s="160" customFormat="1" x14ac:dyDescent="0.3"/>
    <row r="20585" s="160" customFormat="1" x14ac:dyDescent="0.3"/>
    <row r="20586" s="160" customFormat="1" x14ac:dyDescent="0.3"/>
    <row r="20587" s="160" customFormat="1" x14ac:dyDescent="0.3"/>
    <row r="20588" s="160" customFormat="1" x14ac:dyDescent="0.3"/>
    <row r="20589" s="160" customFormat="1" x14ac:dyDescent="0.3"/>
    <row r="20590" s="160" customFormat="1" x14ac:dyDescent="0.3"/>
    <row r="20591" s="160" customFormat="1" x14ac:dyDescent="0.3"/>
    <row r="20592" s="160" customFormat="1" x14ac:dyDescent="0.3"/>
    <row r="20593" s="160" customFormat="1" x14ac:dyDescent="0.3"/>
    <row r="20594" s="160" customFormat="1" x14ac:dyDescent="0.3"/>
    <row r="20595" s="160" customFormat="1" x14ac:dyDescent="0.3"/>
    <row r="20596" s="160" customFormat="1" x14ac:dyDescent="0.3"/>
    <row r="20597" s="160" customFormat="1" x14ac:dyDescent="0.3"/>
    <row r="20598" s="160" customFormat="1" x14ac:dyDescent="0.3"/>
    <row r="20599" s="160" customFormat="1" x14ac:dyDescent="0.3"/>
    <row r="20600" s="160" customFormat="1" x14ac:dyDescent="0.3"/>
    <row r="20601" s="160" customFormat="1" x14ac:dyDescent="0.3"/>
    <row r="20602" s="160" customFormat="1" x14ac:dyDescent="0.3"/>
    <row r="20603" s="160" customFormat="1" x14ac:dyDescent="0.3"/>
    <row r="20604" s="160" customFormat="1" x14ac:dyDescent="0.3"/>
    <row r="20605" s="160" customFormat="1" x14ac:dyDescent="0.3"/>
    <row r="20606" s="160" customFormat="1" x14ac:dyDescent="0.3"/>
    <row r="20607" s="160" customFormat="1" x14ac:dyDescent="0.3"/>
    <row r="20608" s="160" customFormat="1" x14ac:dyDescent="0.3"/>
    <row r="20609" s="160" customFormat="1" x14ac:dyDescent="0.3"/>
    <row r="20610" s="160" customFormat="1" x14ac:dyDescent="0.3"/>
    <row r="20611" s="160" customFormat="1" x14ac:dyDescent="0.3"/>
    <row r="20612" s="160" customFormat="1" x14ac:dyDescent="0.3"/>
    <row r="20613" s="160" customFormat="1" x14ac:dyDescent="0.3"/>
    <row r="20614" s="160" customFormat="1" x14ac:dyDescent="0.3"/>
    <row r="20615" s="160" customFormat="1" x14ac:dyDescent="0.3"/>
    <row r="20616" s="160" customFormat="1" x14ac:dyDescent="0.3"/>
    <row r="20617" s="160" customFormat="1" x14ac:dyDescent="0.3"/>
    <row r="20618" s="160" customFormat="1" x14ac:dyDescent="0.3"/>
    <row r="20619" s="160" customFormat="1" x14ac:dyDescent="0.3"/>
    <row r="20620" s="160" customFormat="1" x14ac:dyDescent="0.3"/>
    <row r="20621" s="160" customFormat="1" x14ac:dyDescent="0.3"/>
    <row r="20622" s="160" customFormat="1" x14ac:dyDescent="0.3"/>
    <row r="20623" s="160" customFormat="1" x14ac:dyDescent="0.3"/>
    <row r="20624" s="160" customFormat="1" x14ac:dyDescent="0.3"/>
    <row r="20625" s="160" customFormat="1" x14ac:dyDescent="0.3"/>
    <row r="20626" s="160" customFormat="1" x14ac:dyDescent="0.3"/>
    <row r="20627" s="160" customFormat="1" x14ac:dyDescent="0.3"/>
    <row r="20628" s="160" customFormat="1" x14ac:dyDescent="0.3"/>
    <row r="20629" s="160" customFormat="1" x14ac:dyDescent="0.3"/>
    <row r="20630" s="160" customFormat="1" x14ac:dyDescent="0.3"/>
    <row r="20631" s="160" customFormat="1" x14ac:dyDescent="0.3"/>
    <row r="20632" s="160" customFormat="1" x14ac:dyDescent="0.3"/>
    <row r="20633" s="160" customFormat="1" x14ac:dyDescent="0.3"/>
    <row r="20634" s="160" customFormat="1" x14ac:dyDescent="0.3"/>
    <row r="20635" s="160" customFormat="1" x14ac:dyDescent="0.3"/>
    <row r="20636" s="160" customFormat="1" x14ac:dyDescent="0.3"/>
    <row r="20637" s="160" customFormat="1" x14ac:dyDescent="0.3"/>
    <row r="20638" s="160" customFormat="1" x14ac:dyDescent="0.3"/>
    <row r="20639" s="160" customFormat="1" x14ac:dyDescent="0.3"/>
    <row r="20640" s="160" customFormat="1" x14ac:dyDescent="0.3"/>
    <row r="20641" s="160" customFormat="1" x14ac:dyDescent="0.3"/>
    <row r="20642" s="160" customFormat="1" x14ac:dyDescent="0.3"/>
    <row r="20643" s="160" customFormat="1" x14ac:dyDescent="0.3"/>
    <row r="20644" s="160" customFormat="1" x14ac:dyDescent="0.3"/>
    <row r="20645" s="160" customFormat="1" x14ac:dyDescent="0.3"/>
    <row r="20646" s="160" customFormat="1" x14ac:dyDescent="0.3"/>
    <row r="20647" s="160" customFormat="1" x14ac:dyDescent="0.3"/>
    <row r="20648" s="160" customFormat="1" x14ac:dyDescent="0.3"/>
    <row r="20649" s="160" customFormat="1" x14ac:dyDescent="0.3"/>
    <row r="20650" s="160" customFormat="1" x14ac:dyDescent="0.3"/>
    <row r="20651" s="160" customFormat="1" x14ac:dyDescent="0.3"/>
    <row r="20652" s="160" customFormat="1" x14ac:dyDescent="0.3"/>
    <row r="20653" s="160" customFormat="1" x14ac:dyDescent="0.3"/>
    <row r="20654" s="160" customFormat="1" x14ac:dyDescent="0.3"/>
    <row r="20655" s="160" customFormat="1" x14ac:dyDescent="0.3"/>
    <row r="20656" s="160" customFormat="1" x14ac:dyDescent="0.3"/>
    <row r="20657" s="160" customFormat="1" x14ac:dyDescent="0.3"/>
    <row r="20658" s="160" customFormat="1" x14ac:dyDescent="0.3"/>
    <row r="20659" s="160" customFormat="1" x14ac:dyDescent="0.3"/>
    <row r="20660" s="160" customFormat="1" x14ac:dyDescent="0.3"/>
    <row r="20661" s="160" customFormat="1" x14ac:dyDescent="0.3"/>
    <row r="20662" s="160" customFormat="1" x14ac:dyDescent="0.3"/>
    <row r="20663" s="160" customFormat="1" x14ac:dyDescent="0.3"/>
    <row r="20664" s="160" customFormat="1" x14ac:dyDescent="0.3"/>
    <row r="20665" s="160" customFormat="1" x14ac:dyDescent="0.3"/>
    <row r="20666" s="160" customFormat="1" x14ac:dyDescent="0.3"/>
    <row r="20667" s="160" customFormat="1" x14ac:dyDescent="0.3"/>
    <row r="20668" s="160" customFormat="1" x14ac:dyDescent="0.3"/>
    <row r="20669" s="160" customFormat="1" x14ac:dyDescent="0.3"/>
    <row r="20670" s="160" customFormat="1" x14ac:dyDescent="0.3"/>
    <row r="20671" s="160" customFormat="1" x14ac:dyDescent="0.3"/>
    <row r="20672" s="160" customFormat="1" x14ac:dyDescent="0.3"/>
    <row r="20673" s="160" customFormat="1" x14ac:dyDescent="0.3"/>
    <row r="20674" s="160" customFormat="1" x14ac:dyDescent="0.3"/>
    <row r="20675" s="160" customFormat="1" x14ac:dyDescent="0.3"/>
    <row r="20676" s="160" customFormat="1" x14ac:dyDescent="0.3"/>
    <row r="20677" s="160" customFormat="1" x14ac:dyDescent="0.3"/>
    <row r="20678" s="160" customFormat="1" x14ac:dyDescent="0.3"/>
    <row r="20679" s="160" customFormat="1" x14ac:dyDescent="0.3"/>
    <row r="20680" s="160" customFormat="1" x14ac:dyDescent="0.3"/>
    <row r="20681" s="160" customFormat="1" x14ac:dyDescent="0.3"/>
    <row r="20682" s="160" customFormat="1" x14ac:dyDescent="0.3"/>
    <row r="20683" s="160" customFormat="1" x14ac:dyDescent="0.3"/>
    <row r="20684" s="160" customFormat="1" x14ac:dyDescent="0.3"/>
    <row r="20685" s="160" customFormat="1" x14ac:dyDescent="0.3"/>
    <row r="20686" s="160" customFormat="1" x14ac:dyDescent="0.3"/>
    <row r="20687" s="160" customFormat="1" x14ac:dyDescent="0.3"/>
    <row r="20688" s="160" customFormat="1" x14ac:dyDescent="0.3"/>
    <row r="20689" s="160" customFormat="1" x14ac:dyDescent="0.3"/>
    <row r="20690" s="160" customFormat="1" x14ac:dyDescent="0.3"/>
    <row r="20691" s="160" customFormat="1" x14ac:dyDescent="0.3"/>
    <row r="20692" s="160" customFormat="1" x14ac:dyDescent="0.3"/>
    <row r="20693" s="160" customFormat="1" x14ac:dyDescent="0.3"/>
    <row r="20694" s="160" customFormat="1" x14ac:dyDescent="0.3"/>
    <row r="20695" s="160" customFormat="1" x14ac:dyDescent="0.3"/>
    <row r="20696" s="160" customFormat="1" x14ac:dyDescent="0.3"/>
    <row r="20697" s="160" customFormat="1" x14ac:dyDescent="0.3"/>
    <row r="20698" s="160" customFormat="1" x14ac:dyDescent="0.3"/>
    <row r="20699" s="160" customFormat="1" x14ac:dyDescent="0.3"/>
    <row r="20700" s="160" customFormat="1" x14ac:dyDescent="0.3"/>
    <row r="20701" s="160" customFormat="1" x14ac:dyDescent="0.3"/>
    <row r="20702" s="160" customFormat="1" x14ac:dyDescent="0.3"/>
    <row r="20703" s="160" customFormat="1" x14ac:dyDescent="0.3"/>
    <row r="20704" s="160" customFormat="1" x14ac:dyDescent="0.3"/>
    <row r="20705" s="160" customFormat="1" x14ac:dyDescent="0.3"/>
    <row r="20706" s="160" customFormat="1" x14ac:dyDescent="0.3"/>
    <row r="20707" s="160" customFormat="1" x14ac:dyDescent="0.3"/>
    <row r="20708" s="160" customFormat="1" x14ac:dyDescent="0.3"/>
    <row r="20709" s="160" customFormat="1" x14ac:dyDescent="0.3"/>
    <row r="20710" s="160" customFormat="1" x14ac:dyDescent="0.3"/>
    <row r="20711" s="160" customFormat="1" x14ac:dyDescent="0.3"/>
    <row r="20712" s="160" customFormat="1" x14ac:dyDescent="0.3"/>
    <row r="20713" s="160" customFormat="1" x14ac:dyDescent="0.3"/>
    <row r="20714" s="160" customFormat="1" x14ac:dyDescent="0.3"/>
    <row r="20715" s="160" customFormat="1" x14ac:dyDescent="0.3"/>
    <row r="20716" s="160" customFormat="1" x14ac:dyDescent="0.3"/>
    <row r="20717" s="160" customFormat="1" x14ac:dyDescent="0.3"/>
    <row r="20718" s="160" customFormat="1" x14ac:dyDescent="0.3"/>
    <row r="20719" s="160" customFormat="1" x14ac:dyDescent="0.3"/>
    <row r="20720" s="160" customFormat="1" x14ac:dyDescent="0.3"/>
    <row r="20721" s="160" customFormat="1" x14ac:dyDescent="0.3"/>
    <row r="20722" s="160" customFormat="1" x14ac:dyDescent="0.3"/>
    <row r="20723" s="160" customFormat="1" x14ac:dyDescent="0.3"/>
    <row r="20724" s="160" customFormat="1" x14ac:dyDescent="0.3"/>
    <row r="20725" s="160" customFormat="1" x14ac:dyDescent="0.3"/>
    <row r="20726" s="160" customFormat="1" x14ac:dyDescent="0.3"/>
    <row r="20727" s="160" customFormat="1" x14ac:dyDescent="0.3"/>
    <row r="20728" s="160" customFormat="1" x14ac:dyDescent="0.3"/>
    <row r="20729" s="160" customFormat="1" x14ac:dyDescent="0.3"/>
    <row r="20730" s="160" customFormat="1" x14ac:dyDescent="0.3"/>
    <row r="20731" s="160" customFormat="1" x14ac:dyDescent="0.3"/>
    <row r="20732" s="160" customFormat="1" x14ac:dyDescent="0.3"/>
    <row r="20733" s="160" customFormat="1" x14ac:dyDescent="0.3"/>
    <row r="20734" s="160" customFormat="1" x14ac:dyDescent="0.3"/>
    <row r="20735" s="160" customFormat="1" x14ac:dyDescent="0.3"/>
    <row r="20736" s="160" customFormat="1" x14ac:dyDescent="0.3"/>
    <row r="20737" s="160" customFormat="1" x14ac:dyDescent="0.3"/>
    <row r="20738" s="160" customFormat="1" x14ac:dyDescent="0.3"/>
    <row r="20739" s="160" customFormat="1" x14ac:dyDescent="0.3"/>
    <row r="20740" s="160" customFormat="1" x14ac:dyDescent="0.3"/>
    <row r="20741" s="160" customFormat="1" x14ac:dyDescent="0.3"/>
    <row r="20742" s="160" customFormat="1" x14ac:dyDescent="0.3"/>
    <row r="20743" s="160" customFormat="1" x14ac:dyDescent="0.3"/>
    <row r="20744" s="160" customFormat="1" x14ac:dyDescent="0.3"/>
    <row r="20745" s="160" customFormat="1" x14ac:dyDescent="0.3"/>
    <row r="20746" s="160" customFormat="1" x14ac:dyDescent="0.3"/>
    <row r="20747" s="160" customFormat="1" x14ac:dyDescent="0.3"/>
    <row r="20748" s="160" customFormat="1" x14ac:dyDescent="0.3"/>
    <row r="20749" s="160" customFormat="1" x14ac:dyDescent="0.3"/>
    <row r="20750" s="160" customFormat="1" x14ac:dyDescent="0.3"/>
    <row r="20751" s="160" customFormat="1" x14ac:dyDescent="0.3"/>
    <row r="20752" s="160" customFormat="1" x14ac:dyDescent="0.3"/>
    <row r="20753" s="160" customFormat="1" x14ac:dyDescent="0.3"/>
    <row r="20754" s="160" customFormat="1" x14ac:dyDescent="0.3"/>
    <row r="20755" s="160" customFormat="1" x14ac:dyDescent="0.3"/>
    <row r="20756" s="160" customFormat="1" x14ac:dyDescent="0.3"/>
    <row r="20757" s="160" customFormat="1" x14ac:dyDescent="0.3"/>
    <row r="20758" s="160" customFormat="1" x14ac:dyDescent="0.3"/>
    <row r="20759" s="160" customFormat="1" x14ac:dyDescent="0.3"/>
    <row r="20760" s="160" customFormat="1" x14ac:dyDescent="0.3"/>
    <row r="20761" s="160" customFormat="1" x14ac:dyDescent="0.3"/>
    <row r="20762" s="160" customFormat="1" x14ac:dyDescent="0.3"/>
    <row r="20763" s="160" customFormat="1" x14ac:dyDescent="0.3"/>
    <row r="20764" s="160" customFormat="1" x14ac:dyDescent="0.3"/>
    <row r="20765" s="160" customFormat="1" x14ac:dyDescent="0.3"/>
    <row r="20766" s="160" customFormat="1" x14ac:dyDescent="0.3"/>
    <row r="20767" s="160" customFormat="1" x14ac:dyDescent="0.3"/>
    <row r="20768" s="160" customFormat="1" x14ac:dyDescent="0.3"/>
    <row r="20769" s="160" customFormat="1" x14ac:dyDescent="0.3"/>
    <row r="20770" s="160" customFormat="1" x14ac:dyDescent="0.3"/>
    <row r="20771" s="160" customFormat="1" x14ac:dyDescent="0.3"/>
    <row r="20772" s="160" customFormat="1" x14ac:dyDescent="0.3"/>
    <row r="20773" s="160" customFormat="1" x14ac:dyDescent="0.3"/>
    <row r="20774" s="160" customFormat="1" x14ac:dyDescent="0.3"/>
    <row r="20775" s="160" customFormat="1" x14ac:dyDescent="0.3"/>
    <row r="20776" s="160" customFormat="1" x14ac:dyDescent="0.3"/>
    <row r="20777" s="160" customFormat="1" x14ac:dyDescent="0.3"/>
    <row r="20778" s="160" customFormat="1" x14ac:dyDescent="0.3"/>
    <row r="20779" s="160" customFormat="1" x14ac:dyDescent="0.3"/>
    <row r="20780" s="160" customFormat="1" x14ac:dyDescent="0.3"/>
    <row r="20781" s="160" customFormat="1" x14ac:dyDescent="0.3"/>
    <row r="20782" s="160" customFormat="1" x14ac:dyDescent="0.3"/>
    <row r="20783" s="160" customFormat="1" x14ac:dyDescent="0.3"/>
    <row r="20784" s="160" customFormat="1" x14ac:dyDescent="0.3"/>
    <row r="20785" s="160" customFormat="1" x14ac:dyDescent="0.3"/>
    <row r="20786" s="160" customFormat="1" x14ac:dyDescent="0.3"/>
    <row r="20787" s="160" customFormat="1" x14ac:dyDescent="0.3"/>
    <row r="20788" s="160" customFormat="1" x14ac:dyDescent="0.3"/>
    <row r="20789" s="160" customFormat="1" x14ac:dyDescent="0.3"/>
    <row r="20790" s="160" customFormat="1" x14ac:dyDescent="0.3"/>
    <row r="20791" s="160" customFormat="1" x14ac:dyDescent="0.3"/>
    <row r="20792" s="160" customFormat="1" x14ac:dyDescent="0.3"/>
    <row r="20793" s="160" customFormat="1" x14ac:dyDescent="0.3"/>
    <row r="20794" s="160" customFormat="1" x14ac:dyDescent="0.3"/>
    <row r="20795" s="160" customFormat="1" x14ac:dyDescent="0.3"/>
    <row r="20796" s="160" customFormat="1" x14ac:dyDescent="0.3"/>
    <row r="20797" s="160" customFormat="1" x14ac:dyDescent="0.3"/>
    <row r="20798" s="160" customFormat="1" x14ac:dyDescent="0.3"/>
    <row r="20799" s="160" customFormat="1" x14ac:dyDescent="0.3"/>
    <row r="20800" s="160" customFormat="1" x14ac:dyDescent="0.3"/>
    <row r="20801" s="160" customFormat="1" x14ac:dyDescent="0.3"/>
    <row r="20802" s="160" customFormat="1" x14ac:dyDescent="0.3"/>
    <row r="20803" s="160" customFormat="1" x14ac:dyDescent="0.3"/>
    <row r="20804" s="160" customFormat="1" x14ac:dyDescent="0.3"/>
    <row r="20805" s="160" customFormat="1" x14ac:dyDescent="0.3"/>
    <row r="20806" s="160" customFormat="1" x14ac:dyDescent="0.3"/>
    <row r="20807" s="160" customFormat="1" x14ac:dyDescent="0.3"/>
    <row r="20808" s="160" customFormat="1" x14ac:dyDescent="0.3"/>
    <row r="20809" s="160" customFormat="1" x14ac:dyDescent="0.3"/>
    <row r="20810" s="160" customFormat="1" x14ac:dyDescent="0.3"/>
    <row r="20811" s="160" customFormat="1" x14ac:dyDescent="0.3"/>
    <row r="20812" s="160" customFormat="1" x14ac:dyDescent="0.3"/>
    <row r="20813" s="160" customFormat="1" x14ac:dyDescent="0.3"/>
    <row r="20814" s="160" customFormat="1" x14ac:dyDescent="0.3"/>
    <row r="20815" s="160" customFormat="1" x14ac:dyDescent="0.3"/>
    <row r="20816" s="160" customFormat="1" x14ac:dyDescent="0.3"/>
    <row r="20817" s="160" customFormat="1" x14ac:dyDescent="0.3"/>
    <row r="20818" s="160" customFormat="1" x14ac:dyDescent="0.3"/>
    <row r="20819" s="160" customFormat="1" x14ac:dyDescent="0.3"/>
    <row r="20820" s="160" customFormat="1" x14ac:dyDescent="0.3"/>
    <row r="20821" s="160" customFormat="1" x14ac:dyDescent="0.3"/>
    <row r="20822" s="160" customFormat="1" x14ac:dyDescent="0.3"/>
    <row r="20823" s="160" customFormat="1" x14ac:dyDescent="0.3"/>
    <row r="20824" s="160" customFormat="1" x14ac:dyDescent="0.3"/>
    <row r="20825" s="160" customFormat="1" x14ac:dyDescent="0.3"/>
    <row r="20826" s="160" customFormat="1" x14ac:dyDescent="0.3"/>
    <row r="20827" s="160" customFormat="1" x14ac:dyDescent="0.3"/>
    <row r="20828" s="160" customFormat="1" x14ac:dyDescent="0.3"/>
    <row r="20829" s="160" customFormat="1" x14ac:dyDescent="0.3"/>
    <row r="20830" s="160" customFormat="1" x14ac:dyDescent="0.3"/>
    <row r="20831" s="160" customFormat="1" x14ac:dyDescent="0.3"/>
    <row r="20832" s="160" customFormat="1" x14ac:dyDescent="0.3"/>
    <row r="20833" s="160" customFormat="1" x14ac:dyDescent="0.3"/>
    <row r="20834" s="160" customFormat="1" x14ac:dyDescent="0.3"/>
    <row r="20835" s="160" customFormat="1" x14ac:dyDescent="0.3"/>
    <row r="20836" s="160" customFormat="1" x14ac:dyDescent="0.3"/>
    <row r="20837" s="160" customFormat="1" x14ac:dyDescent="0.3"/>
    <row r="20838" s="160" customFormat="1" x14ac:dyDescent="0.3"/>
    <row r="20839" s="160" customFormat="1" x14ac:dyDescent="0.3"/>
    <row r="20840" s="160" customFormat="1" x14ac:dyDescent="0.3"/>
    <row r="20841" s="160" customFormat="1" x14ac:dyDescent="0.3"/>
    <row r="20842" s="160" customFormat="1" x14ac:dyDescent="0.3"/>
    <row r="20843" s="160" customFormat="1" x14ac:dyDescent="0.3"/>
    <row r="20844" s="160" customFormat="1" x14ac:dyDescent="0.3"/>
    <row r="20845" s="160" customFormat="1" x14ac:dyDescent="0.3"/>
    <row r="20846" s="160" customFormat="1" x14ac:dyDescent="0.3"/>
    <row r="20847" s="160" customFormat="1" x14ac:dyDescent="0.3"/>
    <row r="20848" s="160" customFormat="1" x14ac:dyDescent="0.3"/>
    <row r="20849" s="160" customFormat="1" x14ac:dyDescent="0.3"/>
    <row r="20850" s="160" customFormat="1" x14ac:dyDescent="0.3"/>
    <row r="20851" s="160" customFormat="1" x14ac:dyDescent="0.3"/>
    <row r="20852" s="160" customFormat="1" x14ac:dyDescent="0.3"/>
    <row r="20853" s="160" customFormat="1" x14ac:dyDescent="0.3"/>
    <row r="20854" s="160" customFormat="1" x14ac:dyDescent="0.3"/>
    <row r="20855" s="160" customFormat="1" x14ac:dyDescent="0.3"/>
    <row r="20856" s="160" customFormat="1" x14ac:dyDescent="0.3"/>
    <row r="20857" s="160" customFormat="1" x14ac:dyDescent="0.3"/>
    <row r="20858" s="160" customFormat="1" x14ac:dyDescent="0.3"/>
    <row r="20859" s="160" customFormat="1" x14ac:dyDescent="0.3"/>
    <row r="20860" s="160" customFormat="1" x14ac:dyDescent="0.3"/>
    <row r="20861" s="160" customFormat="1" x14ac:dyDescent="0.3"/>
    <row r="20862" s="160" customFormat="1" x14ac:dyDescent="0.3"/>
    <row r="20863" s="160" customFormat="1" x14ac:dyDescent="0.3"/>
    <row r="20864" s="160" customFormat="1" x14ac:dyDescent="0.3"/>
    <row r="20865" s="160" customFormat="1" x14ac:dyDescent="0.3"/>
    <row r="20866" s="160" customFormat="1" x14ac:dyDescent="0.3"/>
    <row r="20867" s="160" customFormat="1" x14ac:dyDescent="0.3"/>
    <row r="20868" s="160" customFormat="1" x14ac:dyDescent="0.3"/>
    <row r="20869" s="160" customFormat="1" x14ac:dyDescent="0.3"/>
    <row r="20870" s="160" customFormat="1" x14ac:dyDescent="0.3"/>
    <row r="20871" s="160" customFormat="1" x14ac:dyDescent="0.3"/>
    <row r="20872" s="160" customFormat="1" x14ac:dyDescent="0.3"/>
    <row r="20873" s="160" customFormat="1" x14ac:dyDescent="0.3"/>
    <row r="20874" s="160" customFormat="1" x14ac:dyDescent="0.3"/>
    <row r="20875" s="160" customFormat="1" x14ac:dyDescent="0.3"/>
    <row r="20876" s="160" customFormat="1" x14ac:dyDescent="0.3"/>
    <row r="20877" s="160" customFormat="1" x14ac:dyDescent="0.3"/>
    <row r="20878" s="160" customFormat="1" x14ac:dyDescent="0.3"/>
    <row r="20879" s="160" customFormat="1" x14ac:dyDescent="0.3"/>
    <row r="20880" s="160" customFormat="1" x14ac:dyDescent="0.3"/>
    <row r="20881" s="160" customFormat="1" x14ac:dyDescent="0.3"/>
    <row r="20882" s="160" customFormat="1" x14ac:dyDescent="0.3"/>
    <row r="20883" s="160" customFormat="1" x14ac:dyDescent="0.3"/>
    <row r="20884" s="160" customFormat="1" x14ac:dyDescent="0.3"/>
    <row r="20885" s="160" customFormat="1" x14ac:dyDescent="0.3"/>
    <row r="20886" s="160" customFormat="1" x14ac:dyDescent="0.3"/>
    <row r="20887" s="160" customFormat="1" x14ac:dyDescent="0.3"/>
    <row r="20888" s="160" customFormat="1" x14ac:dyDescent="0.3"/>
    <row r="20889" s="160" customFormat="1" x14ac:dyDescent="0.3"/>
    <row r="20890" s="160" customFormat="1" x14ac:dyDescent="0.3"/>
    <row r="20891" s="160" customFormat="1" x14ac:dyDescent="0.3"/>
    <row r="20892" s="160" customFormat="1" x14ac:dyDescent="0.3"/>
    <row r="20893" s="160" customFormat="1" x14ac:dyDescent="0.3"/>
    <row r="20894" s="160" customFormat="1" x14ac:dyDescent="0.3"/>
    <row r="20895" s="160" customFormat="1" x14ac:dyDescent="0.3"/>
    <row r="20896" s="160" customFormat="1" x14ac:dyDescent="0.3"/>
    <row r="20897" s="160" customFormat="1" x14ac:dyDescent="0.3"/>
    <row r="20898" s="160" customFormat="1" x14ac:dyDescent="0.3"/>
    <row r="20899" s="160" customFormat="1" x14ac:dyDescent="0.3"/>
    <row r="20900" s="160" customFormat="1" x14ac:dyDescent="0.3"/>
    <row r="20901" s="160" customFormat="1" x14ac:dyDescent="0.3"/>
    <row r="20902" s="160" customFormat="1" x14ac:dyDescent="0.3"/>
    <row r="20903" s="160" customFormat="1" x14ac:dyDescent="0.3"/>
    <row r="20904" s="160" customFormat="1" x14ac:dyDescent="0.3"/>
    <row r="20905" s="160" customFormat="1" x14ac:dyDescent="0.3"/>
    <row r="20906" s="160" customFormat="1" x14ac:dyDescent="0.3"/>
    <row r="20907" s="160" customFormat="1" x14ac:dyDescent="0.3"/>
    <row r="20908" s="160" customFormat="1" x14ac:dyDescent="0.3"/>
    <row r="20909" s="160" customFormat="1" x14ac:dyDescent="0.3"/>
    <row r="20910" s="160" customFormat="1" x14ac:dyDescent="0.3"/>
    <row r="20911" s="160" customFormat="1" x14ac:dyDescent="0.3"/>
    <row r="20912" s="160" customFormat="1" x14ac:dyDescent="0.3"/>
    <row r="20913" s="160" customFormat="1" x14ac:dyDescent="0.3"/>
    <row r="20914" s="160" customFormat="1" x14ac:dyDescent="0.3"/>
    <row r="20915" s="160" customFormat="1" x14ac:dyDescent="0.3"/>
    <row r="20916" s="160" customFormat="1" x14ac:dyDescent="0.3"/>
    <row r="20917" s="160" customFormat="1" x14ac:dyDescent="0.3"/>
    <row r="20918" s="160" customFormat="1" x14ac:dyDescent="0.3"/>
    <row r="20919" s="160" customFormat="1" x14ac:dyDescent="0.3"/>
    <row r="20920" s="160" customFormat="1" x14ac:dyDescent="0.3"/>
    <row r="20921" s="160" customFormat="1" x14ac:dyDescent="0.3"/>
    <row r="20922" s="160" customFormat="1" x14ac:dyDescent="0.3"/>
    <row r="20923" s="160" customFormat="1" x14ac:dyDescent="0.3"/>
    <row r="20924" s="160" customFormat="1" x14ac:dyDescent="0.3"/>
    <row r="20925" s="160" customFormat="1" x14ac:dyDescent="0.3"/>
    <row r="20926" s="160" customFormat="1" x14ac:dyDescent="0.3"/>
    <row r="20927" s="160" customFormat="1" x14ac:dyDescent="0.3"/>
    <row r="20928" s="160" customFormat="1" x14ac:dyDescent="0.3"/>
    <row r="20929" s="160" customFormat="1" x14ac:dyDescent="0.3"/>
    <row r="20930" s="160" customFormat="1" x14ac:dyDescent="0.3"/>
    <row r="20931" s="160" customFormat="1" x14ac:dyDescent="0.3"/>
    <row r="20932" s="160" customFormat="1" x14ac:dyDescent="0.3"/>
    <row r="20933" s="160" customFormat="1" x14ac:dyDescent="0.3"/>
    <row r="20934" s="160" customFormat="1" x14ac:dyDescent="0.3"/>
    <row r="20935" s="160" customFormat="1" x14ac:dyDescent="0.3"/>
    <row r="20936" s="160" customFormat="1" x14ac:dyDescent="0.3"/>
    <row r="20937" s="160" customFormat="1" x14ac:dyDescent="0.3"/>
    <row r="20938" s="160" customFormat="1" x14ac:dyDescent="0.3"/>
    <row r="20939" s="160" customFormat="1" x14ac:dyDescent="0.3"/>
    <row r="20940" s="160" customFormat="1" x14ac:dyDescent="0.3"/>
    <row r="20941" s="160" customFormat="1" x14ac:dyDescent="0.3"/>
    <row r="20942" s="160" customFormat="1" x14ac:dyDescent="0.3"/>
    <row r="20943" s="160" customFormat="1" x14ac:dyDescent="0.3"/>
    <row r="20944" s="160" customFormat="1" x14ac:dyDescent="0.3"/>
    <row r="20945" s="160" customFormat="1" x14ac:dyDescent="0.3"/>
    <row r="20946" s="160" customFormat="1" x14ac:dyDescent="0.3"/>
    <row r="20947" s="160" customFormat="1" x14ac:dyDescent="0.3"/>
    <row r="20948" s="160" customFormat="1" x14ac:dyDescent="0.3"/>
    <row r="20949" s="160" customFormat="1" x14ac:dyDescent="0.3"/>
    <row r="20950" s="160" customFormat="1" x14ac:dyDescent="0.3"/>
    <row r="20951" s="160" customFormat="1" x14ac:dyDescent="0.3"/>
    <row r="20952" s="160" customFormat="1" x14ac:dyDescent="0.3"/>
    <row r="20953" s="160" customFormat="1" x14ac:dyDescent="0.3"/>
    <row r="20954" s="160" customFormat="1" x14ac:dyDescent="0.3"/>
    <row r="20955" s="160" customFormat="1" x14ac:dyDescent="0.3"/>
    <row r="20956" s="160" customFormat="1" x14ac:dyDescent="0.3"/>
    <row r="20957" s="160" customFormat="1" x14ac:dyDescent="0.3"/>
    <row r="20958" s="160" customFormat="1" x14ac:dyDescent="0.3"/>
    <row r="20959" s="160" customFormat="1" x14ac:dyDescent="0.3"/>
    <row r="20960" s="160" customFormat="1" x14ac:dyDescent="0.3"/>
    <row r="20961" s="160" customFormat="1" x14ac:dyDescent="0.3"/>
    <row r="20962" s="160" customFormat="1" x14ac:dyDescent="0.3"/>
    <row r="20963" s="160" customFormat="1" x14ac:dyDescent="0.3"/>
    <row r="20964" s="160" customFormat="1" x14ac:dyDescent="0.3"/>
    <row r="20965" s="160" customFormat="1" x14ac:dyDescent="0.3"/>
    <row r="20966" s="160" customFormat="1" x14ac:dyDescent="0.3"/>
    <row r="20967" s="160" customFormat="1" x14ac:dyDescent="0.3"/>
    <row r="20968" s="160" customFormat="1" x14ac:dyDescent="0.3"/>
    <row r="20969" s="160" customFormat="1" x14ac:dyDescent="0.3"/>
    <row r="20970" s="160" customFormat="1" x14ac:dyDescent="0.3"/>
    <row r="20971" s="160" customFormat="1" x14ac:dyDescent="0.3"/>
    <row r="20972" s="160" customFormat="1" x14ac:dyDescent="0.3"/>
    <row r="20973" s="160" customFormat="1" x14ac:dyDescent="0.3"/>
    <row r="20974" s="160" customFormat="1" x14ac:dyDescent="0.3"/>
    <row r="20975" s="160" customFormat="1" x14ac:dyDescent="0.3"/>
    <row r="20976" s="160" customFormat="1" x14ac:dyDescent="0.3"/>
    <row r="20977" s="160" customFormat="1" x14ac:dyDescent="0.3"/>
    <row r="20978" s="160" customFormat="1" x14ac:dyDescent="0.3"/>
    <row r="20979" s="160" customFormat="1" x14ac:dyDescent="0.3"/>
    <row r="20980" s="160" customFormat="1" x14ac:dyDescent="0.3"/>
    <row r="20981" s="160" customFormat="1" x14ac:dyDescent="0.3"/>
    <row r="20982" s="160" customFormat="1" x14ac:dyDescent="0.3"/>
    <row r="20983" s="160" customFormat="1" x14ac:dyDescent="0.3"/>
    <row r="20984" s="160" customFormat="1" x14ac:dyDescent="0.3"/>
    <row r="20985" s="160" customFormat="1" x14ac:dyDescent="0.3"/>
    <row r="20986" s="160" customFormat="1" x14ac:dyDescent="0.3"/>
    <row r="20987" s="160" customFormat="1" x14ac:dyDescent="0.3"/>
    <row r="20988" s="160" customFormat="1" x14ac:dyDescent="0.3"/>
    <row r="20989" s="160" customFormat="1" x14ac:dyDescent="0.3"/>
    <row r="20990" s="160" customFormat="1" x14ac:dyDescent="0.3"/>
    <row r="20991" s="160" customFormat="1" x14ac:dyDescent="0.3"/>
    <row r="20992" s="160" customFormat="1" x14ac:dyDescent="0.3"/>
    <row r="20993" s="160" customFormat="1" x14ac:dyDescent="0.3"/>
    <row r="20994" s="160" customFormat="1" x14ac:dyDescent="0.3"/>
    <row r="20995" s="160" customFormat="1" x14ac:dyDescent="0.3"/>
    <row r="20996" s="160" customFormat="1" x14ac:dyDescent="0.3"/>
    <row r="20997" s="160" customFormat="1" x14ac:dyDescent="0.3"/>
    <row r="20998" s="160" customFormat="1" x14ac:dyDescent="0.3"/>
    <row r="20999" s="160" customFormat="1" x14ac:dyDescent="0.3"/>
    <row r="21000" s="160" customFormat="1" x14ac:dyDescent="0.3"/>
    <row r="21001" s="160" customFormat="1" x14ac:dyDescent="0.3"/>
    <row r="21002" s="160" customFormat="1" x14ac:dyDescent="0.3"/>
    <row r="21003" s="160" customFormat="1" x14ac:dyDescent="0.3"/>
    <row r="21004" s="160" customFormat="1" x14ac:dyDescent="0.3"/>
    <row r="21005" s="160" customFormat="1" x14ac:dyDescent="0.3"/>
    <row r="21006" s="160" customFormat="1" x14ac:dyDescent="0.3"/>
    <row r="21007" s="160" customFormat="1" x14ac:dyDescent="0.3"/>
    <row r="21008" s="160" customFormat="1" x14ac:dyDescent="0.3"/>
    <row r="21009" s="160" customFormat="1" x14ac:dyDescent="0.3"/>
    <row r="21010" s="160" customFormat="1" x14ac:dyDescent="0.3"/>
    <row r="21011" s="160" customFormat="1" x14ac:dyDescent="0.3"/>
    <row r="21012" s="160" customFormat="1" x14ac:dyDescent="0.3"/>
    <row r="21013" s="160" customFormat="1" x14ac:dyDescent="0.3"/>
    <row r="21014" s="160" customFormat="1" x14ac:dyDescent="0.3"/>
    <row r="21015" s="160" customFormat="1" x14ac:dyDescent="0.3"/>
    <row r="21016" s="160" customFormat="1" x14ac:dyDescent="0.3"/>
    <row r="21017" s="160" customFormat="1" x14ac:dyDescent="0.3"/>
    <row r="21018" s="160" customFormat="1" x14ac:dyDescent="0.3"/>
    <row r="21019" s="160" customFormat="1" x14ac:dyDescent="0.3"/>
    <row r="21020" s="160" customFormat="1" x14ac:dyDescent="0.3"/>
    <row r="21021" s="160" customFormat="1" x14ac:dyDescent="0.3"/>
    <row r="21022" s="160" customFormat="1" x14ac:dyDescent="0.3"/>
    <row r="21023" s="160" customFormat="1" x14ac:dyDescent="0.3"/>
    <row r="21024" s="160" customFormat="1" x14ac:dyDescent="0.3"/>
    <row r="21025" s="160" customFormat="1" x14ac:dyDescent="0.3"/>
    <row r="21026" s="160" customFormat="1" x14ac:dyDescent="0.3"/>
    <row r="21027" s="160" customFormat="1" x14ac:dyDescent="0.3"/>
    <row r="21028" s="160" customFormat="1" x14ac:dyDescent="0.3"/>
    <row r="21029" s="160" customFormat="1" x14ac:dyDescent="0.3"/>
    <row r="21030" s="160" customFormat="1" x14ac:dyDescent="0.3"/>
    <row r="21031" s="160" customFormat="1" x14ac:dyDescent="0.3"/>
    <row r="21032" s="160" customFormat="1" x14ac:dyDescent="0.3"/>
    <row r="21033" s="160" customFormat="1" x14ac:dyDescent="0.3"/>
    <row r="21034" s="160" customFormat="1" x14ac:dyDescent="0.3"/>
    <row r="21035" s="160" customFormat="1" x14ac:dyDescent="0.3"/>
    <row r="21036" s="160" customFormat="1" x14ac:dyDescent="0.3"/>
    <row r="21037" s="160" customFormat="1" x14ac:dyDescent="0.3"/>
    <row r="21038" s="160" customFormat="1" x14ac:dyDescent="0.3"/>
    <row r="21039" s="160" customFormat="1" x14ac:dyDescent="0.3"/>
    <row r="21040" s="160" customFormat="1" x14ac:dyDescent="0.3"/>
    <row r="21041" s="160" customFormat="1" x14ac:dyDescent="0.3"/>
    <row r="21042" s="160" customFormat="1" x14ac:dyDescent="0.3"/>
    <row r="21043" s="160" customFormat="1" x14ac:dyDescent="0.3"/>
    <row r="21044" s="160" customFormat="1" x14ac:dyDescent="0.3"/>
    <row r="21045" s="160" customFormat="1" x14ac:dyDescent="0.3"/>
    <row r="21046" s="160" customFormat="1" x14ac:dyDescent="0.3"/>
    <row r="21047" s="160" customFormat="1" x14ac:dyDescent="0.3"/>
    <row r="21048" s="160" customFormat="1" x14ac:dyDescent="0.3"/>
    <row r="21049" s="160" customFormat="1" x14ac:dyDescent="0.3"/>
    <row r="21050" s="160" customFormat="1" x14ac:dyDescent="0.3"/>
    <row r="21051" s="160" customFormat="1" x14ac:dyDescent="0.3"/>
    <row r="21052" s="160" customFormat="1" x14ac:dyDescent="0.3"/>
    <row r="21053" s="160" customFormat="1" x14ac:dyDescent="0.3"/>
    <row r="21054" s="160" customFormat="1" x14ac:dyDescent="0.3"/>
    <row r="21055" s="160" customFormat="1" x14ac:dyDescent="0.3"/>
    <row r="21056" s="160" customFormat="1" x14ac:dyDescent="0.3"/>
    <row r="21057" s="160" customFormat="1" x14ac:dyDescent="0.3"/>
    <row r="21058" s="160" customFormat="1" x14ac:dyDescent="0.3"/>
    <row r="21059" s="160" customFormat="1" x14ac:dyDescent="0.3"/>
    <row r="21060" s="160" customFormat="1" x14ac:dyDescent="0.3"/>
    <row r="21061" s="160" customFormat="1" x14ac:dyDescent="0.3"/>
    <row r="21062" s="160" customFormat="1" x14ac:dyDescent="0.3"/>
    <row r="21063" s="160" customFormat="1" x14ac:dyDescent="0.3"/>
    <row r="21064" s="160" customFormat="1" x14ac:dyDescent="0.3"/>
    <row r="21065" s="160" customFormat="1" x14ac:dyDescent="0.3"/>
    <row r="21066" s="160" customFormat="1" x14ac:dyDescent="0.3"/>
    <row r="21067" s="160" customFormat="1" x14ac:dyDescent="0.3"/>
    <row r="21068" s="160" customFormat="1" x14ac:dyDescent="0.3"/>
    <row r="21069" s="160" customFormat="1" x14ac:dyDescent="0.3"/>
    <row r="21070" s="160" customFormat="1" x14ac:dyDescent="0.3"/>
    <row r="21071" s="160" customFormat="1" x14ac:dyDescent="0.3"/>
    <row r="21072" s="160" customFormat="1" x14ac:dyDescent="0.3"/>
    <row r="21073" s="160" customFormat="1" x14ac:dyDescent="0.3"/>
    <row r="21074" s="160" customFormat="1" x14ac:dyDescent="0.3"/>
    <row r="21075" s="160" customFormat="1" x14ac:dyDescent="0.3"/>
    <row r="21076" s="160" customFormat="1" x14ac:dyDescent="0.3"/>
    <row r="21077" s="160" customFormat="1" x14ac:dyDescent="0.3"/>
    <row r="21078" s="160" customFormat="1" x14ac:dyDescent="0.3"/>
    <row r="21079" s="160" customFormat="1" x14ac:dyDescent="0.3"/>
    <row r="21080" s="160" customFormat="1" x14ac:dyDescent="0.3"/>
    <row r="21081" s="160" customFormat="1" x14ac:dyDescent="0.3"/>
    <row r="21082" s="160" customFormat="1" x14ac:dyDescent="0.3"/>
    <row r="21083" s="160" customFormat="1" x14ac:dyDescent="0.3"/>
    <row r="21084" s="160" customFormat="1" x14ac:dyDescent="0.3"/>
    <row r="21085" s="160" customFormat="1" x14ac:dyDescent="0.3"/>
    <row r="21086" s="160" customFormat="1" x14ac:dyDescent="0.3"/>
    <row r="21087" s="160" customFormat="1" x14ac:dyDescent="0.3"/>
    <row r="21088" s="160" customFormat="1" x14ac:dyDescent="0.3"/>
    <row r="21089" s="160" customFormat="1" x14ac:dyDescent="0.3"/>
    <row r="21090" s="160" customFormat="1" x14ac:dyDescent="0.3"/>
    <row r="21091" s="160" customFormat="1" x14ac:dyDescent="0.3"/>
    <row r="21092" s="160" customFormat="1" x14ac:dyDescent="0.3"/>
    <row r="21093" s="160" customFormat="1" x14ac:dyDescent="0.3"/>
    <row r="21094" s="160" customFormat="1" x14ac:dyDescent="0.3"/>
    <row r="21095" s="160" customFormat="1" x14ac:dyDescent="0.3"/>
    <row r="21096" s="160" customFormat="1" x14ac:dyDescent="0.3"/>
    <row r="21097" s="160" customFormat="1" x14ac:dyDescent="0.3"/>
    <row r="21098" s="160" customFormat="1" x14ac:dyDescent="0.3"/>
    <row r="21099" s="160" customFormat="1" x14ac:dyDescent="0.3"/>
    <row r="21100" s="160" customFormat="1" x14ac:dyDescent="0.3"/>
    <row r="21101" s="160" customFormat="1" x14ac:dyDescent="0.3"/>
    <row r="21102" s="160" customFormat="1" x14ac:dyDescent="0.3"/>
    <row r="21103" s="160" customFormat="1" x14ac:dyDescent="0.3"/>
    <row r="21104" s="160" customFormat="1" x14ac:dyDescent="0.3"/>
    <row r="21105" s="160" customFormat="1" x14ac:dyDescent="0.3"/>
    <row r="21106" s="160" customFormat="1" x14ac:dyDescent="0.3"/>
    <row r="21107" s="160" customFormat="1" x14ac:dyDescent="0.3"/>
    <row r="21108" s="160" customFormat="1" x14ac:dyDescent="0.3"/>
    <row r="21109" s="160" customFormat="1" x14ac:dyDescent="0.3"/>
    <row r="21110" s="160" customFormat="1" x14ac:dyDescent="0.3"/>
    <row r="21111" s="160" customFormat="1" x14ac:dyDescent="0.3"/>
    <row r="21112" s="160" customFormat="1" x14ac:dyDescent="0.3"/>
    <row r="21113" s="160" customFormat="1" x14ac:dyDescent="0.3"/>
    <row r="21114" s="160" customFormat="1" x14ac:dyDescent="0.3"/>
    <row r="21115" s="160" customFormat="1" x14ac:dyDescent="0.3"/>
    <row r="21116" s="160" customFormat="1" x14ac:dyDescent="0.3"/>
    <row r="21117" s="160" customFormat="1" x14ac:dyDescent="0.3"/>
    <row r="21118" s="160" customFormat="1" x14ac:dyDescent="0.3"/>
    <row r="21119" s="160" customFormat="1" x14ac:dyDescent="0.3"/>
    <row r="21120" s="160" customFormat="1" x14ac:dyDescent="0.3"/>
    <row r="21121" s="160" customFormat="1" x14ac:dyDescent="0.3"/>
    <row r="21122" s="160" customFormat="1" x14ac:dyDescent="0.3"/>
    <row r="21123" s="160" customFormat="1" x14ac:dyDescent="0.3"/>
    <row r="21124" s="160" customFormat="1" x14ac:dyDescent="0.3"/>
    <row r="21125" s="160" customFormat="1" x14ac:dyDescent="0.3"/>
    <row r="21126" s="160" customFormat="1" x14ac:dyDescent="0.3"/>
    <row r="21127" s="160" customFormat="1" x14ac:dyDescent="0.3"/>
    <row r="21128" s="160" customFormat="1" x14ac:dyDescent="0.3"/>
    <row r="21129" s="160" customFormat="1" x14ac:dyDescent="0.3"/>
    <row r="21130" s="160" customFormat="1" x14ac:dyDescent="0.3"/>
    <row r="21131" s="160" customFormat="1" x14ac:dyDescent="0.3"/>
    <row r="21132" s="160" customFormat="1" x14ac:dyDescent="0.3"/>
    <row r="21133" s="160" customFormat="1" x14ac:dyDescent="0.3"/>
    <row r="21134" s="160" customFormat="1" x14ac:dyDescent="0.3"/>
    <row r="21135" s="160" customFormat="1" x14ac:dyDescent="0.3"/>
    <row r="21136" s="160" customFormat="1" x14ac:dyDescent="0.3"/>
    <row r="21137" s="160" customFormat="1" x14ac:dyDescent="0.3"/>
    <row r="21138" s="160" customFormat="1" x14ac:dyDescent="0.3"/>
    <row r="21139" s="160" customFormat="1" x14ac:dyDescent="0.3"/>
    <row r="21140" s="160" customFormat="1" x14ac:dyDescent="0.3"/>
    <row r="21141" s="160" customFormat="1" x14ac:dyDescent="0.3"/>
    <row r="21142" s="160" customFormat="1" x14ac:dyDescent="0.3"/>
    <row r="21143" s="160" customFormat="1" x14ac:dyDescent="0.3"/>
    <row r="21144" s="160" customFormat="1" x14ac:dyDescent="0.3"/>
    <row r="21145" s="160" customFormat="1" x14ac:dyDescent="0.3"/>
    <row r="21146" s="160" customFormat="1" x14ac:dyDescent="0.3"/>
    <row r="21147" s="160" customFormat="1" x14ac:dyDescent="0.3"/>
    <row r="21148" s="160" customFormat="1" x14ac:dyDescent="0.3"/>
    <row r="21149" s="160" customFormat="1" x14ac:dyDescent="0.3"/>
    <row r="21150" s="160" customFormat="1" x14ac:dyDescent="0.3"/>
    <row r="21151" s="160" customFormat="1" x14ac:dyDescent="0.3"/>
    <row r="21152" s="160" customFormat="1" x14ac:dyDescent="0.3"/>
    <row r="21153" s="160" customFormat="1" x14ac:dyDescent="0.3"/>
    <row r="21154" s="160" customFormat="1" x14ac:dyDescent="0.3"/>
    <row r="21155" s="160" customFormat="1" x14ac:dyDescent="0.3"/>
    <row r="21156" s="160" customFormat="1" x14ac:dyDescent="0.3"/>
    <row r="21157" s="160" customFormat="1" x14ac:dyDescent="0.3"/>
    <row r="21158" s="160" customFormat="1" x14ac:dyDescent="0.3"/>
    <row r="21159" s="160" customFormat="1" x14ac:dyDescent="0.3"/>
    <row r="21160" s="160" customFormat="1" x14ac:dyDescent="0.3"/>
    <row r="21161" s="160" customFormat="1" x14ac:dyDescent="0.3"/>
    <row r="21162" s="160" customFormat="1" x14ac:dyDescent="0.3"/>
    <row r="21163" s="160" customFormat="1" x14ac:dyDescent="0.3"/>
    <row r="21164" s="160" customFormat="1" x14ac:dyDescent="0.3"/>
    <row r="21165" s="160" customFormat="1" x14ac:dyDescent="0.3"/>
    <row r="21166" s="160" customFormat="1" x14ac:dyDescent="0.3"/>
    <row r="21167" s="160" customFormat="1" x14ac:dyDescent="0.3"/>
    <row r="21168" s="160" customFormat="1" x14ac:dyDescent="0.3"/>
    <row r="21169" s="160" customFormat="1" x14ac:dyDescent="0.3"/>
    <row r="21170" s="160" customFormat="1" x14ac:dyDescent="0.3"/>
    <row r="21171" s="160" customFormat="1" x14ac:dyDescent="0.3"/>
    <row r="21172" s="160" customFormat="1" x14ac:dyDescent="0.3"/>
    <row r="21173" s="160" customFormat="1" x14ac:dyDescent="0.3"/>
    <row r="21174" s="160" customFormat="1" x14ac:dyDescent="0.3"/>
    <row r="21175" s="160" customFormat="1" x14ac:dyDescent="0.3"/>
    <row r="21176" s="160" customFormat="1" x14ac:dyDescent="0.3"/>
    <row r="21177" s="160" customFormat="1" x14ac:dyDescent="0.3"/>
    <row r="21178" s="160" customFormat="1" x14ac:dyDescent="0.3"/>
    <row r="21179" s="160" customFormat="1" x14ac:dyDescent="0.3"/>
    <row r="21180" s="160" customFormat="1" x14ac:dyDescent="0.3"/>
    <row r="21181" s="160" customFormat="1" x14ac:dyDescent="0.3"/>
    <row r="21182" s="160" customFormat="1" x14ac:dyDescent="0.3"/>
    <row r="21183" s="160" customFormat="1" x14ac:dyDescent="0.3"/>
    <row r="21184" s="160" customFormat="1" x14ac:dyDescent="0.3"/>
    <row r="21185" s="160" customFormat="1" x14ac:dyDescent="0.3"/>
    <row r="21186" s="160" customFormat="1" x14ac:dyDescent="0.3"/>
    <row r="21187" s="160" customFormat="1" x14ac:dyDescent="0.3"/>
    <row r="21188" s="160" customFormat="1" x14ac:dyDescent="0.3"/>
    <row r="21189" s="160" customFormat="1" x14ac:dyDescent="0.3"/>
    <row r="21190" s="160" customFormat="1" x14ac:dyDescent="0.3"/>
    <row r="21191" s="160" customFormat="1" x14ac:dyDescent="0.3"/>
    <row r="21192" s="160" customFormat="1" x14ac:dyDescent="0.3"/>
    <row r="21193" s="160" customFormat="1" x14ac:dyDescent="0.3"/>
    <row r="21194" s="160" customFormat="1" x14ac:dyDescent="0.3"/>
    <row r="21195" s="160" customFormat="1" x14ac:dyDescent="0.3"/>
    <row r="21196" s="160" customFormat="1" x14ac:dyDescent="0.3"/>
    <row r="21197" s="160" customFormat="1" x14ac:dyDescent="0.3"/>
    <row r="21198" s="160" customFormat="1" x14ac:dyDescent="0.3"/>
    <row r="21199" s="160" customFormat="1" x14ac:dyDescent="0.3"/>
    <row r="21200" s="160" customFormat="1" x14ac:dyDescent="0.3"/>
    <row r="21201" s="160" customFormat="1" x14ac:dyDescent="0.3"/>
    <row r="21202" s="160" customFormat="1" x14ac:dyDescent="0.3"/>
    <row r="21203" s="160" customFormat="1" x14ac:dyDescent="0.3"/>
    <row r="21204" s="160" customFormat="1" x14ac:dyDescent="0.3"/>
    <row r="21205" s="160" customFormat="1" x14ac:dyDescent="0.3"/>
    <row r="21206" s="160" customFormat="1" x14ac:dyDescent="0.3"/>
    <row r="21207" s="160" customFormat="1" x14ac:dyDescent="0.3"/>
    <row r="21208" s="160" customFormat="1" x14ac:dyDescent="0.3"/>
    <row r="21209" s="160" customFormat="1" x14ac:dyDescent="0.3"/>
    <row r="21210" s="160" customFormat="1" x14ac:dyDescent="0.3"/>
    <row r="21211" s="160" customFormat="1" x14ac:dyDescent="0.3"/>
    <row r="21212" s="160" customFormat="1" x14ac:dyDescent="0.3"/>
    <row r="21213" s="160" customFormat="1" x14ac:dyDescent="0.3"/>
    <row r="21214" s="160" customFormat="1" x14ac:dyDescent="0.3"/>
    <row r="21215" s="160" customFormat="1" x14ac:dyDescent="0.3"/>
    <row r="21216" s="160" customFormat="1" x14ac:dyDescent="0.3"/>
    <row r="21217" s="160" customFormat="1" x14ac:dyDescent="0.3"/>
    <row r="21218" s="160" customFormat="1" x14ac:dyDescent="0.3"/>
    <row r="21219" s="160" customFormat="1" x14ac:dyDescent="0.3"/>
    <row r="21220" s="160" customFormat="1" x14ac:dyDescent="0.3"/>
    <row r="21221" s="160" customFormat="1" x14ac:dyDescent="0.3"/>
    <row r="21222" s="160" customFormat="1" x14ac:dyDescent="0.3"/>
    <row r="21223" s="160" customFormat="1" x14ac:dyDescent="0.3"/>
    <row r="21224" s="160" customFormat="1" x14ac:dyDescent="0.3"/>
    <row r="21225" s="160" customFormat="1" x14ac:dyDescent="0.3"/>
    <row r="21226" s="160" customFormat="1" x14ac:dyDescent="0.3"/>
    <row r="21227" s="160" customFormat="1" x14ac:dyDescent="0.3"/>
    <row r="21228" s="160" customFormat="1" x14ac:dyDescent="0.3"/>
    <row r="21229" s="160" customFormat="1" x14ac:dyDescent="0.3"/>
    <row r="21230" s="160" customFormat="1" x14ac:dyDescent="0.3"/>
    <row r="21231" s="160" customFormat="1" x14ac:dyDescent="0.3"/>
    <row r="21232" s="160" customFormat="1" x14ac:dyDescent="0.3"/>
    <row r="21233" s="160" customFormat="1" x14ac:dyDescent="0.3"/>
    <row r="21234" s="160" customFormat="1" x14ac:dyDescent="0.3"/>
    <row r="21235" s="160" customFormat="1" x14ac:dyDescent="0.3"/>
    <row r="21236" s="160" customFormat="1" x14ac:dyDescent="0.3"/>
    <row r="21237" s="160" customFormat="1" x14ac:dyDescent="0.3"/>
    <row r="21238" s="160" customFormat="1" x14ac:dyDescent="0.3"/>
    <row r="21239" s="160" customFormat="1" x14ac:dyDescent="0.3"/>
    <row r="21240" s="160" customFormat="1" x14ac:dyDescent="0.3"/>
    <row r="21241" s="160" customFormat="1" x14ac:dyDescent="0.3"/>
    <row r="21242" s="160" customFormat="1" x14ac:dyDescent="0.3"/>
    <row r="21243" s="160" customFormat="1" x14ac:dyDescent="0.3"/>
    <row r="21244" s="160" customFormat="1" x14ac:dyDescent="0.3"/>
    <row r="21245" s="160" customFormat="1" x14ac:dyDescent="0.3"/>
    <row r="21246" s="160" customFormat="1" x14ac:dyDescent="0.3"/>
    <row r="21247" s="160" customFormat="1" x14ac:dyDescent="0.3"/>
    <row r="21248" s="160" customFormat="1" x14ac:dyDescent="0.3"/>
    <row r="21249" s="160" customFormat="1" x14ac:dyDescent="0.3"/>
    <row r="21250" s="160" customFormat="1" x14ac:dyDescent="0.3"/>
    <row r="21251" s="160" customFormat="1" x14ac:dyDescent="0.3"/>
    <row r="21252" s="160" customFormat="1" x14ac:dyDescent="0.3"/>
    <row r="21253" s="160" customFormat="1" x14ac:dyDescent="0.3"/>
    <row r="21254" s="160" customFormat="1" x14ac:dyDescent="0.3"/>
    <row r="21255" s="160" customFormat="1" x14ac:dyDescent="0.3"/>
    <row r="21256" s="160" customFormat="1" x14ac:dyDescent="0.3"/>
    <row r="21257" s="160" customFormat="1" x14ac:dyDescent="0.3"/>
    <row r="21258" s="160" customFormat="1" x14ac:dyDescent="0.3"/>
    <row r="21259" s="160" customFormat="1" x14ac:dyDescent="0.3"/>
    <row r="21260" s="160" customFormat="1" x14ac:dyDescent="0.3"/>
    <row r="21261" s="160" customFormat="1" x14ac:dyDescent="0.3"/>
    <row r="21262" s="160" customFormat="1" x14ac:dyDescent="0.3"/>
    <row r="21263" s="160" customFormat="1" x14ac:dyDescent="0.3"/>
    <row r="21264" s="160" customFormat="1" x14ac:dyDescent="0.3"/>
    <row r="21265" s="160" customFormat="1" x14ac:dyDescent="0.3"/>
    <row r="21266" s="160" customFormat="1" x14ac:dyDescent="0.3"/>
    <row r="21267" s="160" customFormat="1" x14ac:dyDescent="0.3"/>
    <row r="21268" s="160" customFormat="1" x14ac:dyDescent="0.3"/>
    <row r="21269" s="160" customFormat="1" x14ac:dyDescent="0.3"/>
    <row r="21270" s="160" customFormat="1" x14ac:dyDescent="0.3"/>
    <row r="21271" s="160" customFormat="1" x14ac:dyDescent="0.3"/>
    <row r="21272" s="160" customFormat="1" x14ac:dyDescent="0.3"/>
    <row r="21273" s="160" customFormat="1" x14ac:dyDescent="0.3"/>
    <row r="21274" s="160" customFormat="1" x14ac:dyDescent="0.3"/>
    <row r="21275" s="160" customFormat="1" x14ac:dyDescent="0.3"/>
    <row r="21276" s="160" customFormat="1" x14ac:dyDescent="0.3"/>
    <row r="21277" s="160" customFormat="1" x14ac:dyDescent="0.3"/>
    <row r="21278" s="160" customFormat="1" x14ac:dyDescent="0.3"/>
    <row r="21279" s="160" customFormat="1" x14ac:dyDescent="0.3"/>
    <row r="21280" s="160" customFormat="1" x14ac:dyDescent="0.3"/>
    <row r="21281" s="160" customFormat="1" x14ac:dyDescent="0.3"/>
    <row r="21282" s="160" customFormat="1" x14ac:dyDescent="0.3"/>
    <row r="21283" s="160" customFormat="1" x14ac:dyDescent="0.3"/>
    <row r="21284" s="160" customFormat="1" x14ac:dyDescent="0.3"/>
    <row r="21285" s="160" customFormat="1" x14ac:dyDescent="0.3"/>
    <row r="21286" s="160" customFormat="1" x14ac:dyDescent="0.3"/>
    <row r="21287" s="160" customFormat="1" x14ac:dyDescent="0.3"/>
    <row r="21288" s="160" customFormat="1" x14ac:dyDescent="0.3"/>
    <row r="21289" s="160" customFormat="1" x14ac:dyDescent="0.3"/>
    <row r="21290" s="160" customFormat="1" x14ac:dyDescent="0.3"/>
    <row r="21291" s="160" customFormat="1" x14ac:dyDescent="0.3"/>
    <row r="21292" s="160" customFormat="1" x14ac:dyDescent="0.3"/>
    <row r="21293" s="160" customFormat="1" x14ac:dyDescent="0.3"/>
    <row r="21294" s="160" customFormat="1" x14ac:dyDescent="0.3"/>
    <row r="21295" s="160" customFormat="1" x14ac:dyDescent="0.3"/>
    <row r="21296" s="160" customFormat="1" x14ac:dyDescent="0.3"/>
    <row r="21297" s="160" customFormat="1" x14ac:dyDescent="0.3"/>
    <row r="21298" s="160" customFormat="1" x14ac:dyDescent="0.3"/>
    <row r="21299" s="160" customFormat="1" x14ac:dyDescent="0.3"/>
    <row r="21300" s="160" customFormat="1" x14ac:dyDescent="0.3"/>
    <row r="21301" s="160" customFormat="1" x14ac:dyDescent="0.3"/>
    <row r="21302" s="160" customFormat="1" x14ac:dyDescent="0.3"/>
    <row r="21303" s="160" customFormat="1" x14ac:dyDescent="0.3"/>
    <row r="21304" s="160" customFormat="1" x14ac:dyDescent="0.3"/>
    <row r="21305" s="160" customFormat="1" x14ac:dyDescent="0.3"/>
    <row r="21306" s="160" customFormat="1" x14ac:dyDescent="0.3"/>
    <row r="21307" s="160" customFormat="1" x14ac:dyDescent="0.3"/>
    <row r="21308" s="160" customFormat="1" x14ac:dyDescent="0.3"/>
    <row r="21309" s="160" customFormat="1" x14ac:dyDescent="0.3"/>
    <row r="21310" s="160" customFormat="1" x14ac:dyDescent="0.3"/>
    <row r="21311" s="160" customFormat="1" x14ac:dyDescent="0.3"/>
    <row r="21312" s="160" customFormat="1" x14ac:dyDescent="0.3"/>
    <row r="21313" s="160" customFormat="1" x14ac:dyDescent="0.3"/>
    <row r="21314" s="160" customFormat="1" x14ac:dyDescent="0.3"/>
    <row r="21315" s="160" customFormat="1" x14ac:dyDescent="0.3"/>
    <row r="21316" s="160" customFormat="1" x14ac:dyDescent="0.3"/>
    <row r="21317" s="160" customFormat="1" x14ac:dyDescent="0.3"/>
    <row r="21318" s="160" customFormat="1" x14ac:dyDescent="0.3"/>
    <row r="21319" s="160" customFormat="1" x14ac:dyDescent="0.3"/>
    <row r="21320" s="160" customFormat="1" x14ac:dyDescent="0.3"/>
    <row r="21321" s="160" customFormat="1" x14ac:dyDescent="0.3"/>
    <row r="21322" s="160" customFormat="1" x14ac:dyDescent="0.3"/>
    <row r="21323" s="160" customFormat="1" x14ac:dyDescent="0.3"/>
    <row r="21324" s="160" customFormat="1" x14ac:dyDescent="0.3"/>
    <row r="21325" s="160" customFormat="1" x14ac:dyDescent="0.3"/>
    <row r="21326" s="160" customFormat="1" x14ac:dyDescent="0.3"/>
    <row r="21327" s="160" customFormat="1" x14ac:dyDescent="0.3"/>
    <row r="21328" s="160" customFormat="1" x14ac:dyDescent="0.3"/>
    <row r="21329" s="160" customFormat="1" x14ac:dyDescent="0.3"/>
    <row r="21330" s="160" customFormat="1" x14ac:dyDescent="0.3"/>
    <row r="21331" s="160" customFormat="1" x14ac:dyDescent="0.3"/>
    <row r="21332" s="160" customFormat="1" x14ac:dyDescent="0.3"/>
    <row r="21333" s="160" customFormat="1" x14ac:dyDescent="0.3"/>
    <row r="21334" s="160" customFormat="1" x14ac:dyDescent="0.3"/>
    <row r="21335" s="160" customFormat="1" x14ac:dyDescent="0.3"/>
    <row r="21336" s="160" customFormat="1" x14ac:dyDescent="0.3"/>
    <row r="21337" s="160" customFormat="1" x14ac:dyDescent="0.3"/>
    <row r="21338" s="160" customFormat="1" x14ac:dyDescent="0.3"/>
    <row r="21339" s="160" customFormat="1" x14ac:dyDescent="0.3"/>
    <row r="21340" s="160" customFormat="1" x14ac:dyDescent="0.3"/>
    <row r="21341" s="160" customFormat="1" x14ac:dyDescent="0.3"/>
    <row r="21342" s="160" customFormat="1" x14ac:dyDescent="0.3"/>
    <row r="21343" s="160" customFormat="1" x14ac:dyDescent="0.3"/>
    <row r="21344" s="160" customFormat="1" x14ac:dyDescent="0.3"/>
    <row r="21345" s="160" customFormat="1" x14ac:dyDescent="0.3"/>
    <row r="21346" s="160" customFormat="1" x14ac:dyDescent="0.3"/>
    <row r="21347" s="160" customFormat="1" x14ac:dyDescent="0.3"/>
    <row r="21348" s="160" customFormat="1" x14ac:dyDescent="0.3"/>
    <row r="21349" s="160" customFormat="1" x14ac:dyDescent="0.3"/>
    <row r="21350" s="160" customFormat="1" x14ac:dyDescent="0.3"/>
    <row r="21351" s="160" customFormat="1" x14ac:dyDescent="0.3"/>
    <row r="21352" s="160" customFormat="1" x14ac:dyDescent="0.3"/>
    <row r="21353" s="160" customFormat="1" x14ac:dyDescent="0.3"/>
    <row r="21354" s="160" customFormat="1" x14ac:dyDescent="0.3"/>
    <row r="21355" s="160" customFormat="1" x14ac:dyDescent="0.3"/>
    <row r="21356" s="160" customFormat="1" x14ac:dyDescent="0.3"/>
    <row r="21357" s="160" customFormat="1" x14ac:dyDescent="0.3"/>
    <row r="21358" s="160" customFormat="1" x14ac:dyDescent="0.3"/>
    <row r="21359" s="160" customFormat="1" x14ac:dyDescent="0.3"/>
    <row r="21360" s="160" customFormat="1" x14ac:dyDescent="0.3"/>
    <row r="21361" s="160" customFormat="1" x14ac:dyDescent="0.3"/>
    <row r="21362" s="160" customFormat="1" x14ac:dyDescent="0.3"/>
    <row r="21363" s="160" customFormat="1" x14ac:dyDescent="0.3"/>
    <row r="21364" s="160" customFormat="1" x14ac:dyDescent="0.3"/>
    <row r="21365" s="160" customFormat="1" x14ac:dyDescent="0.3"/>
    <row r="21366" s="160" customFormat="1" x14ac:dyDescent="0.3"/>
    <row r="21367" s="160" customFormat="1" x14ac:dyDescent="0.3"/>
    <row r="21368" s="160" customFormat="1" x14ac:dyDescent="0.3"/>
    <row r="21369" s="160" customFormat="1" x14ac:dyDescent="0.3"/>
    <row r="21370" s="160" customFormat="1" x14ac:dyDescent="0.3"/>
    <row r="21371" s="160" customFormat="1" x14ac:dyDescent="0.3"/>
    <row r="21372" s="160" customFormat="1" x14ac:dyDescent="0.3"/>
    <row r="21373" s="160" customFormat="1" x14ac:dyDescent="0.3"/>
    <row r="21374" s="160" customFormat="1" x14ac:dyDescent="0.3"/>
    <row r="21375" s="160" customFormat="1" x14ac:dyDescent="0.3"/>
    <row r="21376" s="160" customFormat="1" x14ac:dyDescent="0.3"/>
    <row r="21377" s="160" customFormat="1" x14ac:dyDescent="0.3"/>
    <row r="21378" s="160" customFormat="1" x14ac:dyDescent="0.3"/>
    <row r="21379" s="160" customFormat="1" x14ac:dyDescent="0.3"/>
    <row r="21380" s="160" customFormat="1" x14ac:dyDescent="0.3"/>
    <row r="21381" s="160" customFormat="1" x14ac:dyDescent="0.3"/>
    <row r="21382" s="160" customFormat="1" x14ac:dyDescent="0.3"/>
    <row r="21383" s="160" customFormat="1" x14ac:dyDescent="0.3"/>
    <row r="21384" s="160" customFormat="1" x14ac:dyDescent="0.3"/>
    <row r="21385" s="160" customFormat="1" x14ac:dyDescent="0.3"/>
    <row r="21386" s="160" customFormat="1" x14ac:dyDescent="0.3"/>
    <row r="21387" s="160" customFormat="1" x14ac:dyDescent="0.3"/>
    <row r="21388" s="160" customFormat="1" x14ac:dyDescent="0.3"/>
    <row r="21389" s="160" customFormat="1" x14ac:dyDescent="0.3"/>
    <row r="21390" s="160" customFormat="1" x14ac:dyDescent="0.3"/>
    <row r="21391" s="160" customFormat="1" x14ac:dyDescent="0.3"/>
    <row r="21392" s="160" customFormat="1" x14ac:dyDescent="0.3"/>
    <row r="21393" s="160" customFormat="1" x14ac:dyDescent="0.3"/>
    <row r="21394" s="160" customFormat="1" x14ac:dyDescent="0.3"/>
    <row r="21395" s="160" customFormat="1" x14ac:dyDescent="0.3"/>
    <row r="21396" s="160" customFormat="1" x14ac:dyDescent="0.3"/>
    <row r="21397" s="160" customFormat="1" x14ac:dyDescent="0.3"/>
    <row r="21398" s="160" customFormat="1" x14ac:dyDescent="0.3"/>
    <row r="21399" s="160" customFormat="1" x14ac:dyDescent="0.3"/>
    <row r="21400" s="160" customFormat="1" x14ac:dyDescent="0.3"/>
    <row r="21401" s="160" customFormat="1" x14ac:dyDescent="0.3"/>
    <row r="21402" s="160" customFormat="1" x14ac:dyDescent="0.3"/>
    <row r="21403" s="160" customFormat="1" x14ac:dyDescent="0.3"/>
    <row r="21404" s="160" customFormat="1" x14ac:dyDescent="0.3"/>
    <row r="21405" s="160" customFormat="1" x14ac:dyDescent="0.3"/>
    <row r="21406" s="160" customFormat="1" x14ac:dyDescent="0.3"/>
    <row r="21407" s="160" customFormat="1" x14ac:dyDescent="0.3"/>
    <row r="21408" s="160" customFormat="1" x14ac:dyDescent="0.3"/>
    <row r="21409" s="160" customFormat="1" x14ac:dyDescent="0.3"/>
    <row r="21410" s="160" customFormat="1" x14ac:dyDescent="0.3"/>
    <row r="21411" s="160" customFormat="1" x14ac:dyDescent="0.3"/>
    <row r="21412" s="160" customFormat="1" x14ac:dyDescent="0.3"/>
    <row r="21413" s="160" customFormat="1" x14ac:dyDescent="0.3"/>
    <row r="21414" s="160" customFormat="1" x14ac:dyDescent="0.3"/>
    <row r="21415" s="160" customFormat="1" x14ac:dyDescent="0.3"/>
    <row r="21416" s="160" customFormat="1" x14ac:dyDescent="0.3"/>
    <row r="21417" s="160" customFormat="1" x14ac:dyDescent="0.3"/>
    <row r="21418" s="160" customFormat="1" x14ac:dyDescent="0.3"/>
    <row r="21419" s="160" customFormat="1" x14ac:dyDescent="0.3"/>
    <row r="21420" s="160" customFormat="1" x14ac:dyDescent="0.3"/>
    <row r="21421" s="160" customFormat="1" x14ac:dyDescent="0.3"/>
    <row r="21422" s="160" customFormat="1" x14ac:dyDescent="0.3"/>
    <row r="21423" s="160" customFormat="1" x14ac:dyDescent="0.3"/>
    <row r="21424" s="160" customFormat="1" x14ac:dyDescent="0.3"/>
    <row r="21425" s="160" customFormat="1" x14ac:dyDescent="0.3"/>
    <row r="21426" s="160" customFormat="1" x14ac:dyDescent="0.3"/>
    <row r="21427" s="160" customFormat="1" x14ac:dyDescent="0.3"/>
    <row r="21428" s="160" customFormat="1" x14ac:dyDescent="0.3"/>
    <row r="21429" s="160" customFormat="1" x14ac:dyDescent="0.3"/>
    <row r="21430" s="160" customFormat="1" x14ac:dyDescent="0.3"/>
    <row r="21431" s="160" customFormat="1" x14ac:dyDescent="0.3"/>
    <row r="21432" s="160" customFormat="1" x14ac:dyDescent="0.3"/>
    <row r="21433" s="160" customFormat="1" x14ac:dyDescent="0.3"/>
    <row r="21434" s="160" customFormat="1" x14ac:dyDescent="0.3"/>
    <row r="21435" s="160" customFormat="1" x14ac:dyDescent="0.3"/>
    <row r="21436" s="160" customFormat="1" x14ac:dyDescent="0.3"/>
    <row r="21437" s="160" customFormat="1" x14ac:dyDescent="0.3"/>
    <row r="21438" s="160" customFormat="1" x14ac:dyDescent="0.3"/>
    <row r="21439" s="160" customFormat="1" x14ac:dyDescent="0.3"/>
    <row r="21440" s="160" customFormat="1" x14ac:dyDescent="0.3"/>
    <row r="21441" s="160" customFormat="1" x14ac:dyDescent="0.3"/>
    <row r="21442" s="160" customFormat="1" x14ac:dyDescent="0.3"/>
    <row r="21443" s="160" customFormat="1" x14ac:dyDescent="0.3"/>
    <row r="21444" s="160" customFormat="1" x14ac:dyDescent="0.3"/>
    <row r="21445" s="160" customFormat="1" x14ac:dyDescent="0.3"/>
    <row r="21446" s="160" customFormat="1" x14ac:dyDescent="0.3"/>
    <row r="21447" s="160" customFormat="1" x14ac:dyDescent="0.3"/>
    <row r="21448" s="160" customFormat="1" x14ac:dyDescent="0.3"/>
    <row r="21449" s="160" customFormat="1" x14ac:dyDescent="0.3"/>
    <row r="21450" s="160" customFormat="1" x14ac:dyDescent="0.3"/>
    <row r="21451" s="160" customFormat="1" x14ac:dyDescent="0.3"/>
    <row r="21452" s="160" customFormat="1" x14ac:dyDescent="0.3"/>
    <row r="21453" s="160" customFormat="1" x14ac:dyDescent="0.3"/>
    <row r="21454" s="160" customFormat="1" x14ac:dyDescent="0.3"/>
    <row r="21455" s="160" customFormat="1" x14ac:dyDescent="0.3"/>
    <row r="21456" s="160" customFormat="1" x14ac:dyDescent="0.3"/>
    <row r="21457" s="160" customFormat="1" x14ac:dyDescent="0.3"/>
    <row r="21458" s="160" customFormat="1" x14ac:dyDescent="0.3"/>
    <row r="21459" s="160" customFormat="1" x14ac:dyDescent="0.3"/>
    <row r="21460" s="160" customFormat="1" x14ac:dyDescent="0.3"/>
    <row r="21461" s="160" customFormat="1" x14ac:dyDescent="0.3"/>
    <row r="21462" s="160" customFormat="1" x14ac:dyDescent="0.3"/>
    <row r="21463" s="160" customFormat="1" x14ac:dyDescent="0.3"/>
    <row r="21464" s="160" customFormat="1" x14ac:dyDescent="0.3"/>
    <row r="21465" s="160" customFormat="1" x14ac:dyDescent="0.3"/>
    <row r="21466" s="160" customFormat="1" x14ac:dyDescent="0.3"/>
    <row r="21467" s="160" customFormat="1" x14ac:dyDescent="0.3"/>
    <row r="21468" s="160" customFormat="1" x14ac:dyDescent="0.3"/>
    <row r="21469" s="160" customFormat="1" x14ac:dyDescent="0.3"/>
    <row r="21470" s="160" customFormat="1" x14ac:dyDescent="0.3"/>
    <row r="21471" s="160" customFormat="1" x14ac:dyDescent="0.3"/>
    <row r="21472" s="160" customFormat="1" x14ac:dyDescent="0.3"/>
    <row r="21473" s="160" customFormat="1" x14ac:dyDescent="0.3"/>
    <row r="21474" s="160" customFormat="1" x14ac:dyDescent="0.3"/>
    <row r="21475" s="160" customFormat="1" x14ac:dyDescent="0.3"/>
    <row r="21476" s="160" customFormat="1" x14ac:dyDescent="0.3"/>
    <row r="21477" s="160" customFormat="1" x14ac:dyDescent="0.3"/>
    <row r="21478" s="160" customFormat="1" x14ac:dyDescent="0.3"/>
    <row r="21479" s="160" customFormat="1" x14ac:dyDescent="0.3"/>
    <row r="21480" s="160" customFormat="1" x14ac:dyDescent="0.3"/>
    <row r="21481" s="160" customFormat="1" x14ac:dyDescent="0.3"/>
    <row r="21482" s="160" customFormat="1" x14ac:dyDescent="0.3"/>
    <row r="21483" s="160" customFormat="1" x14ac:dyDescent="0.3"/>
    <row r="21484" s="160" customFormat="1" x14ac:dyDescent="0.3"/>
    <row r="21485" s="160" customFormat="1" x14ac:dyDescent="0.3"/>
    <row r="21486" s="160" customFormat="1" x14ac:dyDescent="0.3"/>
    <row r="21487" s="160" customFormat="1" x14ac:dyDescent="0.3"/>
    <row r="21488" s="160" customFormat="1" x14ac:dyDescent="0.3"/>
    <row r="21489" s="160" customFormat="1" x14ac:dyDescent="0.3"/>
    <row r="21490" s="160" customFormat="1" x14ac:dyDescent="0.3"/>
    <row r="21491" s="160" customFormat="1" x14ac:dyDescent="0.3"/>
    <row r="21492" s="160" customFormat="1" x14ac:dyDescent="0.3"/>
    <row r="21493" s="160" customFormat="1" x14ac:dyDescent="0.3"/>
    <row r="21494" s="160" customFormat="1" x14ac:dyDescent="0.3"/>
    <row r="21495" s="160" customFormat="1" x14ac:dyDescent="0.3"/>
    <row r="21496" s="160" customFormat="1" x14ac:dyDescent="0.3"/>
    <row r="21497" s="160" customFormat="1" x14ac:dyDescent="0.3"/>
    <row r="21498" s="160" customFormat="1" x14ac:dyDescent="0.3"/>
    <row r="21499" s="160" customFormat="1" x14ac:dyDescent="0.3"/>
    <row r="21500" s="160" customFormat="1" x14ac:dyDescent="0.3"/>
    <row r="21501" s="160" customFormat="1" x14ac:dyDescent="0.3"/>
    <row r="21502" s="160" customFormat="1" x14ac:dyDescent="0.3"/>
    <row r="21503" s="160" customFormat="1" x14ac:dyDescent="0.3"/>
    <row r="21504" s="160" customFormat="1" x14ac:dyDescent="0.3"/>
    <row r="21505" s="160" customFormat="1" x14ac:dyDescent="0.3"/>
    <row r="21506" s="160" customFormat="1" x14ac:dyDescent="0.3"/>
    <row r="21507" s="160" customFormat="1" x14ac:dyDescent="0.3"/>
    <row r="21508" s="160" customFormat="1" x14ac:dyDescent="0.3"/>
    <row r="21509" s="160" customFormat="1" x14ac:dyDescent="0.3"/>
    <row r="21510" s="160" customFormat="1" x14ac:dyDescent="0.3"/>
    <row r="21511" s="160" customFormat="1" x14ac:dyDescent="0.3"/>
    <row r="21512" s="160" customFormat="1" x14ac:dyDescent="0.3"/>
    <row r="21513" s="160" customFormat="1" x14ac:dyDescent="0.3"/>
    <row r="21514" s="160" customFormat="1" x14ac:dyDescent="0.3"/>
    <row r="21515" s="160" customFormat="1" x14ac:dyDescent="0.3"/>
    <row r="21516" s="160" customFormat="1" x14ac:dyDescent="0.3"/>
    <row r="21517" s="160" customFormat="1" x14ac:dyDescent="0.3"/>
    <row r="21518" s="160" customFormat="1" x14ac:dyDescent="0.3"/>
    <row r="21519" s="160" customFormat="1" x14ac:dyDescent="0.3"/>
    <row r="21520" s="160" customFormat="1" x14ac:dyDescent="0.3"/>
    <row r="21521" s="160" customFormat="1" x14ac:dyDescent="0.3"/>
    <row r="21522" s="160" customFormat="1" x14ac:dyDescent="0.3"/>
    <row r="21523" s="160" customFormat="1" x14ac:dyDescent="0.3"/>
    <row r="21524" s="160" customFormat="1" x14ac:dyDescent="0.3"/>
    <row r="21525" s="160" customFormat="1" x14ac:dyDescent="0.3"/>
    <row r="21526" s="160" customFormat="1" x14ac:dyDescent="0.3"/>
    <row r="21527" s="160" customFormat="1" x14ac:dyDescent="0.3"/>
    <row r="21528" s="160" customFormat="1" x14ac:dyDescent="0.3"/>
    <row r="21529" s="160" customFormat="1" x14ac:dyDescent="0.3"/>
    <row r="21530" s="160" customFormat="1" x14ac:dyDescent="0.3"/>
    <row r="21531" s="160" customFormat="1" x14ac:dyDescent="0.3"/>
    <row r="21532" s="160" customFormat="1" x14ac:dyDescent="0.3"/>
    <row r="21533" s="160" customFormat="1" x14ac:dyDescent="0.3"/>
    <row r="21534" s="160" customFormat="1" x14ac:dyDescent="0.3"/>
    <row r="21535" s="160" customFormat="1" x14ac:dyDescent="0.3"/>
    <row r="21536" s="160" customFormat="1" x14ac:dyDescent="0.3"/>
    <row r="21537" s="160" customFormat="1" x14ac:dyDescent="0.3"/>
    <row r="21538" s="160" customFormat="1" x14ac:dyDescent="0.3"/>
    <row r="21539" s="160" customFormat="1" x14ac:dyDescent="0.3"/>
    <row r="21540" s="160" customFormat="1" x14ac:dyDescent="0.3"/>
    <row r="21541" s="160" customFormat="1" x14ac:dyDescent="0.3"/>
    <row r="21542" s="160" customFormat="1" x14ac:dyDescent="0.3"/>
    <row r="21543" s="160" customFormat="1" x14ac:dyDescent="0.3"/>
    <row r="21544" s="160" customFormat="1" x14ac:dyDescent="0.3"/>
    <row r="21545" s="160" customFormat="1" x14ac:dyDescent="0.3"/>
    <row r="21546" s="160" customFormat="1" x14ac:dyDescent="0.3"/>
    <row r="21547" s="160" customFormat="1" x14ac:dyDescent="0.3"/>
    <row r="21548" s="160" customFormat="1" x14ac:dyDescent="0.3"/>
    <row r="21549" s="160" customFormat="1" x14ac:dyDescent="0.3"/>
    <row r="21550" s="160" customFormat="1" x14ac:dyDescent="0.3"/>
    <row r="21551" s="160" customFormat="1" x14ac:dyDescent="0.3"/>
    <row r="21552" s="160" customFormat="1" x14ac:dyDescent="0.3"/>
    <row r="21553" s="160" customFormat="1" x14ac:dyDescent="0.3"/>
    <row r="21554" s="160" customFormat="1" x14ac:dyDescent="0.3"/>
    <row r="21555" s="160" customFormat="1" x14ac:dyDescent="0.3"/>
    <row r="21556" s="160" customFormat="1" x14ac:dyDescent="0.3"/>
    <row r="21557" s="160" customFormat="1" x14ac:dyDescent="0.3"/>
    <row r="21558" s="160" customFormat="1" x14ac:dyDescent="0.3"/>
    <row r="21559" s="160" customFormat="1" x14ac:dyDescent="0.3"/>
    <row r="21560" s="160" customFormat="1" x14ac:dyDescent="0.3"/>
    <row r="21561" s="160" customFormat="1" x14ac:dyDescent="0.3"/>
    <row r="21562" s="160" customFormat="1" x14ac:dyDescent="0.3"/>
    <row r="21563" s="160" customFormat="1" x14ac:dyDescent="0.3"/>
    <row r="21564" s="160" customFormat="1" x14ac:dyDescent="0.3"/>
    <row r="21565" s="160" customFormat="1" x14ac:dyDescent="0.3"/>
    <row r="21566" s="160" customFormat="1" x14ac:dyDescent="0.3"/>
    <row r="21567" s="160" customFormat="1" x14ac:dyDescent="0.3"/>
    <row r="21568" s="160" customFormat="1" x14ac:dyDescent="0.3"/>
    <row r="21569" s="160" customFormat="1" x14ac:dyDescent="0.3"/>
    <row r="21570" s="160" customFormat="1" x14ac:dyDescent="0.3"/>
    <row r="21571" s="160" customFormat="1" x14ac:dyDescent="0.3"/>
    <row r="21572" s="160" customFormat="1" x14ac:dyDescent="0.3"/>
    <row r="21573" s="160" customFormat="1" x14ac:dyDescent="0.3"/>
    <row r="21574" s="160" customFormat="1" x14ac:dyDescent="0.3"/>
    <row r="21575" s="160" customFormat="1" x14ac:dyDescent="0.3"/>
    <row r="21576" s="160" customFormat="1" x14ac:dyDescent="0.3"/>
    <row r="21577" s="160" customFormat="1" x14ac:dyDescent="0.3"/>
    <row r="21578" s="160" customFormat="1" x14ac:dyDescent="0.3"/>
    <row r="21579" s="160" customFormat="1" x14ac:dyDescent="0.3"/>
    <row r="21580" s="160" customFormat="1" x14ac:dyDescent="0.3"/>
    <row r="21581" s="160" customFormat="1" x14ac:dyDescent="0.3"/>
    <row r="21582" s="160" customFormat="1" x14ac:dyDescent="0.3"/>
    <row r="21583" s="160" customFormat="1" x14ac:dyDescent="0.3"/>
    <row r="21584" s="160" customFormat="1" x14ac:dyDescent="0.3"/>
    <row r="21585" s="160" customFormat="1" x14ac:dyDescent="0.3"/>
    <row r="21586" s="160" customFormat="1" x14ac:dyDescent="0.3"/>
    <row r="21587" s="160" customFormat="1" x14ac:dyDescent="0.3"/>
    <row r="21588" s="160" customFormat="1" x14ac:dyDescent="0.3"/>
    <row r="21589" s="160" customFormat="1" x14ac:dyDescent="0.3"/>
    <row r="21590" s="160" customFormat="1" x14ac:dyDescent="0.3"/>
    <row r="21591" s="160" customFormat="1" x14ac:dyDescent="0.3"/>
    <row r="21592" s="160" customFormat="1" x14ac:dyDescent="0.3"/>
    <row r="21593" s="160" customFormat="1" x14ac:dyDescent="0.3"/>
    <row r="21594" s="160" customFormat="1" x14ac:dyDescent="0.3"/>
    <row r="21595" s="160" customFormat="1" x14ac:dyDescent="0.3"/>
    <row r="21596" s="160" customFormat="1" x14ac:dyDescent="0.3"/>
    <row r="21597" s="160" customFormat="1" x14ac:dyDescent="0.3"/>
    <row r="21598" s="160" customFormat="1" x14ac:dyDescent="0.3"/>
    <row r="21599" s="160" customFormat="1" x14ac:dyDescent="0.3"/>
    <row r="21600" s="160" customFormat="1" x14ac:dyDescent="0.3"/>
    <row r="21601" s="160" customFormat="1" x14ac:dyDescent="0.3"/>
    <row r="21602" s="160" customFormat="1" x14ac:dyDescent="0.3"/>
    <row r="21603" s="160" customFormat="1" x14ac:dyDescent="0.3"/>
    <row r="21604" s="160" customFormat="1" x14ac:dyDescent="0.3"/>
    <row r="21605" s="160" customFormat="1" x14ac:dyDescent="0.3"/>
    <row r="21606" s="160" customFormat="1" x14ac:dyDescent="0.3"/>
    <row r="21607" s="160" customFormat="1" x14ac:dyDescent="0.3"/>
    <row r="21608" s="160" customFormat="1" x14ac:dyDescent="0.3"/>
    <row r="21609" s="160" customFormat="1" x14ac:dyDescent="0.3"/>
    <row r="21610" s="160" customFormat="1" x14ac:dyDescent="0.3"/>
    <row r="21611" s="160" customFormat="1" x14ac:dyDescent="0.3"/>
    <row r="21612" s="160" customFormat="1" x14ac:dyDescent="0.3"/>
    <row r="21613" s="160" customFormat="1" x14ac:dyDescent="0.3"/>
    <row r="21614" s="160" customFormat="1" x14ac:dyDescent="0.3"/>
    <row r="21615" s="160" customFormat="1" x14ac:dyDescent="0.3"/>
    <row r="21616" s="160" customFormat="1" x14ac:dyDescent="0.3"/>
    <row r="21617" s="160" customFormat="1" x14ac:dyDescent="0.3"/>
    <row r="21618" s="160" customFormat="1" x14ac:dyDescent="0.3"/>
    <row r="21619" s="160" customFormat="1" x14ac:dyDescent="0.3"/>
    <row r="21620" s="160" customFormat="1" x14ac:dyDescent="0.3"/>
    <row r="21621" s="160" customFormat="1" x14ac:dyDescent="0.3"/>
    <row r="21622" s="160" customFormat="1" x14ac:dyDescent="0.3"/>
    <row r="21623" s="160" customFormat="1" x14ac:dyDescent="0.3"/>
    <row r="21624" s="160" customFormat="1" x14ac:dyDescent="0.3"/>
    <row r="21625" s="160" customFormat="1" x14ac:dyDescent="0.3"/>
    <row r="21626" s="160" customFormat="1" x14ac:dyDescent="0.3"/>
    <row r="21627" s="160" customFormat="1" x14ac:dyDescent="0.3"/>
    <row r="21628" s="160" customFormat="1" x14ac:dyDescent="0.3"/>
    <row r="21629" s="160" customFormat="1" x14ac:dyDescent="0.3"/>
    <row r="21630" s="160" customFormat="1" x14ac:dyDescent="0.3"/>
    <row r="21631" s="160" customFormat="1" x14ac:dyDescent="0.3"/>
    <row r="21632" s="160" customFormat="1" x14ac:dyDescent="0.3"/>
    <row r="21633" s="160" customFormat="1" x14ac:dyDescent="0.3"/>
    <row r="21634" s="160" customFormat="1" x14ac:dyDescent="0.3"/>
    <row r="21635" s="160" customFormat="1" x14ac:dyDescent="0.3"/>
    <row r="21636" s="160" customFormat="1" x14ac:dyDescent="0.3"/>
    <row r="21637" s="160" customFormat="1" x14ac:dyDescent="0.3"/>
    <row r="21638" s="160" customFormat="1" x14ac:dyDescent="0.3"/>
    <row r="21639" s="160" customFormat="1" x14ac:dyDescent="0.3"/>
    <row r="21640" s="160" customFormat="1" x14ac:dyDescent="0.3"/>
    <row r="21641" s="160" customFormat="1" x14ac:dyDescent="0.3"/>
    <row r="21642" s="160" customFormat="1" x14ac:dyDescent="0.3"/>
    <row r="21643" s="160" customFormat="1" x14ac:dyDescent="0.3"/>
    <row r="21644" s="160" customFormat="1" x14ac:dyDescent="0.3"/>
    <row r="21645" s="160" customFormat="1" x14ac:dyDescent="0.3"/>
    <row r="21646" s="160" customFormat="1" x14ac:dyDescent="0.3"/>
    <row r="21647" s="160" customFormat="1" x14ac:dyDescent="0.3"/>
    <row r="21648" s="160" customFormat="1" x14ac:dyDescent="0.3"/>
    <row r="21649" s="160" customFormat="1" x14ac:dyDescent="0.3"/>
    <row r="21650" s="160" customFormat="1" x14ac:dyDescent="0.3"/>
    <row r="21651" s="160" customFormat="1" x14ac:dyDescent="0.3"/>
    <row r="21652" s="160" customFormat="1" x14ac:dyDescent="0.3"/>
    <row r="21653" s="160" customFormat="1" x14ac:dyDescent="0.3"/>
    <row r="21654" s="160" customFormat="1" x14ac:dyDescent="0.3"/>
    <row r="21655" s="160" customFormat="1" x14ac:dyDescent="0.3"/>
    <row r="21656" s="160" customFormat="1" x14ac:dyDescent="0.3"/>
    <row r="21657" s="160" customFormat="1" x14ac:dyDescent="0.3"/>
    <row r="21658" s="160" customFormat="1" x14ac:dyDescent="0.3"/>
    <row r="21659" s="160" customFormat="1" x14ac:dyDescent="0.3"/>
    <row r="21660" s="160" customFormat="1" x14ac:dyDescent="0.3"/>
    <row r="21661" s="160" customFormat="1" x14ac:dyDescent="0.3"/>
    <row r="21662" s="160" customFormat="1" x14ac:dyDescent="0.3"/>
    <row r="21663" s="160" customFormat="1" x14ac:dyDescent="0.3"/>
    <row r="21664" s="160" customFormat="1" x14ac:dyDescent="0.3"/>
    <row r="21665" s="160" customFormat="1" x14ac:dyDescent="0.3"/>
    <row r="21666" s="160" customFormat="1" x14ac:dyDescent="0.3"/>
    <row r="21667" s="160" customFormat="1" x14ac:dyDescent="0.3"/>
    <row r="21668" s="160" customFormat="1" x14ac:dyDescent="0.3"/>
    <row r="21669" s="160" customFormat="1" x14ac:dyDescent="0.3"/>
    <row r="21670" s="160" customFormat="1" x14ac:dyDescent="0.3"/>
    <row r="21671" s="160" customFormat="1" x14ac:dyDescent="0.3"/>
    <row r="21672" s="160" customFormat="1" x14ac:dyDescent="0.3"/>
    <row r="21673" s="160" customFormat="1" x14ac:dyDescent="0.3"/>
    <row r="21674" s="160" customFormat="1" x14ac:dyDescent="0.3"/>
    <row r="21675" s="160" customFormat="1" x14ac:dyDescent="0.3"/>
    <row r="21676" s="160" customFormat="1" x14ac:dyDescent="0.3"/>
    <row r="21677" s="160" customFormat="1" x14ac:dyDescent="0.3"/>
    <row r="21678" s="160" customFormat="1" x14ac:dyDescent="0.3"/>
    <row r="21679" s="160" customFormat="1" x14ac:dyDescent="0.3"/>
    <row r="21680" s="160" customFormat="1" x14ac:dyDescent="0.3"/>
    <row r="21681" s="160" customFormat="1" x14ac:dyDescent="0.3"/>
    <row r="21682" s="160" customFormat="1" x14ac:dyDescent="0.3"/>
    <row r="21683" s="160" customFormat="1" x14ac:dyDescent="0.3"/>
    <row r="21684" s="160" customFormat="1" x14ac:dyDescent="0.3"/>
    <row r="21685" s="160" customFormat="1" x14ac:dyDescent="0.3"/>
    <row r="21686" s="160" customFormat="1" x14ac:dyDescent="0.3"/>
    <row r="21687" s="160" customFormat="1" x14ac:dyDescent="0.3"/>
    <row r="21688" s="160" customFormat="1" x14ac:dyDescent="0.3"/>
    <row r="21689" s="160" customFormat="1" x14ac:dyDescent="0.3"/>
    <row r="21690" s="160" customFormat="1" x14ac:dyDescent="0.3"/>
    <row r="21691" s="160" customFormat="1" x14ac:dyDescent="0.3"/>
    <row r="21692" s="160" customFormat="1" x14ac:dyDescent="0.3"/>
    <row r="21693" s="160" customFormat="1" x14ac:dyDescent="0.3"/>
    <row r="21694" s="160" customFormat="1" x14ac:dyDescent="0.3"/>
    <row r="21695" s="160" customFormat="1" x14ac:dyDescent="0.3"/>
    <row r="21696" s="160" customFormat="1" x14ac:dyDescent="0.3"/>
    <row r="21697" s="160" customFormat="1" x14ac:dyDescent="0.3"/>
    <row r="21698" s="160" customFormat="1" x14ac:dyDescent="0.3"/>
    <row r="21699" s="160" customFormat="1" x14ac:dyDescent="0.3"/>
    <row r="21700" s="160" customFormat="1" x14ac:dyDescent="0.3"/>
    <row r="21701" s="160" customFormat="1" x14ac:dyDescent="0.3"/>
    <row r="21702" s="160" customFormat="1" x14ac:dyDescent="0.3"/>
    <row r="21703" s="160" customFormat="1" x14ac:dyDescent="0.3"/>
    <row r="21704" s="160" customFormat="1" x14ac:dyDescent="0.3"/>
    <row r="21705" s="160" customFormat="1" x14ac:dyDescent="0.3"/>
    <row r="21706" s="160" customFormat="1" x14ac:dyDescent="0.3"/>
    <row r="21707" s="160" customFormat="1" x14ac:dyDescent="0.3"/>
    <row r="21708" s="160" customFormat="1" x14ac:dyDescent="0.3"/>
    <row r="21709" s="160" customFormat="1" x14ac:dyDescent="0.3"/>
    <row r="21710" s="160" customFormat="1" x14ac:dyDescent="0.3"/>
    <row r="21711" s="160" customFormat="1" x14ac:dyDescent="0.3"/>
    <row r="21712" s="160" customFormat="1" x14ac:dyDescent="0.3"/>
    <row r="21713" s="160" customFormat="1" x14ac:dyDescent="0.3"/>
    <row r="21714" s="160" customFormat="1" x14ac:dyDescent="0.3"/>
    <row r="21715" s="160" customFormat="1" x14ac:dyDescent="0.3"/>
    <row r="21716" s="160" customFormat="1" x14ac:dyDescent="0.3"/>
    <row r="21717" s="160" customFormat="1" x14ac:dyDescent="0.3"/>
    <row r="21718" s="160" customFormat="1" x14ac:dyDescent="0.3"/>
    <row r="21719" s="160" customFormat="1" x14ac:dyDescent="0.3"/>
    <row r="21720" s="160" customFormat="1" x14ac:dyDescent="0.3"/>
    <row r="21721" s="160" customFormat="1" x14ac:dyDescent="0.3"/>
    <row r="21722" s="160" customFormat="1" x14ac:dyDescent="0.3"/>
    <row r="21723" s="160" customFormat="1" x14ac:dyDescent="0.3"/>
    <row r="21724" s="160" customFormat="1" x14ac:dyDescent="0.3"/>
    <row r="21725" s="160" customFormat="1" x14ac:dyDescent="0.3"/>
    <row r="21726" s="160" customFormat="1" x14ac:dyDescent="0.3"/>
    <row r="21727" s="160" customFormat="1" x14ac:dyDescent="0.3"/>
    <row r="21728" s="160" customFormat="1" x14ac:dyDescent="0.3"/>
    <row r="21729" s="160" customFormat="1" x14ac:dyDescent="0.3"/>
    <row r="21730" s="160" customFormat="1" x14ac:dyDescent="0.3"/>
    <row r="21731" s="160" customFormat="1" x14ac:dyDescent="0.3"/>
    <row r="21732" s="160" customFormat="1" x14ac:dyDescent="0.3"/>
    <row r="21733" s="160" customFormat="1" x14ac:dyDescent="0.3"/>
    <row r="21734" s="160" customFormat="1" x14ac:dyDescent="0.3"/>
    <row r="21735" s="160" customFormat="1" x14ac:dyDescent="0.3"/>
    <row r="21736" s="160" customFormat="1" x14ac:dyDescent="0.3"/>
    <row r="21737" s="160" customFormat="1" x14ac:dyDescent="0.3"/>
    <row r="21738" s="160" customFormat="1" x14ac:dyDescent="0.3"/>
    <row r="21739" s="160" customFormat="1" x14ac:dyDescent="0.3"/>
    <row r="21740" s="160" customFormat="1" x14ac:dyDescent="0.3"/>
    <row r="21741" s="160" customFormat="1" x14ac:dyDescent="0.3"/>
    <row r="21742" s="160" customFormat="1" x14ac:dyDescent="0.3"/>
    <row r="21743" s="160" customFormat="1" x14ac:dyDescent="0.3"/>
    <row r="21744" s="160" customFormat="1" x14ac:dyDescent="0.3"/>
    <row r="21745" s="160" customFormat="1" x14ac:dyDescent="0.3"/>
    <row r="21746" s="160" customFormat="1" x14ac:dyDescent="0.3"/>
    <row r="21747" s="160" customFormat="1" x14ac:dyDescent="0.3"/>
    <row r="21748" s="160" customFormat="1" x14ac:dyDescent="0.3"/>
    <row r="21749" s="160" customFormat="1" x14ac:dyDescent="0.3"/>
    <row r="21750" s="160" customFormat="1" x14ac:dyDescent="0.3"/>
    <row r="21751" s="160" customFormat="1" x14ac:dyDescent="0.3"/>
    <row r="21752" s="160" customFormat="1" x14ac:dyDescent="0.3"/>
    <row r="21753" s="160" customFormat="1" x14ac:dyDescent="0.3"/>
    <row r="21754" s="160" customFormat="1" x14ac:dyDescent="0.3"/>
    <row r="21755" s="160" customFormat="1" x14ac:dyDescent="0.3"/>
    <row r="21756" s="160" customFormat="1" x14ac:dyDescent="0.3"/>
    <row r="21757" s="160" customFormat="1" x14ac:dyDescent="0.3"/>
    <row r="21758" s="160" customFormat="1" x14ac:dyDescent="0.3"/>
    <row r="21759" s="160" customFormat="1" x14ac:dyDescent="0.3"/>
    <row r="21760" s="160" customFormat="1" x14ac:dyDescent="0.3"/>
    <row r="21761" s="160" customFormat="1" x14ac:dyDescent="0.3"/>
    <row r="21762" s="160" customFormat="1" x14ac:dyDescent="0.3"/>
    <row r="21763" s="160" customFormat="1" x14ac:dyDescent="0.3"/>
    <row r="21764" s="160" customFormat="1" x14ac:dyDescent="0.3"/>
    <row r="21765" s="160" customFormat="1" x14ac:dyDescent="0.3"/>
    <row r="21766" s="160" customFormat="1" x14ac:dyDescent="0.3"/>
    <row r="21767" s="160" customFormat="1" x14ac:dyDescent="0.3"/>
    <row r="21768" s="160" customFormat="1" x14ac:dyDescent="0.3"/>
    <row r="21769" s="160" customFormat="1" x14ac:dyDescent="0.3"/>
    <row r="21770" s="160" customFormat="1" x14ac:dyDescent="0.3"/>
    <row r="21771" s="160" customFormat="1" x14ac:dyDescent="0.3"/>
    <row r="21772" s="160" customFormat="1" x14ac:dyDescent="0.3"/>
    <row r="21773" s="160" customFormat="1" x14ac:dyDescent="0.3"/>
    <row r="21774" s="160" customFormat="1" x14ac:dyDescent="0.3"/>
    <row r="21775" s="160" customFormat="1" x14ac:dyDescent="0.3"/>
    <row r="21776" s="160" customFormat="1" x14ac:dyDescent="0.3"/>
    <row r="21777" s="160" customFormat="1" x14ac:dyDescent="0.3"/>
    <row r="21778" s="160" customFormat="1" x14ac:dyDescent="0.3"/>
    <row r="21779" s="160" customFormat="1" x14ac:dyDescent="0.3"/>
    <row r="21780" s="160" customFormat="1" x14ac:dyDescent="0.3"/>
    <row r="21781" s="160" customFormat="1" x14ac:dyDescent="0.3"/>
    <row r="21782" s="160" customFormat="1" x14ac:dyDescent="0.3"/>
    <row r="21783" s="160" customFormat="1" x14ac:dyDescent="0.3"/>
    <row r="21784" s="160" customFormat="1" x14ac:dyDescent="0.3"/>
    <row r="21785" s="160" customFormat="1" x14ac:dyDescent="0.3"/>
    <row r="21786" s="160" customFormat="1" x14ac:dyDescent="0.3"/>
    <row r="21787" s="160" customFormat="1" x14ac:dyDescent="0.3"/>
    <row r="21788" s="160" customFormat="1" x14ac:dyDescent="0.3"/>
    <row r="21789" s="160" customFormat="1" x14ac:dyDescent="0.3"/>
    <row r="21790" s="160" customFormat="1" x14ac:dyDescent="0.3"/>
    <row r="21791" s="160" customFormat="1" x14ac:dyDescent="0.3"/>
    <row r="21792" s="160" customFormat="1" x14ac:dyDescent="0.3"/>
    <row r="21793" s="160" customFormat="1" x14ac:dyDescent="0.3"/>
    <row r="21794" s="160" customFormat="1" x14ac:dyDescent="0.3"/>
    <row r="21795" s="160" customFormat="1" x14ac:dyDescent="0.3"/>
    <row r="21796" s="160" customFormat="1" x14ac:dyDescent="0.3"/>
    <row r="21797" s="160" customFormat="1" x14ac:dyDescent="0.3"/>
    <row r="21798" s="160" customFormat="1" x14ac:dyDescent="0.3"/>
    <row r="21799" s="160" customFormat="1" x14ac:dyDescent="0.3"/>
    <row r="21800" s="160" customFormat="1" x14ac:dyDescent="0.3"/>
    <row r="21801" s="160" customFormat="1" x14ac:dyDescent="0.3"/>
    <row r="21802" s="160" customFormat="1" x14ac:dyDescent="0.3"/>
    <row r="21803" s="160" customFormat="1" x14ac:dyDescent="0.3"/>
    <row r="21804" s="160" customFormat="1" x14ac:dyDescent="0.3"/>
    <row r="21805" s="160" customFormat="1" x14ac:dyDescent="0.3"/>
    <row r="21806" s="160" customFormat="1" x14ac:dyDescent="0.3"/>
    <row r="21807" s="160" customFormat="1" x14ac:dyDescent="0.3"/>
    <row r="21808" s="160" customFormat="1" x14ac:dyDescent="0.3"/>
    <row r="21809" s="160" customFormat="1" x14ac:dyDescent="0.3"/>
    <row r="21810" s="160" customFormat="1" x14ac:dyDescent="0.3"/>
    <row r="21811" s="160" customFormat="1" x14ac:dyDescent="0.3"/>
    <row r="21812" s="160" customFormat="1" x14ac:dyDescent="0.3"/>
    <row r="21813" s="160" customFormat="1" x14ac:dyDescent="0.3"/>
    <row r="21814" s="160" customFormat="1" x14ac:dyDescent="0.3"/>
    <row r="21815" s="160" customFormat="1" x14ac:dyDescent="0.3"/>
    <row r="21816" s="160" customFormat="1" x14ac:dyDescent="0.3"/>
    <row r="21817" s="160" customFormat="1" x14ac:dyDescent="0.3"/>
    <row r="21818" s="160" customFormat="1" x14ac:dyDescent="0.3"/>
    <row r="21819" s="160" customFormat="1" x14ac:dyDescent="0.3"/>
    <row r="21820" s="160" customFormat="1" x14ac:dyDescent="0.3"/>
    <row r="21821" s="160" customFormat="1" x14ac:dyDescent="0.3"/>
    <row r="21822" s="160" customFormat="1" x14ac:dyDescent="0.3"/>
    <row r="21823" s="160" customFormat="1" x14ac:dyDescent="0.3"/>
    <row r="21824" s="160" customFormat="1" x14ac:dyDescent="0.3"/>
    <row r="21825" s="160" customFormat="1" x14ac:dyDescent="0.3"/>
    <row r="21826" s="160" customFormat="1" x14ac:dyDescent="0.3"/>
    <row r="21827" s="160" customFormat="1" x14ac:dyDescent="0.3"/>
    <row r="21828" s="160" customFormat="1" x14ac:dyDescent="0.3"/>
    <row r="21829" s="160" customFormat="1" x14ac:dyDescent="0.3"/>
    <row r="21830" s="160" customFormat="1" x14ac:dyDescent="0.3"/>
    <row r="21831" s="160" customFormat="1" x14ac:dyDescent="0.3"/>
    <row r="21832" s="160" customFormat="1" x14ac:dyDescent="0.3"/>
    <row r="21833" s="160" customFormat="1" x14ac:dyDescent="0.3"/>
    <row r="21834" s="160" customFormat="1" x14ac:dyDescent="0.3"/>
    <row r="21835" s="160" customFormat="1" x14ac:dyDescent="0.3"/>
    <row r="21836" s="160" customFormat="1" x14ac:dyDescent="0.3"/>
    <row r="21837" s="160" customFormat="1" x14ac:dyDescent="0.3"/>
    <row r="21838" s="160" customFormat="1" x14ac:dyDescent="0.3"/>
    <row r="21839" s="160" customFormat="1" x14ac:dyDescent="0.3"/>
    <row r="21840" s="160" customFormat="1" x14ac:dyDescent="0.3"/>
    <row r="21841" s="160" customFormat="1" x14ac:dyDescent="0.3"/>
    <row r="21842" s="160" customFormat="1" x14ac:dyDescent="0.3"/>
    <row r="21843" s="160" customFormat="1" x14ac:dyDescent="0.3"/>
    <row r="21844" s="160" customFormat="1" x14ac:dyDescent="0.3"/>
    <row r="21845" s="160" customFormat="1" x14ac:dyDescent="0.3"/>
    <row r="21846" s="160" customFormat="1" x14ac:dyDescent="0.3"/>
    <row r="21847" s="160" customFormat="1" x14ac:dyDescent="0.3"/>
    <row r="21848" s="160" customFormat="1" x14ac:dyDescent="0.3"/>
    <row r="21849" s="160" customFormat="1" x14ac:dyDescent="0.3"/>
    <row r="21850" s="160" customFormat="1" x14ac:dyDescent="0.3"/>
    <row r="21851" s="160" customFormat="1" x14ac:dyDescent="0.3"/>
    <row r="21852" s="160" customFormat="1" x14ac:dyDescent="0.3"/>
    <row r="21853" s="160" customFormat="1" x14ac:dyDescent="0.3"/>
    <row r="21854" s="160" customFormat="1" x14ac:dyDescent="0.3"/>
    <row r="21855" s="160" customFormat="1" x14ac:dyDescent="0.3"/>
    <row r="21856" s="160" customFormat="1" x14ac:dyDescent="0.3"/>
    <row r="21857" s="160" customFormat="1" x14ac:dyDescent="0.3"/>
    <row r="21858" s="160" customFormat="1" x14ac:dyDescent="0.3"/>
    <row r="21859" s="160" customFormat="1" x14ac:dyDescent="0.3"/>
    <row r="21860" s="160" customFormat="1" x14ac:dyDescent="0.3"/>
    <row r="21861" s="160" customFormat="1" x14ac:dyDescent="0.3"/>
    <row r="21862" s="160" customFormat="1" x14ac:dyDescent="0.3"/>
    <row r="21863" s="160" customFormat="1" x14ac:dyDescent="0.3"/>
    <row r="21864" s="160" customFormat="1" x14ac:dyDescent="0.3"/>
    <row r="21865" s="160" customFormat="1" x14ac:dyDescent="0.3"/>
    <row r="21866" s="160" customFormat="1" x14ac:dyDescent="0.3"/>
    <row r="21867" s="160" customFormat="1" x14ac:dyDescent="0.3"/>
    <row r="21868" s="160" customFormat="1" x14ac:dyDescent="0.3"/>
    <row r="21869" s="160" customFormat="1" x14ac:dyDescent="0.3"/>
    <row r="21870" s="160" customFormat="1" x14ac:dyDescent="0.3"/>
    <row r="21871" s="160" customFormat="1" x14ac:dyDescent="0.3"/>
    <row r="21872" s="160" customFormat="1" x14ac:dyDescent="0.3"/>
    <row r="21873" s="160" customFormat="1" x14ac:dyDescent="0.3"/>
    <row r="21874" s="160" customFormat="1" x14ac:dyDescent="0.3"/>
    <row r="21875" s="160" customFormat="1" x14ac:dyDescent="0.3"/>
    <row r="21876" s="160" customFormat="1" x14ac:dyDescent="0.3"/>
    <row r="21877" s="160" customFormat="1" x14ac:dyDescent="0.3"/>
    <row r="21878" s="160" customFormat="1" x14ac:dyDescent="0.3"/>
    <row r="21879" s="160" customFormat="1" x14ac:dyDescent="0.3"/>
    <row r="21880" s="160" customFormat="1" x14ac:dyDescent="0.3"/>
    <row r="21881" s="160" customFormat="1" x14ac:dyDescent="0.3"/>
    <row r="21882" s="160" customFormat="1" x14ac:dyDescent="0.3"/>
    <row r="21883" s="160" customFormat="1" x14ac:dyDescent="0.3"/>
    <row r="21884" s="160" customFormat="1" x14ac:dyDescent="0.3"/>
    <row r="21885" s="160" customFormat="1" x14ac:dyDescent="0.3"/>
    <row r="21886" s="160" customFormat="1" x14ac:dyDescent="0.3"/>
    <row r="21887" s="160" customFormat="1" x14ac:dyDescent="0.3"/>
    <row r="21888" s="160" customFormat="1" x14ac:dyDescent="0.3"/>
    <row r="21889" s="160" customFormat="1" x14ac:dyDescent="0.3"/>
    <row r="21890" s="160" customFormat="1" x14ac:dyDescent="0.3"/>
    <row r="21891" s="160" customFormat="1" x14ac:dyDescent="0.3"/>
    <row r="21892" s="160" customFormat="1" x14ac:dyDescent="0.3"/>
    <row r="21893" s="160" customFormat="1" x14ac:dyDescent="0.3"/>
    <row r="21894" s="160" customFormat="1" x14ac:dyDescent="0.3"/>
    <row r="21895" s="160" customFormat="1" x14ac:dyDescent="0.3"/>
    <row r="21896" s="160" customFormat="1" x14ac:dyDescent="0.3"/>
    <row r="21897" s="160" customFormat="1" x14ac:dyDescent="0.3"/>
    <row r="21898" s="160" customFormat="1" x14ac:dyDescent="0.3"/>
    <row r="21899" s="160" customFormat="1" x14ac:dyDescent="0.3"/>
    <row r="21900" s="160" customFormat="1" x14ac:dyDescent="0.3"/>
    <row r="21901" s="160" customFormat="1" x14ac:dyDescent="0.3"/>
    <row r="21902" s="160" customFormat="1" x14ac:dyDescent="0.3"/>
    <row r="21903" s="160" customFormat="1" x14ac:dyDescent="0.3"/>
    <row r="21904" s="160" customFormat="1" x14ac:dyDescent="0.3"/>
    <row r="21905" s="160" customFormat="1" x14ac:dyDescent="0.3"/>
    <row r="21906" s="160" customFormat="1" x14ac:dyDescent="0.3"/>
    <row r="21907" s="160" customFormat="1" x14ac:dyDescent="0.3"/>
    <row r="21908" s="160" customFormat="1" x14ac:dyDescent="0.3"/>
    <row r="21909" s="160" customFormat="1" x14ac:dyDescent="0.3"/>
    <row r="21910" s="160" customFormat="1" x14ac:dyDescent="0.3"/>
    <row r="21911" s="160" customFormat="1" x14ac:dyDescent="0.3"/>
    <row r="21912" s="160" customFormat="1" x14ac:dyDescent="0.3"/>
    <row r="21913" s="160" customFormat="1" x14ac:dyDescent="0.3"/>
    <row r="21914" s="160" customFormat="1" x14ac:dyDescent="0.3"/>
    <row r="21915" s="160" customFormat="1" x14ac:dyDescent="0.3"/>
    <row r="21916" s="160" customFormat="1" x14ac:dyDescent="0.3"/>
    <row r="21917" s="160" customFormat="1" x14ac:dyDescent="0.3"/>
    <row r="21918" s="160" customFormat="1" x14ac:dyDescent="0.3"/>
    <row r="21919" s="160" customFormat="1" x14ac:dyDescent="0.3"/>
    <row r="21920" s="160" customFormat="1" x14ac:dyDescent="0.3"/>
    <row r="21921" s="160" customFormat="1" x14ac:dyDescent="0.3"/>
    <row r="21922" s="160" customFormat="1" x14ac:dyDescent="0.3"/>
    <row r="21923" s="160" customFormat="1" x14ac:dyDescent="0.3"/>
    <row r="21924" s="160" customFormat="1" x14ac:dyDescent="0.3"/>
    <row r="21925" s="160" customFormat="1" x14ac:dyDescent="0.3"/>
    <row r="21926" s="160" customFormat="1" x14ac:dyDescent="0.3"/>
    <row r="21927" s="160" customFormat="1" x14ac:dyDescent="0.3"/>
    <row r="21928" s="160" customFormat="1" x14ac:dyDescent="0.3"/>
    <row r="21929" s="160" customFormat="1" x14ac:dyDescent="0.3"/>
    <row r="21930" s="160" customFormat="1" x14ac:dyDescent="0.3"/>
    <row r="21931" s="160" customFormat="1" x14ac:dyDescent="0.3"/>
    <row r="21932" s="160" customFormat="1" x14ac:dyDescent="0.3"/>
    <row r="21933" s="160" customFormat="1" x14ac:dyDescent="0.3"/>
    <row r="21934" s="160" customFormat="1" x14ac:dyDescent="0.3"/>
    <row r="21935" s="160" customFormat="1" x14ac:dyDescent="0.3"/>
    <row r="21936" s="160" customFormat="1" x14ac:dyDescent="0.3"/>
    <row r="21937" s="160" customFormat="1" x14ac:dyDescent="0.3"/>
    <row r="21938" s="160" customFormat="1" x14ac:dyDescent="0.3"/>
    <row r="21939" s="160" customFormat="1" x14ac:dyDescent="0.3"/>
    <row r="21940" s="160" customFormat="1" x14ac:dyDescent="0.3"/>
    <row r="21941" s="160" customFormat="1" x14ac:dyDescent="0.3"/>
    <row r="21942" s="160" customFormat="1" x14ac:dyDescent="0.3"/>
    <row r="21943" s="160" customFormat="1" x14ac:dyDescent="0.3"/>
    <row r="21944" s="160" customFormat="1" x14ac:dyDescent="0.3"/>
    <row r="21945" s="160" customFormat="1" x14ac:dyDescent="0.3"/>
    <row r="21946" s="160" customFormat="1" x14ac:dyDescent="0.3"/>
    <row r="21947" s="160" customFormat="1" x14ac:dyDescent="0.3"/>
    <row r="21948" s="160" customFormat="1" x14ac:dyDescent="0.3"/>
    <row r="21949" s="160" customFormat="1" x14ac:dyDescent="0.3"/>
    <row r="21950" s="160" customFormat="1" x14ac:dyDescent="0.3"/>
    <row r="21951" s="160" customFormat="1" x14ac:dyDescent="0.3"/>
    <row r="21952" s="160" customFormat="1" x14ac:dyDescent="0.3"/>
    <row r="21953" s="160" customFormat="1" x14ac:dyDescent="0.3"/>
    <row r="21954" s="160" customFormat="1" x14ac:dyDescent="0.3"/>
    <row r="21955" s="160" customFormat="1" x14ac:dyDescent="0.3"/>
    <row r="21956" s="160" customFormat="1" x14ac:dyDescent="0.3"/>
    <row r="21957" s="160" customFormat="1" x14ac:dyDescent="0.3"/>
    <row r="21958" s="160" customFormat="1" x14ac:dyDescent="0.3"/>
    <row r="21959" s="160" customFormat="1" x14ac:dyDescent="0.3"/>
    <row r="21960" s="160" customFormat="1" x14ac:dyDescent="0.3"/>
    <row r="21961" s="160" customFormat="1" x14ac:dyDescent="0.3"/>
    <row r="21962" s="160" customFormat="1" x14ac:dyDescent="0.3"/>
    <row r="21963" s="160" customFormat="1" x14ac:dyDescent="0.3"/>
    <row r="21964" s="160" customFormat="1" x14ac:dyDescent="0.3"/>
    <row r="21965" s="160" customFormat="1" x14ac:dyDescent="0.3"/>
    <row r="21966" s="160" customFormat="1" x14ac:dyDescent="0.3"/>
    <row r="21967" s="160" customFormat="1" x14ac:dyDescent="0.3"/>
    <row r="21968" s="160" customFormat="1" x14ac:dyDescent="0.3"/>
    <row r="21969" s="160" customFormat="1" x14ac:dyDescent="0.3"/>
    <row r="21970" s="160" customFormat="1" x14ac:dyDescent="0.3"/>
    <row r="21971" s="160" customFormat="1" x14ac:dyDescent="0.3"/>
    <row r="21972" s="160" customFormat="1" x14ac:dyDescent="0.3"/>
    <row r="21973" s="160" customFormat="1" x14ac:dyDescent="0.3"/>
    <row r="21974" s="160" customFormat="1" x14ac:dyDescent="0.3"/>
    <row r="21975" s="160" customFormat="1" x14ac:dyDescent="0.3"/>
    <row r="21976" s="160" customFormat="1" x14ac:dyDescent="0.3"/>
    <row r="21977" s="160" customFormat="1" x14ac:dyDescent="0.3"/>
    <row r="21978" s="160" customFormat="1" x14ac:dyDescent="0.3"/>
    <row r="21979" s="160" customFormat="1" x14ac:dyDescent="0.3"/>
    <row r="21980" s="160" customFormat="1" x14ac:dyDescent="0.3"/>
    <row r="21981" s="160" customFormat="1" x14ac:dyDescent="0.3"/>
    <row r="21982" s="160" customFormat="1" x14ac:dyDescent="0.3"/>
    <row r="21983" s="160" customFormat="1" x14ac:dyDescent="0.3"/>
    <row r="21984" s="160" customFormat="1" x14ac:dyDescent="0.3"/>
    <row r="21985" s="160" customFormat="1" x14ac:dyDescent="0.3"/>
    <row r="21986" s="160" customFormat="1" x14ac:dyDescent="0.3"/>
    <row r="21987" s="160" customFormat="1" x14ac:dyDescent="0.3"/>
    <row r="21988" s="160" customFormat="1" x14ac:dyDescent="0.3"/>
    <row r="21989" s="160" customFormat="1" x14ac:dyDescent="0.3"/>
    <row r="21990" s="160" customFormat="1" x14ac:dyDescent="0.3"/>
    <row r="21991" s="160" customFormat="1" x14ac:dyDescent="0.3"/>
    <row r="21992" s="160" customFormat="1" x14ac:dyDescent="0.3"/>
    <row r="21993" s="160" customFormat="1" x14ac:dyDescent="0.3"/>
    <row r="21994" s="160" customFormat="1" x14ac:dyDescent="0.3"/>
    <row r="21995" s="160" customFormat="1" x14ac:dyDescent="0.3"/>
    <row r="21996" s="160" customFormat="1" x14ac:dyDescent="0.3"/>
    <row r="21997" s="160" customFormat="1" x14ac:dyDescent="0.3"/>
    <row r="21998" s="160" customFormat="1" x14ac:dyDescent="0.3"/>
    <row r="21999" s="160" customFormat="1" x14ac:dyDescent="0.3"/>
    <row r="22000" s="160" customFormat="1" x14ac:dyDescent="0.3"/>
    <row r="22001" s="160" customFormat="1" x14ac:dyDescent="0.3"/>
    <row r="22002" s="160" customFormat="1" x14ac:dyDescent="0.3"/>
    <row r="22003" s="160" customFormat="1" x14ac:dyDescent="0.3"/>
    <row r="22004" s="160" customFormat="1" x14ac:dyDescent="0.3"/>
    <row r="22005" s="160" customFormat="1" x14ac:dyDescent="0.3"/>
    <row r="22006" s="160" customFormat="1" x14ac:dyDescent="0.3"/>
    <row r="22007" s="160" customFormat="1" x14ac:dyDescent="0.3"/>
    <row r="22008" s="160" customFormat="1" x14ac:dyDescent="0.3"/>
    <row r="22009" s="160" customFormat="1" x14ac:dyDescent="0.3"/>
    <row r="22010" s="160" customFormat="1" x14ac:dyDescent="0.3"/>
    <row r="22011" s="160" customFormat="1" x14ac:dyDescent="0.3"/>
    <row r="22012" s="160" customFormat="1" x14ac:dyDescent="0.3"/>
    <row r="22013" s="160" customFormat="1" x14ac:dyDescent="0.3"/>
    <row r="22014" s="160" customFormat="1" x14ac:dyDescent="0.3"/>
    <row r="22015" s="160" customFormat="1" x14ac:dyDescent="0.3"/>
    <row r="22016" s="160" customFormat="1" x14ac:dyDescent="0.3"/>
    <row r="22017" s="160" customFormat="1" x14ac:dyDescent="0.3"/>
    <row r="22018" s="160" customFormat="1" x14ac:dyDescent="0.3"/>
    <row r="22019" s="160" customFormat="1" x14ac:dyDescent="0.3"/>
    <row r="22020" s="160" customFormat="1" x14ac:dyDescent="0.3"/>
    <row r="22021" s="160" customFormat="1" x14ac:dyDescent="0.3"/>
    <row r="22022" s="160" customFormat="1" x14ac:dyDescent="0.3"/>
    <row r="22023" s="160" customFormat="1" x14ac:dyDescent="0.3"/>
    <row r="22024" s="160" customFormat="1" x14ac:dyDescent="0.3"/>
    <row r="22025" s="160" customFormat="1" x14ac:dyDescent="0.3"/>
    <row r="22026" s="160" customFormat="1" x14ac:dyDescent="0.3"/>
    <row r="22027" s="160" customFormat="1" x14ac:dyDescent="0.3"/>
    <row r="22028" s="160" customFormat="1" x14ac:dyDescent="0.3"/>
    <row r="22029" s="160" customFormat="1" x14ac:dyDescent="0.3"/>
    <row r="22030" s="160" customFormat="1" x14ac:dyDescent="0.3"/>
    <row r="22031" s="160" customFormat="1" x14ac:dyDescent="0.3"/>
    <row r="22032" s="160" customFormat="1" x14ac:dyDescent="0.3"/>
    <row r="22033" s="160" customFormat="1" x14ac:dyDescent="0.3"/>
    <row r="22034" s="160" customFormat="1" x14ac:dyDescent="0.3"/>
    <row r="22035" s="160" customFormat="1" x14ac:dyDescent="0.3"/>
    <row r="22036" s="160" customFormat="1" x14ac:dyDescent="0.3"/>
    <row r="22037" s="160" customFormat="1" x14ac:dyDescent="0.3"/>
    <row r="22038" s="160" customFormat="1" x14ac:dyDescent="0.3"/>
    <row r="22039" s="160" customFormat="1" x14ac:dyDescent="0.3"/>
    <row r="22040" s="160" customFormat="1" x14ac:dyDescent="0.3"/>
    <row r="22041" s="160" customFormat="1" x14ac:dyDescent="0.3"/>
    <row r="22042" s="160" customFormat="1" x14ac:dyDescent="0.3"/>
    <row r="22043" s="160" customFormat="1" x14ac:dyDescent="0.3"/>
    <row r="22044" s="160" customFormat="1" x14ac:dyDescent="0.3"/>
    <row r="22045" s="160" customFormat="1" x14ac:dyDescent="0.3"/>
    <row r="22046" s="160" customFormat="1" x14ac:dyDescent="0.3"/>
    <row r="22047" s="160" customFormat="1" x14ac:dyDescent="0.3"/>
    <row r="22048" s="160" customFormat="1" x14ac:dyDescent="0.3"/>
    <row r="22049" s="160" customFormat="1" x14ac:dyDescent="0.3"/>
    <row r="22050" s="160" customFormat="1" x14ac:dyDescent="0.3"/>
    <row r="22051" s="160" customFormat="1" x14ac:dyDescent="0.3"/>
    <row r="22052" s="160" customFormat="1" x14ac:dyDescent="0.3"/>
    <row r="22053" s="160" customFormat="1" x14ac:dyDescent="0.3"/>
    <row r="22054" s="160" customFormat="1" x14ac:dyDescent="0.3"/>
    <row r="22055" s="160" customFormat="1" x14ac:dyDescent="0.3"/>
    <row r="22056" s="160" customFormat="1" x14ac:dyDescent="0.3"/>
    <row r="22057" s="160" customFormat="1" x14ac:dyDescent="0.3"/>
    <row r="22058" s="160" customFormat="1" x14ac:dyDescent="0.3"/>
    <row r="22059" s="160" customFormat="1" x14ac:dyDescent="0.3"/>
    <row r="22060" s="160" customFormat="1" x14ac:dyDescent="0.3"/>
    <row r="22061" s="160" customFormat="1" x14ac:dyDescent="0.3"/>
    <row r="22062" s="160" customFormat="1" x14ac:dyDescent="0.3"/>
    <row r="22063" s="160" customFormat="1" x14ac:dyDescent="0.3"/>
    <row r="22064" s="160" customFormat="1" x14ac:dyDescent="0.3"/>
    <row r="22065" s="160" customFormat="1" x14ac:dyDescent="0.3"/>
    <row r="22066" s="160" customFormat="1" x14ac:dyDescent="0.3"/>
    <row r="22067" s="160" customFormat="1" x14ac:dyDescent="0.3"/>
    <row r="22068" s="160" customFormat="1" x14ac:dyDescent="0.3"/>
    <row r="22069" s="160" customFormat="1" x14ac:dyDescent="0.3"/>
    <row r="22070" s="160" customFormat="1" x14ac:dyDescent="0.3"/>
    <row r="22071" s="160" customFormat="1" x14ac:dyDescent="0.3"/>
    <row r="22072" s="160" customFormat="1" x14ac:dyDescent="0.3"/>
    <row r="22073" s="160" customFormat="1" x14ac:dyDescent="0.3"/>
    <row r="22074" s="160" customFormat="1" x14ac:dyDescent="0.3"/>
    <row r="22075" s="160" customFormat="1" x14ac:dyDescent="0.3"/>
    <row r="22076" s="160" customFormat="1" x14ac:dyDescent="0.3"/>
    <row r="22077" s="160" customFormat="1" x14ac:dyDescent="0.3"/>
    <row r="22078" s="160" customFormat="1" x14ac:dyDescent="0.3"/>
    <row r="22079" s="160" customFormat="1" x14ac:dyDescent="0.3"/>
    <row r="22080" s="160" customFormat="1" x14ac:dyDescent="0.3"/>
    <row r="22081" s="160" customFormat="1" x14ac:dyDescent="0.3"/>
    <row r="22082" s="160" customFormat="1" x14ac:dyDescent="0.3"/>
    <row r="22083" s="160" customFormat="1" x14ac:dyDescent="0.3"/>
    <row r="22084" s="160" customFormat="1" x14ac:dyDescent="0.3"/>
    <row r="22085" s="160" customFormat="1" x14ac:dyDescent="0.3"/>
    <row r="22086" s="160" customFormat="1" x14ac:dyDescent="0.3"/>
    <row r="22087" s="160" customFormat="1" x14ac:dyDescent="0.3"/>
    <row r="22088" s="160" customFormat="1" x14ac:dyDescent="0.3"/>
    <row r="22089" s="160" customFormat="1" x14ac:dyDescent="0.3"/>
    <row r="22090" s="160" customFormat="1" x14ac:dyDescent="0.3"/>
    <row r="22091" s="160" customFormat="1" x14ac:dyDescent="0.3"/>
    <row r="22092" s="160" customFormat="1" x14ac:dyDescent="0.3"/>
    <row r="22093" s="160" customFormat="1" x14ac:dyDescent="0.3"/>
    <row r="22094" s="160" customFormat="1" x14ac:dyDescent="0.3"/>
    <row r="22095" s="160" customFormat="1" x14ac:dyDescent="0.3"/>
    <row r="22096" s="160" customFormat="1" x14ac:dyDescent="0.3"/>
    <row r="22097" s="160" customFormat="1" x14ac:dyDescent="0.3"/>
    <row r="22098" s="160" customFormat="1" x14ac:dyDescent="0.3"/>
    <row r="22099" s="160" customFormat="1" x14ac:dyDescent="0.3"/>
    <row r="22100" s="160" customFormat="1" x14ac:dyDescent="0.3"/>
    <row r="22101" s="160" customFormat="1" x14ac:dyDescent="0.3"/>
    <row r="22102" s="160" customFormat="1" x14ac:dyDescent="0.3"/>
    <row r="22103" s="160" customFormat="1" x14ac:dyDescent="0.3"/>
    <row r="22104" s="160" customFormat="1" x14ac:dyDescent="0.3"/>
    <row r="22105" s="160" customFormat="1" x14ac:dyDescent="0.3"/>
    <row r="22106" s="160" customFormat="1" x14ac:dyDescent="0.3"/>
    <row r="22107" s="160" customFormat="1" x14ac:dyDescent="0.3"/>
    <row r="22108" s="160" customFormat="1" x14ac:dyDescent="0.3"/>
    <row r="22109" s="160" customFormat="1" x14ac:dyDescent="0.3"/>
    <row r="22110" s="160" customFormat="1" x14ac:dyDescent="0.3"/>
    <row r="22111" s="160" customFormat="1" x14ac:dyDescent="0.3"/>
    <row r="22112" s="160" customFormat="1" x14ac:dyDescent="0.3"/>
    <row r="22113" s="160" customFormat="1" x14ac:dyDescent="0.3"/>
    <row r="22114" s="160" customFormat="1" x14ac:dyDescent="0.3"/>
    <row r="22115" s="160" customFormat="1" x14ac:dyDescent="0.3"/>
    <row r="22116" s="160" customFormat="1" x14ac:dyDescent="0.3"/>
    <row r="22117" s="160" customFormat="1" x14ac:dyDescent="0.3"/>
    <row r="22118" s="160" customFormat="1" x14ac:dyDescent="0.3"/>
    <row r="22119" s="160" customFormat="1" x14ac:dyDescent="0.3"/>
    <row r="22120" s="160" customFormat="1" x14ac:dyDescent="0.3"/>
    <row r="22121" s="160" customFormat="1" x14ac:dyDescent="0.3"/>
    <row r="22122" s="160" customFormat="1" x14ac:dyDescent="0.3"/>
    <row r="22123" s="160" customFormat="1" x14ac:dyDescent="0.3"/>
    <row r="22124" s="160" customFormat="1" x14ac:dyDescent="0.3"/>
    <row r="22125" s="160" customFormat="1" x14ac:dyDescent="0.3"/>
    <row r="22126" s="160" customFormat="1" x14ac:dyDescent="0.3"/>
    <row r="22127" s="160" customFormat="1" x14ac:dyDescent="0.3"/>
    <row r="22128" s="160" customFormat="1" x14ac:dyDescent="0.3"/>
    <row r="22129" s="160" customFormat="1" x14ac:dyDescent="0.3"/>
    <row r="22130" s="160" customFormat="1" x14ac:dyDescent="0.3"/>
    <row r="22131" s="160" customFormat="1" x14ac:dyDescent="0.3"/>
    <row r="22132" s="160" customFormat="1" x14ac:dyDescent="0.3"/>
    <row r="22133" s="160" customFormat="1" x14ac:dyDescent="0.3"/>
    <row r="22134" s="160" customFormat="1" x14ac:dyDescent="0.3"/>
    <row r="22135" s="160" customFormat="1" x14ac:dyDescent="0.3"/>
    <row r="22136" s="160" customFormat="1" x14ac:dyDescent="0.3"/>
    <row r="22137" s="160" customFormat="1" x14ac:dyDescent="0.3"/>
    <row r="22138" s="160" customFormat="1" x14ac:dyDescent="0.3"/>
    <row r="22139" s="160" customFormat="1" x14ac:dyDescent="0.3"/>
    <row r="22140" s="160" customFormat="1" x14ac:dyDescent="0.3"/>
    <row r="22141" s="160" customFormat="1" x14ac:dyDescent="0.3"/>
    <row r="22142" s="160" customFormat="1" x14ac:dyDescent="0.3"/>
    <row r="22143" s="160" customFormat="1" x14ac:dyDescent="0.3"/>
    <row r="22144" s="160" customFormat="1" x14ac:dyDescent="0.3"/>
    <row r="22145" s="160" customFormat="1" x14ac:dyDescent="0.3"/>
    <row r="22146" s="160" customFormat="1" x14ac:dyDescent="0.3"/>
    <row r="22147" s="160" customFormat="1" x14ac:dyDescent="0.3"/>
    <row r="22148" s="160" customFormat="1" x14ac:dyDescent="0.3"/>
    <row r="22149" s="160" customFormat="1" x14ac:dyDescent="0.3"/>
    <row r="22150" s="160" customFormat="1" x14ac:dyDescent="0.3"/>
    <row r="22151" s="160" customFormat="1" x14ac:dyDescent="0.3"/>
    <row r="22152" s="160" customFormat="1" x14ac:dyDescent="0.3"/>
    <row r="22153" s="160" customFormat="1" x14ac:dyDescent="0.3"/>
    <row r="22154" s="160" customFormat="1" x14ac:dyDescent="0.3"/>
    <row r="22155" s="160" customFormat="1" x14ac:dyDescent="0.3"/>
    <row r="22156" s="160" customFormat="1" x14ac:dyDescent="0.3"/>
    <row r="22157" s="160" customFormat="1" x14ac:dyDescent="0.3"/>
    <row r="22158" s="160" customFormat="1" x14ac:dyDescent="0.3"/>
    <row r="22159" s="160" customFormat="1" x14ac:dyDescent="0.3"/>
    <row r="22160" s="160" customFormat="1" x14ac:dyDescent="0.3"/>
    <row r="22161" s="160" customFormat="1" x14ac:dyDescent="0.3"/>
    <row r="22162" s="160" customFormat="1" x14ac:dyDescent="0.3"/>
    <row r="22163" s="160" customFormat="1" x14ac:dyDescent="0.3"/>
    <row r="22164" s="160" customFormat="1" x14ac:dyDescent="0.3"/>
    <row r="22165" s="160" customFormat="1" x14ac:dyDescent="0.3"/>
    <row r="22166" s="160" customFormat="1" x14ac:dyDescent="0.3"/>
    <row r="22167" s="160" customFormat="1" x14ac:dyDescent="0.3"/>
    <row r="22168" s="160" customFormat="1" x14ac:dyDescent="0.3"/>
    <row r="22169" s="160" customFormat="1" x14ac:dyDescent="0.3"/>
    <row r="22170" s="160" customFormat="1" x14ac:dyDescent="0.3"/>
    <row r="22171" s="160" customFormat="1" x14ac:dyDescent="0.3"/>
    <row r="22172" s="160" customFormat="1" x14ac:dyDescent="0.3"/>
    <row r="22173" s="160" customFormat="1" x14ac:dyDescent="0.3"/>
    <row r="22174" s="160" customFormat="1" x14ac:dyDescent="0.3"/>
    <row r="22175" s="160" customFormat="1" x14ac:dyDescent="0.3"/>
    <row r="22176" s="160" customFormat="1" x14ac:dyDescent="0.3"/>
    <row r="22177" s="160" customFormat="1" x14ac:dyDescent="0.3"/>
    <row r="22178" s="160" customFormat="1" x14ac:dyDescent="0.3"/>
    <row r="22179" s="160" customFormat="1" x14ac:dyDescent="0.3"/>
    <row r="22180" s="160" customFormat="1" x14ac:dyDescent="0.3"/>
    <row r="22181" s="160" customFormat="1" x14ac:dyDescent="0.3"/>
    <row r="22182" s="160" customFormat="1" x14ac:dyDescent="0.3"/>
    <row r="22183" s="160" customFormat="1" x14ac:dyDescent="0.3"/>
    <row r="22184" s="160" customFormat="1" x14ac:dyDescent="0.3"/>
    <row r="22185" s="160" customFormat="1" x14ac:dyDescent="0.3"/>
    <row r="22186" s="160" customFormat="1" x14ac:dyDescent="0.3"/>
    <row r="22187" s="160" customFormat="1" x14ac:dyDescent="0.3"/>
    <row r="22188" s="160" customFormat="1" x14ac:dyDescent="0.3"/>
    <row r="22189" s="160" customFormat="1" x14ac:dyDescent="0.3"/>
    <row r="22190" s="160" customFormat="1" x14ac:dyDescent="0.3"/>
    <row r="22191" s="160" customFormat="1" x14ac:dyDescent="0.3"/>
    <row r="22192" s="160" customFormat="1" x14ac:dyDescent="0.3"/>
    <row r="22193" s="160" customFormat="1" x14ac:dyDescent="0.3"/>
    <row r="22194" s="160" customFormat="1" x14ac:dyDescent="0.3"/>
    <row r="22195" s="160" customFormat="1" x14ac:dyDescent="0.3"/>
    <row r="22196" s="160" customFormat="1" x14ac:dyDescent="0.3"/>
    <row r="22197" s="160" customFormat="1" x14ac:dyDescent="0.3"/>
    <row r="22198" s="160" customFormat="1" x14ac:dyDescent="0.3"/>
    <row r="22199" s="160" customFormat="1" x14ac:dyDescent="0.3"/>
    <row r="22200" s="160" customFormat="1" x14ac:dyDescent="0.3"/>
    <row r="22201" s="160" customFormat="1" x14ac:dyDescent="0.3"/>
    <row r="22202" s="160" customFormat="1" x14ac:dyDescent="0.3"/>
    <row r="22203" s="160" customFormat="1" x14ac:dyDescent="0.3"/>
    <row r="22204" s="160" customFormat="1" x14ac:dyDescent="0.3"/>
    <row r="22205" s="160" customFormat="1" x14ac:dyDescent="0.3"/>
    <row r="22206" s="160" customFormat="1" x14ac:dyDescent="0.3"/>
    <row r="22207" s="160" customFormat="1" x14ac:dyDescent="0.3"/>
    <row r="22208" s="160" customFormat="1" x14ac:dyDescent="0.3"/>
    <row r="22209" s="160" customFormat="1" x14ac:dyDescent="0.3"/>
    <row r="22210" s="160" customFormat="1" x14ac:dyDescent="0.3"/>
    <row r="22211" s="160" customFormat="1" x14ac:dyDescent="0.3"/>
    <row r="22212" s="160" customFormat="1" x14ac:dyDescent="0.3"/>
    <row r="22213" s="160" customFormat="1" x14ac:dyDescent="0.3"/>
    <row r="22214" s="160" customFormat="1" x14ac:dyDescent="0.3"/>
    <row r="22215" s="160" customFormat="1" x14ac:dyDescent="0.3"/>
    <row r="22216" s="160" customFormat="1" x14ac:dyDescent="0.3"/>
    <row r="22217" s="160" customFormat="1" x14ac:dyDescent="0.3"/>
    <row r="22218" s="160" customFormat="1" x14ac:dyDescent="0.3"/>
    <row r="22219" s="160" customFormat="1" x14ac:dyDescent="0.3"/>
    <row r="22220" s="160" customFormat="1" x14ac:dyDescent="0.3"/>
    <row r="22221" s="160" customFormat="1" x14ac:dyDescent="0.3"/>
    <row r="22222" s="160" customFormat="1" x14ac:dyDescent="0.3"/>
    <row r="22223" s="160" customFormat="1" x14ac:dyDescent="0.3"/>
    <row r="22224" s="160" customFormat="1" x14ac:dyDescent="0.3"/>
    <row r="22225" s="160" customFormat="1" x14ac:dyDescent="0.3"/>
    <row r="22226" s="160" customFormat="1" x14ac:dyDescent="0.3"/>
    <row r="22227" s="160" customFormat="1" x14ac:dyDescent="0.3"/>
    <row r="22228" s="160" customFormat="1" x14ac:dyDescent="0.3"/>
    <row r="22229" s="160" customFormat="1" x14ac:dyDescent="0.3"/>
    <row r="22230" s="160" customFormat="1" x14ac:dyDescent="0.3"/>
    <row r="22231" s="160" customFormat="1" x14ac:dyDescent="0.3"/>
    <row r="22232" s="160" customFormat="1" x14ac:dyDescent="0.3"/>
    <row r="22233" s="160" customFormat="1" x14ac:dyDescent="0.3"/>
    <row r="22234" s="160" customFormat="1" x14ac:dyDescent="0.3"/>
    <row r="22235" s="160" customFormat="1" x14ac:dyDescent="0.3"/>
    <row r="22236" s="160" customFormat="1" x14ac:dyDescent="0.3"/>
    <row r="22237" s="160" customFormat="1" x14ac:dyDescent="0.3"/>
    <row r="22238" s="160" customFormat="1" x14ac:dyDescent="0.3"/>
    <row r="22239" s="160" customFormat="1" x14ac:dyDescent="0.3"/>
    <row r="22240" s="160" customFormat="1" x14ac:dyDescent="0.3"/>
    <row r="22241" s="160" customFormat="1" x14ac:dyDescent="0.3"/>
    <row r="22242" s="160" customFormat="1" x14ac:dyDescent="0.3"/>
    <row r="22243" s="160" customFormat="1" x14ac:dyDescent="0.3"/>
    <row r="22244" s="160" customFormat="1" x14ac:dyDescent="0.3"/>
    <row r="22245" s="160" customFormat="1" x14ac:dyDescent="0.3"/>
    <row r="22246" s="160" customFormat="1" x14ac:dyDescent="0.3"/>
    <row r="22247" s="160" customFormat="1" x14ac:dyDescent="0.3"/>
    <row r="22248" s="160" customFormat="1" x14ac:dyDescent="0.3"/>
    <row r="22249" s="160" customFormat="1" x14ac:dyDescent="0.3"/>
    <row r="22250" s="160" customFormat="1" x14ac:dyDescent="0.3"/>
    <row r="22251" s="160" customFormat="1" x14ac:dyDescent="0.3"/>
    <row r="22252" s="160" customFormat="1" x14ac:dyDescent="0.3"/>
    <row r="22253" s="160" customFormat="1" x14ac:dyDescent="0.3"/>
    <row r="22254" s="160" customFormat="1" x14ac:dyDescent="0.3"/>
    <row r="22255" s="160" customFormat="1" x14ac:dyDescent="0.3"/>
    <row r="22256" s="160" customFormat="1" x14ac:dyDescent="0.3"/>
    <row r="22257" s="160" customFormat="1" x14ac:dyDescent="0.3"/>
    <row r="22258" s="160" customFormat="1" x14ac:dyDescent="0.3"/>
    <row r="22259" s="160" customFormat="1" x14ac:dyDescent="0.3"/>
    <row r="22260" s="160" customFormat="1" x14ac:dyDescent="0.3"/>
    <row r="22261" s="160" customFormat="1" x14ac:dyDescent="0.3"/>
    <row r="22262" s="160" customFormat="1" x14ac:dyDescent="0.3"/>
    <row r="22263" s="160" customFormat="1" x14ac:dyDescent="0.3"/>
    <row r="22264" s="160" customFormat="1" x14ac:dyDescent="0.3"/>
    <row r="22265" s="160" customFormat="1" x14ac:dyDescent="0.3"/>
    <row r="22266" s="160" customFormat="1" x14ac:dyDescent="0.3"/>
    <row r="22267" s="160" customFormat="1" x14ac:dyDescent="0.3"/>
    <row r="22268" s="160" customFormat="1" x14ac:dyDescent="0.3"/>
    <row r="22269" s="160" customFormat="1" x14ac:dyDescent="0.3"/>
    <row r="22270" s="160" customFormat="1" x14ac:dyDescent="0.3"/>
    <row r="22271" s="160" customFormat="1" x14ac:dyDescent="0.3"/>
    <row r="22272" s="160" customFormat="1" x14ac:dyDescent="0.3"/>
    <row r="22273" s="160" customFormat="1" x14ac:dyDescent="0.3"/>
    <row r="22274" s="160" customFormat="1" x14ac:dyDescent="0.3"/>
    <row r="22275" s="160" customFormat="1" x14ac:dyDescent="0.3"/>
    <row r="22276" s="160" customFormat="1" x14ac:dyDescent="0.3"/>
    <row r="22277" s="160" customFormat="1" x14ac:dyDescent="0.3"/>
    <row r="22278" s="160" customFormat="1" x14ac:dyDescent="0.3"/>
    <row r="22279" s="160" customFormat="1" x14ac:dyDescent="0.3"/>
    <row r="22280" s="160" customFormat="1" x14ac:dyDescent="0.3"/>
    <row r="22281" s="160" customFormat="1" x14ac:dyDescent="0.3"/>
    <row r="22282" s="160" customFormat="1" x14ac:dyDescent="0.3"/>
    <row r="22283" s="160" customFormat="1" x14ac:dyDescent="0.3"/>
    <row r="22284" s="160" customFormat="1" x14ac:dyDescent="0.3"/>
    <row r="22285" s="160" customFormat="1" x14ac:dyDescent="0.3"/>
    <row r="22286" s="160" customFormat="1" x14ac:dyDescent="0.3"/>
    <row r="22287" s="160" customFormat="1" x14ac:dyDescent="0.3"/>
    <row r="22288" s="160" customFormat="1" x14ac:dyDescent="0.3"/>
    <row r="22289" s="160" customFormat="1" x14ac:dyDescent="0.3"/>
    <row r="22290" s="160" customFormat="1" x14ac:dyDescent="0.3"/>
    <row r="22291" s="160" customFormat="1" x14ac:dyDescent="0.3"/>
    <row r="22292" s="160" customFormat="1" x14ac:dyDescent="0.3"/>
    <row r="22293" s="160" customFormat="1" x14ac:dyDescent="0.3"/>
    <row r="22294" s="160" customFormat="1" x14ac:dyDescent="0.3"/>
    <row r="22295" s="160" customFormat="1" x14ac:dyDescent="0.3"/>
    <row r="22296" s="160" customFormat="1" x14ac:dyDescent="0.3"/>
    <row r="22297" s="160" customFormat="1" x14ac:dyDescent="0.3"/>
    <row r="22298" s="160" customFormat="1" x14ac:dyDescent="0.3"/>
    <row r="22299" s="160" customFormat="1" x14ac:dyDescent="0.3"/>
    <row r="22300" s="160" customFormat="1" x14ac:dyDescent="0.3"/>
    <row r="22301" s="160" customFormat="1" x14ac:dyDescent="0.3"/>
    <row r="22302" s="160" customFormat="1" x14ac:dyDescent="0.3"/>
    <row r="22303" s="160" customFormat="1" x14ac:dyDescent="0.3"/>
    <row r="22304" s="160" customFormat="1" x14ac:dyDescent="0.3"/>
    <row r="22305" s="160" customFormat="1" x14ac:dyDescent="0.3"/>
    <row r="22306" s="160" customFormat="1" x14ac:dyDescent="0.3"/>
    <row r="22307" s="160" customFormat="1" x14ac:dyDescent="0.3"/>
    <row r="22308" s="160" customFormat="1" x14ac:dyDescent="0.3"/>
    <row r="22309" s="160" customFormat="1" x14ac:dyDescent="0.3"/>
    <row r="22310" s="160" customFormat="1" x14ac:dyDescent="0.3"/>
    <row r="22311" s="160" customFormat="1" x14ac:dyDescent="0.3"/>
    <row r="22312" s="160" customFormat="1" x14ac:dyDescent="0.3"/>
    <row r="22313" s="160" customFormat="1" x14ac:dyDescent="0.3"/>
    <row r="22314" s="160" customFormat="1" x14ac:dyDescent="0.3"/>
    <row r="22315" s="160" customFormat="1" x14ac:dyDescent="0.3"/>
    <row r="22316" s="160" customFormat="1" x14ac:dyDescent="0.3"/>
    <row r="22317" s="160" customFormat="1" x14ac:dyDescent="0.3"/>
    <row r="22318" s="160" customFormat="1" x14ac:dyDescent="0.3"/>
    <row r="22319" s="160" customFormat="1" x14ac:dyDescent="0.3"/>
    <row r="22320" s="160" customFormat="1" x14ac:dyDescent="0.3"/>
    <row r="22321" s="160" customFormat="1" x14ac:dyDescent="0.3"/>
    <row r="22322" s="160" customFormat="1" x14ac:dyDescent="0.3"/>
    <row r="22323" s="160" customFormat="1" x14ac:dyDescent="0.3"/>
    <row r="22324" s="160" customFormat="1" x14ac:dyDescent="0.3"/>
    <row r="22325" s="160" customFormat="1" x14ac:dyDescent="0.3"/>
    <row r="22326" s="160" customFormat="1" x14ac:dyDescent="0.3"/>
    <row r="22327" s="160" customFormat="1" x14ac:dyDescent="0.3"/>
    <row r="22328" s="160" customFormat="1" x14ac:dyDescent="0.3"/>
    <row r="22329" s="160" customFormat="1" x14ac:dyDescent="0.3"/>
    <row r="22330" s="160" customFormat="1" x14ac:dyDescent="0.3"/>
    <row r="22331" s="160" customFormat="1" x14ac:dyDescent="0.3"/>
    <row r="22332" s="160" customFormat="1" x14ac:dyDescent="0.3"/>
    <row r="22333" s="160" customFormat="1" x14ac:dyDescent="0.3"/>
    <row r="22334" s="160" customFormat="1" x14ac:dyDescent="0.3"/>
    <row r="22335" s="160" customFormat="1" x14ac:dyDescent="0.3"/>
    <row r="22336" s="160" customFormat="1" x14ac:dyDescent="0.3"/>
    <row r="22337" s="160" customFormat="1" x14ac:dyDescent="0.3"/>
    <row r="22338" s="160" customFormat="1" x14ac:dyDescent="0.3"/>
    <row r="22339" s="160" customFormat="1" x14ac:dyDescent="0.3"/>
    <row r="22340" s="160" customFormat="1" x14ac:dyDescent="0.3"/>
    <row r="22341" s="160" customFormat="1" x14ac:dyDescent="0.3"/>
    <row r="22342" s="160" customFormat="1" x14ac:dyDescent="0.3"/>
    <row r="22343" s="160" customFormat="1" x14ac:dyDescent="0.3"/>
    <row r="22344" s="160" customFormat="1" x14ac:dyDescent="0.3"/>
    <row r="22345" s="160" customFormat="1" x14ac:dyDescent="0.3"/>
    <row r="22346" s="160" customFormat="1" x14ac:dyDescent="0.3"/>
    <row r="22347" s="160" customFormat="1" x14ac:dyDescent="0.3"/>
    <row r="22348" s="160" customFormat="1" x14ac:dyDescent="0.3"/>
    <row r="22349" s="160" customFormat="1" x14ac:dyDescent="0.3"/>
    <row r="22350" s="160" customFormat="1" x14ac:dyDescent="0.3"/>
    <row r="22351" s="160" customFormat="1" x14ac:dyDescent="0.3"/>
    <row r="22352" s="160" customFormat="1" x14ac:dyDescent="0.3"/>
    <row r="22353" s="160" customFormat="1" x14ac:dyDescent="0.3"/>
    <row r="22354" s="160" customFormat="1" x14ac:dyDescent="0.3"/>
    <row r="22355" s="160" customFormat="1" x14ac:dyDescent="0.3"/>
    <row r="22356" s="160" customFormat="1" x14ac:dyDescent="0.3"/>
    <row r="22357" s="160" customFormat="1" x14ac:dyDescent="0.3"/>
    <row r="22358" s="160" customFormat="1" x14ac:dyDescent="0.3"/>
    <row r="22359" s="160" customFormat="1" x14ac:dyDescent="0.3"/>
    <row r="22360" s="160" customFormat="1" x14ac:dyDescent="0.3"/>
    <row r="22361" s="160" customFormat="1" x14ac:dyDescent="0.3"/>
    <row r="22362" s="160" customFormat="1" x14ac:dyDescent="0.3"/>
    <row r="22363" s="160" customFormat="1" x14ac:dyDescent="0.3"/>
    <row r="22364" s="160" customFormat="1" x14ac:dyDescent="0.3"/>
    <row r="22365" s="160" customFormat="1" x14ac:dyDescent="0.3"/>
    <row r="22366" s="160" customFormat="1" x14ac:dyDescent="0.3"/>
    <row r="22367" s="160" customFormat="1" x14ac:dyDescent="0.3"/>
    <row r="22368" s="160" customFormat="1" x14ac:dyDescent="0.3"/>
    <row r="22369" s="160" customFormat="1" x14ac:dyDescent="0.3"/>
    <row r="22370" s="160" customFormat="1" x14ac:dyDescent="0.3"/>
    <row r="22371" s="160" customFormat="1" x14ac:dyDescent="0.3"/>
    <row r="22372" s="160" customFormat="1" x14ac:dyDescent="0.3"/>
    <row r="22373" s="160" customFormat="1" x14ac:dyDescent="0.3"/>
    <row r="22374" s="160" customFormat="1" x14ac:dyDescent="0.3"/>
    <row r="22375" s="160" customFormat="1" x14ac:dyDescent="0.3"/>
    <row r="22376" s="160" customFormat="1" x14ac:dyDescent="0.3"/>
    <row r="22377" s="160" customFormat="1" x14ac:dyDescent="0.3"/>
    <row r="22378" s="160" customFormat="1" x14ac:dyDescent="0.3"/>
    <row r="22379" s="160" customFormat="1" x14ac:dyDescent="0.3"/>
    <row r="22380" s="160" customFormat="1" x14ac:dyDescent="0.3"/>
    <row r="22381" s="160" customFormat="1" x14ac:dyDescent="0.3"/>
    <row r="22382" s="160" customFormat="1" x14ac:dyDescent="0.3"/>
    <row r="22383" s="160" customFormat="1" x14ac:dyDescent="0.3"/>
    <row r="22384" s="160" customFormat="1" x14ac:dyDescent="0.3"/>
    <row r="22385" s="160" customFormat="1" x14ac:dyDescent="0.3"/>
    <row r="22386" s="160" customFormat="1" x14ac:dyDescent="0.3"/>
    <row r="22387" s="160" customFormat="1" x14ac:dyDescent="0.3"/>
    <row r="22388" s="160" customFormat="1" x14ac:dyDescent="0.3"/>
    <row r="22389" s="160" customFormat="1" x14ac:dyDescent="0.3"/>
    <row r="22390" s="160" customFormat="1" x14ac:dyDescent="0.3"/>
    <row r="22391" s="160" customFormat="1" x14ac:dyDescent="0.3"/>
    <row r="22392" s="160" customFormat="1" x14ac:dyDescent="0.3"/>
    <row r="22393" s="160" customFormat="1" x14ac:dyDescent="0.3"/>
    <row r="22394" s="160" customFormat="1" x14ac:dyDescent="0.3"/>
    <row r="22395" s="160" customFormat="1" x14ac:dyDescent="0.3"/>
    <row r="22396" s="160" customFormat="1" x14ac:dyDescent="0.3"/>
    <row r="22397" s="160" customFormat="1" x14ac:dyDescent="0.3"/>
    <row r="22398" s="160" customFormat="1" x14ac:dyDescent="0.3"/>
    <row r="22399" s="160" customFormat="1" x14ac:dyDescent="0.3"/>
    <row r="22400" s="160" customFormat="1" x14ac:dyDescent="0.3"/>
    <row r="22401" s="160" customFormat="1" x14ac:dyDescent="0.3"/>
    <row r="22402" s="160" customFormat="1" x14ac:dyDescent="0.3"/>
    <row r="22403" s="160" customFormat="1" x14ac:dyDescent="0.3"/>
    <row r="22404" s="160" customFormat="1" x14ac:dyDescent="0.3"/>
    <row r="22405" s="160" customFormat="1" x14ac:dyDescent="0.3"/>
    <row r="22406" s="160" customFormat="1" x14ac:dyDescent="0.3"/>
    <row r="22407" s="160" customFormat="1" x14ac:dyDescent="0.3"/>
    <row r="22408" s="160" customFormat="1" x14ac:dyDescent="0.3"/>
    <row r="22409" s="160" customFormat="1" x14ac:dyDescent="0.3"/>
    <row r="22410" s="160" customFormat="1" x14ac:dyDescent="0.3"/>
    <row r="22411" s="160" customFormat="1" x14ac:dyDescent="0.3"/>
    <row r="22412" s="160" customFormat="1" x14ac:dyDescent="0.3"/>
    <row r="22413" s="160" customFormat="1" x14ac:dyDescent="0.3"/>
    <row r="22414" s="160" customFormat="1" x14ac:dyDescent="0.3"/>
    <row r="22415" s="160" customFormat="1" x14ac:dyDescent="0.3"/>
    <row r="22416" s="160" customFormat="1" x14ac:dyDescent="0.3"/>
    <row r="22417" s="160" customFormat="1" x14ac:dyDescent="0.3"/>
    <row r="22418" s="160" customFormat="1" x14ac:dyDescent="0.3"/>
    <row r="22419" s="160" customFormat="1" x14ac:dyDescent="0.3"/>
    <row r="22420" s="160" customFormat="1" x14ac:dyDescent="0.3"/>
    <row r="22421" s="160" customFormat="1" x14ac:dyDescent="0.3"/>
    <row r="22422" s="160" customFormat="1" x14ac:dyDescent="0.3"/>
    <row r="22423" s="160" customFormat="1" x14ac:dyDescent="0.3"/>
    <row r="22424" s="160" customFormat="1" x14ac:dyDescent="0.3"/>
    <row r="22425" s="160" customFormat="1" x14ac:dyDescent="0.3"/>
    <row r="22426" s="160" customFormat="1" x14ac:dyDescent="0.3"/>
    <row r="22427" s="160" customFormat="1" x14ac:dyDescent="0.3"/>
    <row r="22428" s="160" customFormat="1" x14ac:dyDescent="0.3"/>
    <row r="22429" s="160" customFormat="1" x14ac:dyDescent="0.3"/>
    <row r="22430" s="160" customFormat="1" x14ac:dyDescent="0.3"/>
    <row r="22431" s="160" customFormat="1" x14ac:dyDescent="0.3"/>
    <row r="22432" s="160" customFormat="1" x14ac:dyDescent="0.3"/>
    <row r="22433" s="160" customFormat="1" x14ac:dyDescent="0.3"/>
    <row r="22434" s="160" customFormat="1" x14ac:dyDescent="0.3"/>
    <row r="22435" s="160" customFormat="1" x14ac:dyDescent="0.3"/>
    <row r="22436" s="160" customFormat="1" x14ac:dyDescent="0.3"/>
    <row r="22437" s="160" customFormat="1" x14ac:dyDescent="0.3"/>
    <row r="22438" s="160" customFormat="1" x14ac:dyDescent="0.3"/>
    <row r="22439" s="160" customFormat="1" x14ac:dyDescent="0.3"/>
    <row r="22440" s="160" customFormat="1" x14ac:dyDescent="0.3"/>
    <row r="22441" s="160" customFormat="1" x14ac:dyDescent="0.3"/>
    <row r="22442" s="160" customFormat="1" x14ac:dyDescent="0.3"/>
    <row r="22443" s="160" customFormat="1" x14ac:dyDescent="0.3"/>
    <row r="22444" s="160" customFormat="1" x14ac:dyDescent="0.3"/>
    <row r="22445" s="160" customFormat="1" x14ac:dyDescent="0.3"/>
    <row r="22446" s="160" customFormat="1" x14ac:dyDescent="0.3"/>
    <row r="22447" s="160" customFormat="1" x14ac:dyDescent="0.3"/>
    <row r="22448" s="160" customFormat="1" x14ac:dyDescent="0.3"/>
    <row r="22449" s="160" customFormat="1" x14ac:dyDescent="0.3"/>
    <row r="22450" s="160" customFormat="1" x14ac:dyDescent="0.3"/>
    <row r="22451" s="160" customFormat="1" x14ac:dyDescent="0.3"/>
    <row r="22452" s="160" customFormat="1" x14ac:dyDescent="0.3"/>
    <row r="22453" s="160" customFormat="1" x14ac:dyDescent="0.3"/>
    <row r="22454" s="160" customFormat="1" x14ac:dyDescent="0.3"/>
    <row r="22455" s="160" customFormat="1" x14ac:dyDescent="0.3"/>
    <row r="22456" s="160" customFormat="1" x14ac:dyDescent="0.3"/>
    <row r="22457" s="160" customFormat="1" x14ac:dyDescent="0.3"/>
    <row r="22458" s="160" customFormat="1" x14ac:dyDescent="0.3"/>
    <row r="22459" s="160" customFormat="1" x14ac:dyDescent="0.3"/>
    <row r="22460" s="160" customFormat="1" x14ac:dyDescent="0.3"/>
    <row r="22461" s="160" customFormat="1" x14ac:dyDescent="0.3"/>
    <row r="22462" s="160" customFormat="1" x14ac:dyDescent="0.3"/>
    <row r="22463" s="160" customFormat="1" x14ac:dyDescent="0.3"/>
    <row r="22464" s="160" customFormat="1" x14ac:dyDescent="0.3"/>
    <row r="22465" s="160" customFormat="1" x14ac:dyDescent="0.3"/>
    <row r="22466" s="160" customFormat="1" x14ac:dyDescent="0.3"/>
    <row r="22467" s="160" customFormat="1" x14ac:dyDescent="0.3"/>
    <row r="22468" s="160" customFormat="1" x14ac:dyDescent="0.3"/>
    <row r="22469" s="160" customFormat="1" x14ac:dyDescent="0.3"/>
    <row r="22470" s="160" customFormat="1" x14ac:dyDescent="0.3"/>
    <row r="22471" s="160" customFormat="1" x14ac:dyDescent="0.3"/>
    <row r="22472" s="160" customFormat="1" x14ac:dyDescent="0.3"/>
    <row r="22473" s="160" customFormat="1" x14ac:dyDescent="0.3"/>
    <row r="22474" s="160" customFormat="1" x14ac:dyDescent="0.3"/>
    <row r="22475" s="160" customFormat="1" x14ac:dyDescent="0.3"/>
    <row r="22476" s="160" customFormat="1" x14ac:dyDescent="0.3"/>
    <row r="22477" s="160" customFormat="1" x14ac:dyDescent="0.3"/>
    <row r="22478" s="160" customFormat="1" x14ac:dyDescent="0.3"/>
    <row r="22479" s="160" customFormat="1" x14ac:dyDescent="0.3"/>
    <row r="22480" s="160" customFormat="1" x14ac:dyDescent="0.3"/>
    <row r="22481" s="160" customFormat="1" x14ac:dyDescent="0.3"/>
    <row r="22482" s="160" customFormat="1" x14ac:dyDescent="0.3"/>
    <row r="22483" s="160" customFormat="1" x14ac:dyDescent="0.3"/>
    <row r="22484" s="160" customFormat="1" x14ac:dyDescent="0.3"/>
    <row r="22485" s="160" customFormat="1" x14ac:dyDescent="0.3"/>
    <row r="22486" s="160" customFormat="1" x14ac:dyDescent="0.3"/>
    <row r="22487" s="160" customFormat="1" x14ac:dyDescent="0.3"/>
    <row r="22488" s="160" customFormat="1" x14ac:dyDescent="0.3"/>
    <row r="22489" s="160" customFormat="1" x14ac:dyDescent="0.3"/>
    <row r="22490" s="160" customFormat="1" x14ac:dyDescent="0.3"/>
    <row r="22491" s="160" customFormat="1" x14ac:dyDescent="0.3"/>
    <row r="22492" s="160" customFormat="1" x14ac:dyDescent="0.3"/>
    <row r="22493" s="160" customFormat="1" x14ac:dyDescent="0.3"/>
    <row r="22494" s="160" customFormat="1" x14ac:dyDescent="0.3"/>
    <row r="22495" s="160" customFormat="1" x14ac:dyDescent="0.3"/>
    <row r="22496" s="160" customFormat="1" x14ac:dyDescent="0.3"/>
    <row r="22497" s="160" customFormat="1" x14ac:dyDescent="0.3"/>
    <row r="22498" s="160" customFormat="1" x14ac:dyDescent="0.3"/>
    <row r="22499" s="160" customFormat="1" x14ac:dyDescent="0.3"/>
    <row r="22500" s="160" customFormat="1" x14ac:dyDescent="0.3"/>
    <row r="22501" s="160" customFormat="1" x14ac:dyDescent="0.3"/>
    <row r="22502" s="160" customFormat="1" x14ac:dyDescent="0.3"/>
    <row r="22503" s="160" customFormat="1" x14ac:dyDescent="0.3"/>
    <row r="22504" s="160" customFormat="1" x14ac:dyDescent="0.3"/>
    <row r="22505" s="160" customFormat="1" x14ac:dyDescent="0.3"/>
    <row r="22506" s="160" customFormat="1" x14ac:dyDescent="0.3"/>
    <row r="22507" s="160" customFormat="1" x14ac:dyDescent="0.3"/>
    <row r="22508" s="160" customFormat="1" x14ac:dyDescent="0.3"/>
    <row r="22509" s="160" customFormat="1" x14ac:dyDescent="0.3"/>
    <row r="22510" s="160" customFormat="1" x14ac:dyDescent="0.3"/>
    <row r="22511" s="160" customFormat="1" x14ac:dyDescent="0.3"/>
    <row r="22512" s="160" customFormat="1" x14ac:dyDescent="0.3"/>
    <row r="22513" s="160" customFormat="1" x14ac:dyDescent="0.3"/>
    <row r="22514" s="160" customFormat="1" x14ac:dyDescent="0.3"/>
    <row r="22515" s="160" customFormat="1" x14ac:dyDescent="0.3"/>
    <row r="22516" s="160" customFormat="1" x14ac:dyDescent="0.3"/>
    <row r="22517" s="160" customFormat="1" x14ac:dyDescent="0.3"/>
    <row r="22518" s="160" customFormat="1" x14ac:dyDescent="0.3"/>
    <row r="22519" s="160" customFormat="1" x14ac:dyDescent="0.3"/>
    <row r="22520" s="160" customFormat="1" x14ac:dyDescent="0.3"/>
    <row r="22521" s="160" customFormat="1" x14ac:dyDescent="0.3"/>
    <row r="22522" s="160" customFormat="1" x14ac:dyDescent="0.3"/>
    <row r="22523" s="160" customFormat="1" x14ac:dyDescent="0.3"/>
    <row r="22524" s="160" customFormat="1" x14ac:dyDescent="0.3"/>
    <row r="22525" s="160" customFormat="1" x14ac:dyDescent="0.3"/>
    <row r="22526" s="160" customFormat="1" x14ac:dyDescent="0.3"/>
    <row r="22527" s="160" customFormat="1" x14ac:dyDescent="0.3"/>
    <row r="22528" s="160" customFormat="1" x14ac:dyDescent="0.3"/>
    <row r="22529" s="160" customFormat="1" x14ac:dyDescent="0.3"/>
    <row r="22530" s="160" customFormat="1" x14ac:dyDescent="0.3"/>
    <row r="22531" s="160" customFormat="1" x14ac:dyDescent="0.3"/>
    <row r="22532" s="160" customFormat="1" x14ac:dyDescent="0.3"/>
    <row r="22533" s="160" customFormat="1" x14ac:dyDescent="0.3"/>
    <row r="22534" s="160" customFormat="1" x14ac:dyDescent="0.3"/>
    <row r="22535" s="160" customFormat="1" x14ac:dyDescent="0.3"/>
    <row r="22536" s="160" customFormat="1" x14ac:dyDescent="0.3"/>
    <row r="22537" s="160" customFormat="1" x14ac:dyDescent="0.3"/>
    <row r="22538" s="160" customFormat="1" x14ac:dyDescent="0.3"/>
    <row r="22539" s="160" customFormat="1" x14ac:dyDescent="0.3"/>
    <row r="22540" s="160" customFormat="1" x14ac:dyDescent="0.3"/>
    <row r="22541" s="160" customFormat="1" x14ac:dyDescent="0.3"/>
    <row r="22542" s="160" customFormat="1" x14ac:dyDescent="0.3"/>
    <row r="22543" s="160" customFormat="1" x14ac:dyDescent="0.3"/>
    <row r="22544" s="160" customFormat="1" x14ac:dyDescent="0.3"/>
    <row r="22545" s="160" customFormat="1" x14ac:dyDescent="0.3"/>
    <row r="22546" s="160" customFormat="1" x14ac:dyDescent="0.3"/>
    <row r="22547" s="160" customFormat="1" x14ac:dyDescent="0.3"/>
    <row r="22548" s="160" customFormat="1" x14ac:dyDescent="0.3"/>
    <row r="22549" s="160" customFormat="1" x14ac:dyDescent="0.3"/>
    <row r="22550" s="160" customFormat="1" x14ac:dyDescent="0.3"/>
    <row r="22551" s="160" customFormat="1" x14ac:dyDescent="0.3"/>
    <row r="22552" s="160" customFormat="1" x14ac:dyDescent="0.3"/>
    <row r="22553" s="160" customFormat="1" x14ac:dyDescent="0.3"/>
    <row r="22554" s="160" customFormat="1" x14ac:dyDescent="0.3"/>
    <row r="22555" s="160" customFormat="1" x14ac:dyDescent="0.3"/>
    <row r="22556" s="160" customFormat="1" x14ac:dyDescent="0.3"/>
    <row r="22557" s="160" customFormat="1" x14ac:dyDescent="0.3"/>
    <row r="22558" s="160" customFormat="1" x14ac:dyDescent="0.3"/>
    <row r="22559" s="160" customFormat="1" x14ac:dyDescent="0.3"/>
    <row r="22560" s="160" customFormat="1" x14ac:dyDescent="0.3"/>
    <row r="22561" s="160" customFormat="1" x14ac:dyDescent="0.3"/>
    <row r="22562" s="160" customFormat="1" x14ac:dyDescent="0.3"/>
    <row r="22563" s="160" customFormat="1" x14ac:dyDescent="0.3"/>
    <row r="22564" s="160" customFormat="1" x14ac:dyDescent="0.3"/>
    <row r="22565" s="160" customFormat="1" x14ac:dyDescent="0.3"/>
    <row r="22566" s="160" customFormat="1" x14ac:dyDescent="0.3"/>
    <row r="22567" s="160" customFormat="1" x14ac:dyDescent="0.3"/>
    <row r="22568" s="160" customFormat="1" x14ac:dyDescent="0.3"/>
    <row r="22569" s="160" customFormat="1" x14ac:dyDescent="0.3"/>
    <row r="22570" s="160" customFormat="1" x14ac:dyDescent="0.3"/>
    <row r="22571" s="160" customFormat="1" x14ac:dyDescent="0.3"/>
    <row r="22572" s="160" customFormat="1" x14ac:dyDescent="0.3"/>
    <row r="22573" s="160" customFormat="1" x14ac:dyDescent="0.3"/>
    <row r="22574" s="160" customFormat="1" x14ac:dyDescent="0.3"/>
    <row r="22575" s="160" customFormat="1" x14ac:dyDescent="0.3"/>
    <row r="22576" s="160" customFormat="1" x14ac:dyDescent="0.3"/>
    <row r="22577" s="160" customFormat="1" x14ac:dyDescent="0.3"/>
    <row r="22578" s="160" customFormat="1" x14ac:dyDescent="0.3"/>
    <row r="22579" s="160" customFormat="1" x14ac:dyDescent="0.3"/>
    <row r="22580" s="160" customFormat="1" x14ac:dyDescent="0.3"/>
    <row r="22581" s="160" customFormat="1" x14ac:dyDescent="0.3"/>
    <row r="22582" s="160" customFormat="1" x14ac:dyDescent="0.3"/>
    <row r="22583" s="160" customFormat="1" x14ac:dyDescent="0.3"/>
    <row r="22584" s="160" customFormat="1" x14ac:dyDescent="0.3"/>
    <row r="22585" s="160" customFormat="1" x14ac:dyDescent="0.3"/>
    <row r="22586" s="160" customFormat="1" x14ac:dyDescent="0.3"/>
    <row r="22587" s="160" customFormat="1" x14ac:dyDescent="0.3"/>
    <row r="22588" s="160" customFormat="1" x14ac:dyDescent="0.3"/>
    <row r="22589" s="160" customFormat="1" x14ac:dyDescent="0.3"/>
    <row r="22590" s="160" customFormat="1" x14ac:dyDescent="0.3"/>
    <row r="22591" s="160" customFormat="1" x14ac:dyDescent="0.3"/>
    <row r="22592" s="160" customFormat="1" x14ac:dyDescent="0.3"/>
    <row r="22593" s="160" customFormat="1" x14ac:dyDescent="0.3"/>
    <row r="22594" s="160" customFormat="1" x14ac:dyDescent="0.3"/>
    <row r="22595" s="160" customFormat="1" x14ac:dyDescent="0.3"/>
    <row r="22596" s="160" customFormat="1" x14ac:dyDescent="0.3"/>
    <row r="22597" s="160" customFormat="1" x14ac:dyDescent="0.3"/>
    <row r="22598" s="160" customFormat="1" x14ac:dyDescent="0.3"/>
    <row r="22599" s="160" customFormat="1" x14ac:dyDescent="0.3"/>
    <row r="22600" s="160" customFormat="1" x14ac:dyDescent="0.3"/>
    <row r="22601" s="160" customFormat="1" x14ac:dyDescent="0.3"/>
    <row r="22602" s="160" customFormat="1" x14ac:dyDescent="0.3"/>
    <row r="22603" s="160" customFormat="1" x14ac:dyDescent="0.3"/>
    <row r="22604" s="160" customFormat="1" x14ac:dyDescent="0.3"/>
    <row r="22605" s="160" customFormat="1" x14ac:dyDescent="0.3"/>
    <row r="22606" s="160" customFormat="1" x14ac:dyDescent="0.3"/>
    <row r="22607" s="160" customFormat="1" x14ac:dyDescent="0.3"/>
    <row r="22608" s="160" customFormat="1" x14ac:dyDescent="0.3"/>
    <row r="22609" s="160" customFormat="1" x14ac:dyDescent="0.3"/>
    <row r="22610" s="160" customFormat="1" x14ac:dyDescent="0.3"/>
    <row r="22611" s="160" customFormat="1" x14ac:dyDescent="0.3"/>
    <row r="22612" s="160" customFormat="1" x14ac:dyDescent="0.3"/>
    <row r="22613" s="160" customFormat="1" x14ac:dyDescent="0.3"/>
    <row r="22614" s="160" customFormat="1" x14ac:dyDescent="0.3"/>
    <row r="22615" s="160" customFormat="1" x14ac:dyDescent="0.3"/>
    <row r="22616" s="160" customFormat="1" x14ac:dyDescent="0.3"/>
    <row r="22617" s="160" customFormat="1" x14ac:dyDescent="0.3"/>
    <row r="22618" s="160" customFormat="1" x14ac:dyDescent="0.3"/>
    <row r="22619" s="160" customFormat="1" x14ac:dyDescent="0.3"/>
    <row r="22620" s="160" customFormat="1" x14ac:dyDescent="0.3"/>
    <row r="22621" s="160" customFormat="1" x14ac:dyDescent="0.3"/>
    <row r="22622" s="160" customFormat="1" x14ac:dyDescent="0.3"/>
    <row r="22623" s="160" customFormat="1" x14ac:dyDescent="0.3"/>
    <row r="22624" s="160" customFormat="1" x14ac:dyDescent="0.3"/>
    <row r="22625" s="160" customFormat="1" x14ac:dyDescent="0.3"/>
    <row r="22626" s="160" customFormat="1" x14ac:dyDescent="0.3"/>
    <row r="22627" s="160" customFormat="1" x14ac:dyDescent="0.3"/>
    <row r="22628" s="160" customFormat="1" x14ac:dyDescent="0.3"/>
    <row r="22629" s="160" customFormat="1" x14ac:dyDescent="0.3"/>
    <row r="22630" s="160" customFormat="1" x14ac:dyDescent="0.3"/>
    <row r="22631" s="160" customFormat="1" x14ac:dyDescent="0.3"/>
    <row r="22632" s="160" customFormat="1" x14ac:dyDescent="0.3"/>
    <row r="22633" s="160" customFormat="1" x14ac:dyDescent="0.3"/>
    <row r="22634" s="160" customFormat="1" x14ac:dyDescent="0.3"/>
    <row r="22635" s="160" customFormat="1" x14ac:dyDescent="0.3"/>
    <row r="22636" s="160" customFormat="1" x14ac:dyDescent="0.3"/>
    <row r="22637" s="160" customFormat="1" x14ac:dyDescent="0.3"/>
    <row r="22638" s="160" customFormat="1" x14ac:dyDescent="0.3"/>
    <row r="22639" s="160" customFormat="1" x14ac:dyDescent="0.3"/>
    <row r="22640" s="160" customFormat="1" x14ac:dyDescent="0.3"/>
    <row r="22641" s="160" customFormat="1" x14ac:dyDescent="0.3"/>
    <row r="22642" s="160" customFormat="1" x14ac:dyDescent="0.3"/>
    <row r="22643" s="160" customFormat="1" x14ac:dyDescent="0.3"/>
    <row r="22644" s="160" customFormat="1" x14ac:dyDescent="0.3"/>
    <row r="22645" s="160" customFormat="1" x14ac:dyDescent="0.3"/>
    <row r="22646" s="160" customFormat="1" x14ac:dyDescent="0.3"/>
    <row r="22647" s="160" customFormat="1" x14ac:dyDescent="0.3"/>
    <row r="22648" s="160" customFormat="1" x14ac:dyDescent="0.3"/>
    <row r="22649" s="160" customFormat="1" x14ac:dyDescent="0.3"/>
    <row r="22650" s="160" customFormat="1" x14ac:dyDescent="0.3"/>
    <row r="22651" s="160" customFormat="1" x14ac:dyDescent="0.3"/>
    <row r="22652" s="160" customFormat="1" x14ac:dyDescent="0.3"/>
    <row r="22653" s="160" customFormat="1" x14ac:dyDescent="0.3"/>
    <row r="22654" s="160" customFormat="1" x14ac:dyDescent="0.3"/>
    <row r="22655" s="160" customFormat="1" x14ac:dyDescent="0.3"/>
    <row r="22656" s="160" customFormat="1" x14ac:dyDescent="0.3"/>
    <row r="22657" s="160" customFormat="1" x14ac:dyDescent="0.3"/>
    <row r="22658" s="160" customFormat="1" x14ac:dyDescent="0.3"/>
    <row r="22659" s="160" customFormat="1" x14ac:dyDescent="0.3"/>
    <row r="22660" s="160" customFormat="1" x14ac:dyDescent="0.3"/>
    <row r="22661" s="160" customFormat="1" x14ac:dyDescent="0.3"/>
    <row r="22662" s="160" customFormat="1" x14ac:dyDescent="0.3"/>
    <row r="22663" s="160" customFormat="1" x14ac:dyDescent="0.3"/>
    <row r="22664" s="160" customFormat="1" x14ac:dyDescent="0.3"/>
    <row r="22665" s="160" customFormat="1" x14ac:dyDescent="0.3"/>
    <row r="22666" s="160" customFormat="1" x14ac:dyDescent="0.3"/>
    <row r="22667" s="160" customFormat="1" x14ac:dyDescent="0.3"/>
    <row r="22668" s="160" customFormat="1" x14ac:dyDescent="0.3"/>
    <row r="22669" s="160" customFormat="1" x14ac:dyDescent="0.3"/>
    <row r="22670" s="160" customFormat="1" x14ac:dyDescent="0.3"/>
    <row r="22671" s="160" customFormat="1" x14ac:dyDescent="0.3"/>
    <row r="22672" s="160" customFormat="1" x14ac:dyDescent="0.3"/>
    <row r="22673" s="160" customFormat="1" x14ac:dyDescent="0.3"/>
    <row r="22674" s="160" customFormat="1" x14ac:dyDescent="0.3"/>
    <row r="22675" s="160" customFormat="1" x14ac:dyDescent="0.3"/>
    <row r="22676" s="160" customFormat="1" x14ac:dyDescent="0.3"/>
    <row r="22677" s="160" customFormat="1" x14ac:dyDescent="0.3"/>
    <row r="22678" s="160" customFormat="1" x14ac:dyDescent="0.3"/>
    <row r="22679" s="160" customFormat="1" x14ac:dyDescent="0.3"/>
    <row r="22680" s="160" customFormat="1" x14ac:dyDescent="0.3"/>
    <row r="22681" s="160" customFormat="1" x14ac:dyDescent="0.3"/>
    <row r="22682" s="160" customFormat="1" x14ac:dyDescent="0.3"/>
    <row r="22683" s="160" customFormat="1" x14ac:dyDescent="0.3"/>
    <row r="22684" s="160" customFormat="1" x14ac:dyDescent="0.3"/>
    <row r="22685" s="160" customFormat="1" x14ac:dyDescent="0.3"/>
    <row r="22686" s="160" customFormat="1" x14ac:dyDescent="0.3"/>
    <row r="22687" s="160" customFormat="1" x14ac:dyDescent="0.3"/>
    <row r="22688" s="160" customFormat="1" x14ac:dyDescent="0.3"/>
    <row r="22689" s="160" customFormat="1" x14ac:dyDescent="0.3"/>
    <row r="22690" s="160" customFormat="1" x14ac:dyDescent="0.3"/>
    <row r="22691" s="160" customFormat="1" x14ac:dyDescent="0.3"/>
    <row r="22692" s="160" customFormat="1" x14ac:dyDescent="0.3"/>
    <row r="22693" s="160" customFormat="1" x14ac:dyDescent="0.3"/>
    <row r="22694" s="160" customFormat="1" x14ac:dyDescent="0.3"/>
    <row r="22695" s="160" customFormat="1" x14ac:dyDescent="0.3"/>
    <row r="22696" s="160" customFormat="1" x14ac:dyDescent="0.3"/>
    <row r="22697" s="160" customFormat="1" x14ac:dyDescent="0.3"/>
    <row r="22698" s="160" customFormat="1" x14ac:dyDescent="0.3"/>
    <row r="22699" s="160" customFormat="1" x14ac:dyDescent="0.3"/>
    <row r="22700" s="160" customFormat="1" x14ac:dyDescent="0.3"/>
    <row r="22701" s="160" customFormat="1" x14ac:dyDescent="0.3"/>
    <row r="22702" s="160" customFormat="1" x14ac:dyDescent="0.3"/>
    <row r="22703" s="160" customFormat="1" x14ac:dyDescent="0.3"/>
    <row r="22704" s="160" customFormat="1" x14ac:dyDescent="0.3"/>
    <row r="22705" s="160" customFormat="1" x14ac:dyDescent="0.3"/>
    <row r="22706" s="160" customFormat="1" x14ac:dyDescent="0.3"/>
    <row r="22707" s="160" customFormat="1" x14ac:dyDescent="0.3"/>
    <row r="22708" s="160" customFormat="1" x14ac:dyDescent="0.3"/>
    <row r="22709" s="160" customFormat="1" x14ac:dyDescent="0.3"/>
    <row r="22710" s="160" customFormat="1" x14ac:dyDescent="0.3"/>
    <row r="22711" s="160" customFormat="1" x14ac:dyDescent="0.3"/>
    <row r="22712" s="160" customFormat="1" x14ac:dyDescent="0.3"/>
    <row r="22713" s="160" customFormat="1" x14ac:dyDescent="0.3"/>
    <row r="22714" s="160" customFormat="1" x14ac:dyDescent="0.3"/>
    <row r="22715" s="160" customFormat="1" x14ac:dyDescent="0.3"/>
    <row r="22716" s="160" customFormat="1" x14ac:dyDescent="0.3"/>
    <row r="22717" s="160" customFormat="1" x14ac:dyDescent="0.3"/>
    <row r="22718" s="160" customFormat="1" x14ac:dyDescent="0.3"/>
    <row r="22719" s="160" customFormat="1" x14ac:dyDescent="0.3"/>
    <row r="22720" s="160" customFormat="1" x14ac:dyDescent="0.3"/>
    <row r="22721" s="160" customFormat="1" x14ac:dyDescent="0.3"/>
    <row r="22722" s="160" customFormat="1" x14ac:dyDescent="0.3"/>
    <row r="22723" s="160" customFormat="1" x14ac:dyDescent="0.3"/>
    <row r="22724" s="160" customFormat="1" x14ac:dyDescent="0.3"/>
    <row r="22725" s="160" customFormat="1" x14ac:dyDescent="0.3"/>
    <row r="22726" s="160" customFormat="1" x14ac:dyDescent="0.3"/>
    <row r="22727" s="160" customFormat="1" x14ac:dyDescent="0.3"/>
    <row r="22728" s="160" customFormat="1" x14ac:dyDescent="0.3"/>
    <row r="22729" s="160" customFormat="1" x14ac:dyDescent="0.3"/>
    <row r="22730" s="160" customFormat="1" x14ac:dyDescent="0.3"/>
    <row r="22731" s="160" customFormat="1" x14ac:dyDescent="0.3"/>
    <row r="22732" s="160" customFormat="1" x14ac:dyDescent="0.3"/>
    <row r="22733" s="160" customFormat="1" x14ac:dyDescent="0.3"/>
    <row r="22734" s="160" customFormat="1" x14ac:dyDescent="0.3"/>
    <row r="22735" s="160" customFormat="1" x14ac:dyDescent="0.3"/>
    <row r="22736" s="160" customFormat="1" x14ac:dyDescent="0.3"/>
    <row r="22737" s="160" customFormat="1" x14ac:dyDescent="0.3"/>
    <row r="22738" s="160" customFormat="1" x14ac:dyDescent="0.3"/>
    <row r="22739" s="160" customFormat="1" x14ac:dyDescent="0.3"/>
    <row r="22740" s="160" customFormat="1" x14ac:dyDescent="0.3"/>
    <row r="22741" s="160" customFormat="1" x14ac:dyDescent="0.3"/>
    <row r="22742" s="160" customFormat="1" x14ac:dyDescent="0.3"/>
    <row r="22743" s="160" customFormat="1" x14ac:dyDescent="0.3"/>
    <row r="22744" s="160" customFormat="1" x14ac:dyDescent="0.3"/>
    <row r="22745" s="160" customFormat="1" x14ac:dyDescent="0.3"/>
    <row r="22746" s="160" customFormat="1" x14ac:dyDescent="0.3"/>
    <row r="22747" s="160" customFormat="1" x14ac:dyDescent="0.3"/>
    <row r="22748" s="160" customFormat="1" x14ac:dyDescent="0.3"/>
    <row r="22749" s="160" customFormat="1" x14ac:dyDescent="0.3"/>
    <row r="22750" s="160" customFormat="1" x14ac:dyDescent="0.3"/>
    <row r="22751" s="160" customFormat="1" x14ac:dyDescent="0.3"/>
    <row r="22752" s="160" customFormat="1" x14ac:dyDescent="0.3"/>
    <row r="22753" s="160" customFormat="1" x14ac:dyDescent="0.3"/>
    <row r="22754" s="160" customFormat="1" x14ac:dyDescent="0.3"/>
    <row r="22755" s="160" customFormat="1" x14ac:dyDescent="0.3"/>
    <row r="22756" s="160" customFormat="1" x14ac:dyDescent="0.3"/>
    <row r="22757" s="160" customFormat="1" x14ac:dyDescent="0.3"/>
    <row r="22758" s="160" customFormat="1" x14ac:dyDescent="0.3"/>
    <row r="22759" s="160" customFormat="1" x14ac:dyDescent="0.3"/>
    <row r="22760" s="160" customFormat="1" x14ac:dyDescent="0.3"/>
    <row r="22761" s="160" customFormat="1" x14ac:dyDescent="0.3"/>
    <row r="22762" s="160" customFormat="1" x14ac:dyDescent="0.3"/>
    <row r="22763" s="160" customFormat="1" x14ac:dyDescent="0.3"/>
    <row r="22764" s="160" customFormat="1" x14ac:dyDescent="0.3"/>
    <row r="22765" s="160" customFormat="1" x14ac:dyDescent="0.3"/>
    <row r="22766" s="160" customFormat="1" x14ac:dyDescent="0.3"/>
    <row r="22767" s="160" customFormat="1" x14ac:dyDescent="0.3"/>
    <row r="22768" s="160" customFormat="1" x14ac:dyDescent="0.3"/>
    <row r="22769" s="160" customFormat="1" x14ac:dyDescent="0.3"/>
    <row r="22770" s="160" customFormat="1" x14ac:dyDescent="0.3"/>
    <row r="22771" s="160" customFormat="1" x14ac:dyDescent="0.3"/>
    <row r="22772" s="160" customFormat="1" x14ac:dyDescent="0.3"/>
    <row r="22773" s="160" customFormat="1" x14ac:dyDescent="0.3"/>
    <row r="22774" s="160" customFormat="1" x14ac:dyDescent="0.3"/>
    <row r="22775" s="160" customFormat="1" x14ac:dyDescent="0.3"/>
    <row r="22776" s="160" customFormat="1" x14ac:dyDescent="0.3"/>
    <row r="22777" s="160" customFormat="1" x14ac:dyDescent="0.3"/>
    <row r="22778" s="160" customFormat="1" x14ac:dyDescent="0.3"/>
    <row r="22779" s="160" customFormat="1" x14ac:dyDescent="0.3"/>
    <row r="22780" s="160" customFormat="1" x14ac:dyDescent="0.3"/>
    <row r="22781" s="160" customFormat="1" x14ac:dyDescent="0.3"/>
    <row r="22782" s="160" customFormat="1" x14ac:dyDescent="0.3"/>
    <row r="22783" s="160" customFormat="1" x14ac:dyDescent="0.3"/>
    <row r="22784" s="160" customFormat="1" x14ac:dyDescent="0.3"/>
    <row r="22785" s="160" customFormat="1" x14ac:dyDescent="0.3"/>
    <row r="22786" s="160" customFormat="1" x14ac:dyDescent="0.3"/>
    <row r="22787" s="160" customFormat="1" x14ac:dyDescent="0.3"/>
    <row r="22788" s="160" customFormat="1" x14ac:dyDescent="0.3"/>
    <row r="22789" s="160" customFormat="1" x14ac:dyDescent="0.3"/>
    <row r="22790" s="160" customFormat="1" x14ac:dyDescent="0.3"/>
    <row r="22791" s="160" customFormat="1" x14ac:dyDescent="0.3"/>
    <row r="22792" s="160" customFormat="1" x14ac:dyDescent="0.3"/>
    <row r="22793" s="160" customFormat="1" x14ac:dyDescent="0.3"/>
    <row r="22794" s="160" customFormat="1" x14ac:dyDescent="0.3"/>
    <row r="22795" s="160" customFormat="1" x14ac:dyDescent="0.3"/>
    <row r="22796" s="160" customFormat="1" x14ac:dyDescent="0.3"/>
    <row r="22797" s="160" customFormat="1" x14ac:dyDescent="0.3"/>
    <row r="22798" s="160" customFormat="1" x14ac:dyDescent="0.3"/>
    <row r="22799" s="160" customFormat="1" x14ac:dyDescent="0.3"/>
    <row r="22800" s="160" customFormat="1" x14ac:dyDescent="0.3"/>
    <row r="22801" s="160" customFormat="1" x14ac:dyDescent="0.3"/>
    <row r="22802" s="160" customFormat="1" x14ac:dyDescent="0.3"/>
    <row r="22803" s="160" customFormat="1" x14ac:dyDescent="0.3"/>
    <row r="22804" s="160" customFormat="1" x14ac:dyDescent="0.3"/>
    <row r="22805" s="160" customFormat="1" x14ac:dyDescent="0.3"/>
    <row r="22806" s="160" customFormat="1" x14ac:dyDescent="0.3"/>
    <row r="22807" s="160" customFormat="1" x14ac:dyDescent="0.3"/>
    <row r="22808" s="160" customFormat="1" x14ac:dyDescent="0.3"/>
    <row r="22809" s="160" customFormat="1" x14ac:dyDescent="0.3"/>
    <row r="22810" s="160" customFormat="1" x14ac:dyDescent="0.3"/>
    <row r="22811" s="160" customFormat="1" x14ac:dyDescent="0.3"/>
    <row r="22812" s="160" customFormat="1" x14ac:dyDescent="0.3"/>
    <row r="22813" s="160" customFormat="1" x14ac:dyDescent="0.3"/>
    <row r="22814" s="160" customFormat="1" x14ac:dyDescent="0.3"/>
    <row r="22815" s="160" customFormat="1" x14ac:dyDescent="0.3"/>
    <row r="22816" s="160" customFormat="1" x14ac:dyDescent="0.3"/>
    <row r="22817" s="160" customFormat="1" x14ac:dyDescent="0.3"/>
    <row r="22818" s="160" customFormat="1" x14ac:dyDescent="0.3"/>
    <row r="22819" s="160" customFormat="1" x14ac:dyDescent="0.3"/>
    <row r="22820" s="160" customFormat="1" x14ac:dyDescent="0.3"/>
    <row r="22821" s="160" customFormat="1" x14ac:dyDescent="0.3"/>
    <row r="22822" s="160" customFormat="1" x14ac:dyDescent="0.3"/>
    <row r="22823" s="160" customFormat="1" x14ac:dyDescent="0.3"/>
    <row r="22824" s="160" customFormat="1" x14ac:dyDescent="0.3"/>
    <row r="22825" s="160" customFormat="1" x14ac:dyDescent="0.3"/>
    <row r="22826" s="160" customFormat="1" x14ac:dyDescent="0.3"/>
    <row r="22827" s="160" customFormat="1" x14ac:dyDescent="0.3"/>
    <row r="22828" s="160" customFormat="1" x14ac:dyDescent="0.3"/>
    <row r="22829" s="160" customFormat="1" x14ac:dyDescent="0.3"/>
    <row r="22830" s="160" customFormat="1" x14ac:dyDescent="0.3"/>
    <row r="22831" s="160" customFormat="1" x14ac:dyDescent="0.3"/>
    <row r="22832" s="160" customFormat="1" x14ac:dyDescent="0.3"/>
    <row r="22833" s="160" customFormat="1" x14ac:dyDescent="0.3"/>
    <row r="22834" s="160" customFormat="1" x14ac:dyDescent="0.3"/>
    <row r="22835" s="160" customFormat="1" x14ac:dyDescent="0.3"/>
    <row r="22836" s="160" customFormat="1" x14ac:dyDescent="0.3"/>
    <row r="22837" s="160" customFormat="1" x14ac:dyDescent="0.3"/>
    <row r="22838" s="160" customFormat="1" x14ac:dyDescent="0.3"/>
    <row r="22839" s="160" customFormat="1" x14ac:dyDescent="0.3"/>
    <row r="22840" s="160" customFormat="1" x14ac:dyDescent="0.3"/>
    <row r="22841" s="160" customFormat="1" x14ac:dyDescent="0.3"/>
    <row r="22842" s="160" customFormat="1" x14ac:dyDescent="0.3"/>
    <row r="22843" s="160" customFormat="1" x14ac:dyDescent="0.3"/>
    <row r="22844" s="160" customFormat="1" x14ac:dyDescent="0.3"/>
    <row r="22845" s="160" customFormat="1" x14ac:dyDescent="0.3"/>
    <row r="22846" s="160" customFormat="1" x14ac:dyDescent="0.3"/>
    <row r="22847" s="160" customFormat="1" x14ac:dyDescent="0.3"/>
    <row r="22848" s="160" customFormat="1" x14ac:dyDescent="0.3"/>
    <row r="22849" s="160" customFormat="1" x14ac:dyDescent="0.3"/>
    <row r="22850" s="160" customFormat="1" x14ac:dyDescent="0.3"/>
    <row r="22851" s="160" customFormat="1" x14ac:dyDescent="0.3"/>
    <row r="22852" s="160" customFormat="1" x14ac:dyDescent="0.3"/>
    <row r="22853" s="160" customFormat="1" x14ac:dyDescent="0.3"/>
    <row r="22854" s="160" customFormat="1" x14ac:dyDescent="0.3"/>
    <row r="22855" s="160" customFormat="1" x14ac:dyDescent="0.3"/>
    <row r="22856" s="160" customFormat="1" x14ac:dyDescent="0.3"/>
    <row r="22857" s="160" customFormat="1" x14ac:dyDescent="0.3"/>
    <row r="22858" s="160" customFormat="1" x14ac:dyDescent="0.3"/>
    <row r="22859" s="160" customFormat="1" x14ac:dyDescent="0.3"/>
    <row r="22860" s="160" customFormat="1" x14ac:dyDescent="0.3"/>
    <row r="22861" s="160" customFormat="1" x14ac:dyDescent="0.3"/>
    <row r="22862" s="160" customFormat="1" x14ac:dyDescent="0.3"/>
    <row r="22863" s="160" customFormat="1" x14ac:dyDescent="0.3"/>
    <row r="22864" s="160" customFormat="1" x14ac:dyDescent="0.3"/>
    <row r="22865" s="160" customFormat="1" x14ac:dyDescent="0.3"/>
    <row r="22866" s="160" customFormat="1" x14ac:dyDescent="0.3"/>
    <row r="22867" s="160" customFormat="1" x14ac:dyDescent="0.3"/>
    <row r="22868" s="160" customFormat="1" x14ac:dyDescent="0.3"/>
    <row r="22869" s="160" customFormat="1" x14ac:dyDescent="0.3"/>
    <row r="22870" s="160" customFormat="1" x14ac:dyDescent="0.3"/>
    <row r="22871" s="160" customFormat="1" x14ac:dyDescent="0.3"/>
    <row r="22872" s="160" customFormat="1" x14ac:dyDescent="0.3"/>
    <row r="22873" s="160" customFormat="1" x14ac:dyDescent="0.3"/>
    <row r="22874" s="160" customFormat="1" x14ac:dyDescent="0.3"/>
    <row r="22875" s="160" customFormat="1" x14ac:dyDescent="0.3"/>
    <row r="22876" s="160" customFormat="1" x14ac:dyDescent="0.3"/>
    <row r="22877" s="160" customFormat="1" x14ac:dyDescent="0.3"/>
    <row r="22878" s="160" customFormat="1" x14ac:dyDescent="0.3"/>
    <row r="22879" s="160" customFormat="1" x14ac:dyDescent="0.3"/>
    <row r="22880" s="160" customFormat="1" x14ac:dyDescent="0.3"/>
    <row r="22881" s="160" customFormat="1" x14ac:dyDescent="0.3"/>
    <row r="22882" s="160" customFormat="1" x14ac:dyDescent="0.3"/>
    <row r="22883" s="160" customFormat="1" x14ac:dyDescent="0.3"/>
    <row r="22884" s="160" customFormat="1" x14ac:dyDescent="0.3"/>
    <row r="22885" s="160" customFormat="1" x14ac:dyDescent="0.3"/>
    <row r="22886" s="160" customFormat="1" x14ac:dyDescent="0.3"/>
    <row r="22887" s="160" customFormat="1" x14ac:dyDescent="0.3"/>
    <row r="22888" s="160" customFormat="1" x14ac:dyDescent="0.3"/>
    <row r="22889" s="160" customFormat="1" x14ac:dyDescent="0.3"/>
    <row r="22890" s="160" customFormat="1" x14ac:dyDescent="0.3"/>
    <row r="22891" s="160" customFormat="1" x14ac:dyDescent="0.3"/>
    <row r="22892" s="160" customFormat="1" x14ac:dyDescent="0.3"/>
    <row r="22893" s="160" customFormat="1" x14ac:dyDescent="0.3"/>
    <row r="22894" s="160" customFormat="1" x14ac:dyDescent="0.3"/>
    <row r="22895" s="160" customFormat="1" x14ac:dyDescent="0.3"/>
    <row r="22896" s="160" customFormat="1" x14ac:dyDescent="0.3"/>
    <row r="22897" s="160" customFormat="1" x14ac:dyDescent="0.3"/>
    <row r="22898" s="160" customFormat="1" x14ac:dyDescent="0.3"/>
    <row r="22899" s="160" customFormat="1" x14ac:dyDescent="0.3"/>
    <row r="22900" s="160" customFormat="1" x14ac:dyDescent="0.3"/>
    <row r="22901" s="160" customFormat="1" x14ac:dyDescent="0.3"/>
    <row r="22902" s="160" customFormat="1" x14ac:dyDescent="0.3"/>
    <row r="22903" s="160" customFormat="1" x14ac:dyDescent="0.3"/>
    <row r="22904" s="160" customFormat="1" x14ac:dyDescent="0.3"/>
    <row r="22905" s="160" customFormat="1" x14ac:dyDescent="0.3"/>
    <row r="22906" s="160" customFormat="1" x14ac:dyDescent="0.3"/>
    <row r="22907" s="160" customFormat="1" x14ac:dyDescent="0.3"/>
    <row r="22908" s="160" customFormat="1" x14ac:dyDescent="0.3"/>
    <row r="22909" s="160" customFormat="1" x14ac:dyDescent="0.3"/>
    <row r="22910" s="160" customFormat="1" x14ac:dyDescent="0.3"/>
    <row r="22911" s="160" customFormat="1" x14ac:dyDescent="0.3"/>
    <row r="22912" s="160" customFormat="1" x14ac:dyDescent="0.3"/>
    <row r="22913" s="160" customFormat="1" x14ac:dyDescent="0.3"/>
    <row r="22914" s="160" customFormat="1" x14ac:dyDescent="0.3"/>
    <row r="22915" s="160" customFormat="1" x14ac:dyDescent="0.3"/>
    <row r="22916" s="160" customFormat="1" x14ac:dyDescent="0.3"/>
    <row r="22917" s="160" customFormat="1" x14ac:dyDescent="0.3"/>
    <row r="22918" s="160" customFormat="1" x14ac:dyDescent="0.3"/>
    <row r="22919" s="160" customFormat="1" x14ac:dyDescent="0.3"/>
    <row r="22920" s="160" customFormat="1" x14ac:dyDescent="0.3"/>
    <row r="22921" s="160" customFormat="1" x14ac:dyDescent="0.3"/>
    <row r="22922" s="160" customFormat="1" x14ac:dyDescent="0.3"/>
    <row r="22923" s="160" customFormat="1" x14ac:dyDescent="0.3"/>
    <row r="22924" s="160" customFormat="1" x14ac:dyDescent="0.3"/>
    <row r="22925" s="160" customFormat="1" x14ac:dyDescent="0.3"/>
    <row r="22926" s="160" customFormat="1" x14ac:dyDescent="0.3"/>
    <row r="22927" s="160" customFormat="1" x14ac:dyDescent="0.3"/>
    <row r="22928" s="160" customFormat="1" x14ac:dyDescent="0.3"/>
    <row r="22929" s="160" customFormat="1" x14ac:dyDescent="0.3"/>
    <row r="22930" s="160" customFormat="1" x14ac:dyDescent="0.3"/>
    <row r="22931" s="160" customFormat="1" x14ac:dyDescent="0.3"/>
    <row r="22932" s="160" customFormat="1" x14ac:dyDescent="0.3"/>
    <row r="22933" s="160" customFormat="1" x14ac:dyDescent="0.3"/>
    <row r="22934" s="160" customFormat="1" x14ac:dyDescent="0.3"/>
    <row r="22935" s="160" customFormat="1" x14ac:dyDescent="0.3"/>
    <row r="22936" s="160" customFormat="1" x14ac:dyDescent="0.3"/>
    <row r="22937" s="160" customFormat="1" x14ac:dyDescent="0.3"/>
    <row r="22938" s="160" customFormat="1" x14ac:dyDescent="0.3"/>
    <row r="22939" s="160" customFormat="1" x14ac:dyDescent="0.3"/>
    <row r="22940" s="160" customFormat="1" x14ac:dyDescent="0.3"/>
    <row r="22941" s="160" customFormat="1" x14ac:dyDescent="0.3"/>
    <row r="22942" s="160" customFormat="1" x14ac:dyDescent="0.3"/>
    <row r="22943" s="160" customFormat="1" x14ac:dyDescent="0.3"/>
    <row r="22944" s="160" customFormat="1" x14ac:dyDescent="0.3"/>
    <row r="22945" s="160" customFormat="1" x14ac:dyDescent="0.3"/>
    <row r="22946" s="160" customFormat="1" x14ac:dyDescent="0.3"/>
    <row r="22947" s="160" customFormat="1" x14ac:dyDescent="0.3"/>
    <row r="22948" s="160" customFormat="1" x14ac:dyDescent="0.3"/>
    <row r="22949" s="160" customFormat="1" x14ac:dyDescent="0.3"/>
    <row r="22950" s="160" customFormat="1" x14ac:dyDescent="0.3"/>
    <row r="22951" s="160" customFormat="1" x14ac:dyDescent="0.3"/>
    <row r="22952" s="160" customFormat="1" x14ac:dyDescent="0.3"/>
    <row r="22953" s="160" customFormat="1" x14ac:dyDescent="0.3"/>
    <row r="22954" s="160" customFormat="1" x14ac:dyDescent="0.3"/>
    <row r="22955" s="160" customFormat="1" x14ac:dyDescent="0.3"/>
    <row r="22956" s="160" customFormat="1" x14ac:dyDescent="0.3"/>
    <row r="22957" s="160" customFormat="1" x14ac:dyDescent="0.3"/>
    <row r="22958" s="160" customFormat="1" x14ac:dyDescent="0.3"/>
    <row r="22959" s="160" customFormat="1" x14ac:dyDescent="0.3"/>
    <row r="22960" s="160" customFormat="1" x14ac:dyDescent="0.3"/>
    <row r="22961" s="160" customFormat="1" x14ac:dyDescent="0.3"/>
    <row r="22962" s="160" customFormat="1" x14ac:dyDescent="0.3"/>
    <row r="22963" s="160" customFormat="1" x14ac:dyDescent="0.3"/>
    <row r="22964" s="160" customFormat="1" x14ac:dyDescent="0.3"/>
    <row r="22965" s="160" customFormat="1" x14ac:dyDescent="0.3"/>
    <row r="22966" s="160" customFormat="1" x14ac:dyDescent="0.3"/>
    <row r="22967" s="160" customFormat="1" x14ac:dyDescent="0.3"/>
    <row r="22968" s="160" customFormat="1" x14ac:dyDescent="0.3"/>
    <row r="22969" s="160" customFormat="1" x14ac:dyDescent="0.3"/>
    <row r="22970" s="160" customFormat="1" x14ac:dyDescent="0.3"/>
    <row r="22971" s="160" customFormat="1" x14ac:dyDescent="0.3"/>
    <row r="22972" s="160" customFormat="1" x14ac:dyDescent="0.3"/>
    <row r="22973" s="160" customFormat="1" x14ac:dyDescent="0.3"/>
    <row r="22974" s="160" customFormat="1" x14ac:dyDescent="0.3"/>
    <row r="22975" s="160" customFormat="1" x14ac:dyDescent="0.3"/>
    <row r="22976" s="160" customFormat="1" x14ac:dyDescent="0.3"/>
    <row r="22977" s="160" customFormat="1" x14ac:dyDescent="0.3"/>
    <row r="22978" s="160" customFormat="1" x14ac:dyDescent="0.3"/>
    <row r="22979" s="160" customFormat="1" x14ac:dyDescent="0.3"/>
    <row r="22980" s="160" customFormat="1" x14ac:dyDescent="0.3"/>
    <row r="22981" s="160" customFormat="1" x14ac:dyDescent="0.3"/>
    <row r="22982" s="160" customFormat="1" x14ac:dyDescent="0.3"/>
    <row r="22983" s="160" customFormat="1" x14ac:dyDescent="0.3"/>
    <row r="22984" s="160" customFormat="1" x14ac:dyDescent="0.3"/>
    <row r="22985" s="160" customFormat="1" x14ac:dyDescent="0.3"/>
    <row r="22986" s="160" customFormat="1" x14ac:dyDescent="0.3"/>
    <row r="22987" s="160" customFormat="1" x14ac:dyDescent="0.3"/>
    <row r="22988" s="160" customFormat="1" x14ac:dyDescent="0.3"/>
    <row r="22989" s="160" customFormat="1" x14ac:dyDescent="0.3"/>
    <row r="22990" s="160" customFormat="1" x14ac:dyDescent="0.3"/>
    <row r="22991" s="160" customFormat="1" x14ac:dyDescent="0.3"/>
    <row r="22992" s="160" customFormat="1" x14ac:dyDescent="0.3"/>
    <row r="22993" s="160" customFormat="1" x14ac:dyDescent="0.3"/>
    <row r="22994" s="160" customFormat="1" x14ac:dyDescent="0.3"/>
    <row r="22995" s="160" customFormat="1" x14ac:dyDescent="0.3"/>
    <row r="22996" s="160" customFormat="1" x14ac:dyDescent="0.3"/>
    <row r="22997" s="160" customFormat="1" x14ac:dyDescent="0.3"/>
    <row r="22998" s="160" customFormat="1" x14ac:dyDescent="0.3"/>
    <row r="22999" s="160" customFormat="1" x14ac:dyDescent="0.3"/>
    <row r="23000" s="160" customFormat="1" x14ac:dyDescent="0.3"/>
    <row r="23001" s="160" customFormat="1" x14ac:dyDescent="0.3"/>
    <row r="23002" s="160" customFormat="1" x14ac:dyDescent="0.3"/>
    <row r="23003" s="160" customFormat="1" x14ac:dyDescent="0.3"/>
    <row r="23004" s="160" customFormat="1" x14ac:dyDescent="0.3"/>
    <row r="23005" s="160" customFormat="1" x14ac:dyDescent="0.3"/>
    <row r="23006" s="160" customFormat="1" x14ac:dyDescent="0.3"/>
    <row r="23007" s="160" customFormat="1" x14ac:dyDescent="0.3"/>
    <row r="23008" s="160" customFormat="1" x14ac:dyDescent="0.3"/>
    <row r="23009" s="160" customFormat="1" x14ac:dyDescent="0.3"/>
    <row r="23010" s="160" customFormat="1" x14ac:dyDescent="0.3"/>
    <row r="23011" s="160" customFormat="1" x14ac:dyDescent="0.3"/>
    <row r="23012" s="160" customFormat="1" x14ac:dyDescent="0.3"/>
    <row r="23013" s="160" customFormat="1" x14ac:dyDescent="0.3"/>
    <row r="23014" s="160" customFormat="1" x14ac:dyDescent="0.3"/>
    <row r="23015" s="160" customFormat="1" x14ac:dyDescent="0.3"/>
    <row r="23016" s="160" customFormat="1" x14ac:dyDescent="0.3"/>
    <row r="23017" s="160" customFormat="1" x14ac:dyDescent="0.3"/>
    <row r="23018" s="160" customFormat="1" x14ac:dyDescent="0.3"/>
    <row r="23019" s="160" customFormat="1" x14ac:dyDescent="0.3"/>
    <row r="23020" s="160" customFormat="1" x14ac:dyDescent="0.3"/>
    <row r="23021" s="160" customFormat="1" x14ac:dyDescent="0.3"/>
    <row r="23022" s="160" customFormat="1" x14ac:dyDescent="0.3"/>
    <row r="23023" s="160" customFormat="1" x14ac:dyDescent="0.3"/>
    <row r="23024" s="160" customFormat="1" x14ac:dyDescent="0.3"/>
    <row r="23025" s="160" customFormat="1" x14ac:dyDescent="0.3"/>
    <row r="23026" s="160" customFormat="1" x14ac:dyDescent="0.3"/>
    <row r="23027" s="160" customFormat="1" x14ac:dyDescent="0.3"/>
    <row r="23028" s="160" customFormat="1" x14ac:dyDescent="0.3"/>
    <row r="23029" s="160" customFormat="1" x14ac:dyDescent="0.3"/>
    <row r="23030" s="160" customFormat="1" x14ac:dyDescent="0.3"/>
    <row r="23031" s="160" customFormat="1" x14ac:dyDescent="0.3"/>
    <row r="23032" s="160" customFormat="1" x14ac:dyDescent="0.3"/>
    <row r="23033" s="160" customFormat="1" x14ac:dyDescent="0.3"/>
    <row r="23034" s="160" customFormat="1" x14ac:dyDescent="0.3"/>
    <row r="23035" s="160" customFormat="1" x14ac:dyDescent="0.3"/>
    <row r="23036" s="160" customFormat="1" x14ac:dyDescent="0.3"/>
    <row r="23037" s="160" customFormat="1" x14ac:dyDescent="0.3"/>
    <row r="23038" s="160" customFormat="1" x14ac:dyDescent="0.3"/>
    <row r="23039" s="160" customFormat="1" x14ac:dyDescent="0.3"/>
    <row r="23040" s="160" customFormat="1" x14ac:dyDescent="0.3"/>
    <row r="23041" s="160" customFormat="1" x14ac:dyDescent="0.3"/>
    <row r="23042" s="160" customFormat="1" x14ac:dyDescent="0.3"/>
    <row r="23043" s="160" customFormat="1" x14ac:dyDescent="0.3"/>
    <row r="23044" s="160" customFormat="1" x14ac:dyDescent="0.3"/>
    <row r="23045" s="160" customFormat="1" x14ac:dyDescent="0.3"/>
    <row r="23046" s="160" customFormat="1" x14ac:dyDescent="0.3"/>
    <row r="23047" s="160" customFormat="1" x14ac:dyDescent="0.3"/>
    <row r="23048" s="160" customFormat="1" x14ac:dyDescent="0.3"/>
    <row r="23049" s="160" customFormat="1" x14ac:dyDescent="0.3"/>
    <row r="23050" s="160" customFormat="1" x14ac:dyDescent="0.3"/>
    <row r="23051" s="160" customFormat="1" x14ac:dyDescent="0.3"/>
    <row r="23052" s="160" customFormat="1" x14ac:dyDescent="0.3"/>
    <row r="23053" s="160" customFormat="1" x14ac:dyDescent="0.3"/>
    <row r="23054" s="160" customFormat="1" x14ac:dyDescent="0.3"/>
    <row r="23055" s="160" customFormat="1" x14ac:dyDescent="0.3"/>
    <row r="23056" s="160" customFormat="1" x14ac:dyDescent="0.3"/>
    <row r="23057" s="160" customFormat="1" x14ac:dyDescent="0.3"/>
    <row r="23058" s="160" customFormat="1" x14ac:dyDescent="0.3"/>
    <row r="23059" s="160" customFormat="1" x14ac:dyDescent="0.3"/>
    <row r="23060" s="160" customFormat="1" x14ac:dyDescent="0.3"/>
    <row r="23061" s="160" customFormat="1" x14ac:dyDescent="0.3"/>
    <row r="23062" s="160" customFormat="1" x14ac:dyDescent="0.3"/>
    <row r="23063" s="160" customFormat="1" x14ac:dyDescent="0.3"/>
    <row r="23064" s="160" customFormat="1" x14ac:dyDescent="0.3"/>
    <row r="23065" s="160" customFormat="1" x14ac:dyDescent="0.3"/>
    <row r="23066" s="160" customFormat="1" x14ac:dyDescent="0.3"/>
    <row r="23067" s="160" customFormat="1" x14ac:dyDescent="0.3"/>
    <row r="23068" s="160" customFormat="1" x14ac:dyDescent="0.3"/>
    <row r="23069" s="160" customFormat="1" x14ac:dyDescent="0.3"/>
    <row r="23070" s="160" customFormat="1" x14ac:dyDescent="0.3"/>
    <row r="23071" s="160" customFormat="1" x14ac:dyDescent="0.3"/>
    <row r="23072" s="160" customFormat="1" x14ac:dyDescent="0.3"/>
    <row r="23073" s="160" customFormat="1" x14ac:dyDescent="0.3"/>
    <row r="23074" s="160" customFormat="1" x14ac:dyDescent="0.3"/>
    <row r="23075" s="160" customFormat="1" x14ac:dyDescent="0.3"/>
    <row r="23076" s="160" customFormat="1" x14ac:dyDescent="0.3"/>
    <row r="23077" s="160" customFormat="1" x14ac:dyDescent="0.3"/>
    <row r="23078" s="160" customFormat="1" x14ac:dyDescent="0.3"/>
    <row r="23079" s="160" customFormat="1" x14ac:dyDescent="0.3"/>
    <row r="23080" s="160" customFormat="1" x14ac:dyDescent="0.3"/>
    <row r="23081" s="160" customFormat="1" x14ac:dyDescent="0.3"/>
    <row r="23082" s="160" customFormat="1" x14ac:dyDescent="0.3"/>
    <row r="23083" s="160" customFormat="1" x14ac:dyDescent="0.3"/>
    <row r="23084" s="160" customFormat="1" x14ac:dyDescent="0.3"/>
    <row r="23085" s="160" customFormat="1" x14ac:dyDescent="0.3"/>
    <row r="23086" s="160" customFormat="1" x14ac:dyDescent="0.3"/>
    <row r="23087" s="160" customFormat="1" x14ac:dyDescent="0.3"/>
    <row r="23088" s="160" customFormat="1" x14ac:dyDescent="0.3"/>
    <row r="23089" s="160" customFormat="1" x14ac:dyDescent="0.3"/>
    <row r="23090" s="160" customFormat="1" x14ac:dyDescent="0.3"/>
    <row r="23091" s="160" customFormat="1" x14ac:dyDescent="0.3"/>
    <row r="23092" s="160" customFormat="1" x14ac:dyDescent="0.3"/>
    <row r="23093" s="160" customFormat="1" x14ac:dyDescent="0.3"/>
    <row r="23094" s="160" customFormat="1" x14ac:dyDescent="0.3"/>
    <row r="23095" s="160" customFormat="1" x14ac:dyDescent="0.3"/>
    <row r="23096" s="160" customFormat="1" x14ac:dyDescent="0.3"/>
    <row r="23097" s="160" customFormat="1" x14ac:dyDescent="0.3"/>
    <row r="23098" s="160" customFormat="1" x14ac:dyDescent="0.3"/>
    <row r="23099" s="160" customFormat="1" x14ac:dyDescent="0.3"/>
    <row r="23100" s="160" customFormat="1" x14ac:dyDescent="0.3"/>
    <row r="23101" s="160" customFormat="1" x14ac:dyDescent="0.3"/>
    <row r="23102" s="160" customFormat="1" x14ac:dyDescent="0.3"/>
    <row r="23103" s="160" customFormat="1" x14ac:dyDescent="0.3"/>
    <row r="23104" s="160" customFormat="1" x14ac:dyDescent="0.3"/>
    <row r="23105" s="160" customFormat="1" x14ac:dyDescent="0.3"/>
    <row r="23106" s="160" customFormat="1" x14ac:dyDescent="0.3"/>
    <row r="23107" s="160" customFormat="1" x14ac:dyDescent="0.3"/>
    <row r="23108" s="160" customFormat="1" x14ac:dyDescent="0.3"/>
    <row r="23109" s="160" customFormat="1" x14ac:dyDescent="0.3"/>
    <row r="23110" s="160" customFormat="1" x14ac:dyDescent="0.3"/>
    <row r="23111" s="160" customFormat="1" x14ac:dyDescent="0.3"/>
    <row r="23112" s="160" customFormat="1" x14ac:dyDescent="0.3"/>
    <row r="23113" s="160" customFormat="1" x14ac:dyDescent="0.3"/>
    <row r="23114" s="160" customFormat="1" x14ac:dyDescent="0.3"/>
    <row r="23115" s="160" customFormat="1" x14ac:dyDescent="0.3"/>
    <row r="23116" s="160" customFormat="1" x14ac:dyDescent="0.3"/>
    <row r="23117" s="160" customFormat="1" x14ac:dyDescent="0.3"/>
    <row r="23118" s="160" customFormat="1" x14ac:dyDescent="0.3"/>
    <row r="23119" s="160" customFormat="1" x14ac:dyDescent="0.3"/>
    <row r="23120" s="160" customFormat="1" x14ac:dyDescent="0.3"/>
    <row r="23121" s="160" customFormat="1" x14ac:dyDescent="0.3"/>
    <row r="23122" s="160" customFormat="1" x14ac:dyDescent="0.3"/>
    <row r="23123" s="160" customFormat="1" x14ac:dyDescent="0.3"/>
    <row r="23124" s="160" customFormat="1" x14ac:dyDescent="0.3"/>
    <row r="23125" s="160" customFormat="1" x14ac:dyDescent="0.3"/>
    <row r="23126" s="160" customFormat="1" x14ac:dyDescent="0.3"/>
    <row r="23127" s="160" customFormat="1" x14ac:dyDescent="0.3"/>
    <row r="23128" s="160" customFormat="1" x14ac:dyDescent="0.3"/>
    <row r="23129" s="160" customFormat="1" x14ac:dyDescent="0.3"/>
    <row r="23130" s="160" customFormat="1" x14ac:dyDescent="0.3"/>
    <row r="23131" s="160" customFormat="1" x14ac:dyDescent="0.3"/>
    <row r="23132" s="160" customFormat="1" x14ac:dyDescent="0.3"/>
    <row r="23133" s="160" customFormat="1" x14ac:dyDescent="0.3"/>
    <row r="23134" s="160" customFormat="1" x14ac:dyDescent="0.3"/>
    <row r="23135" s="160" customFormat="1" x14ac:dyDescent="0.3"/>
    <row r="23136" s="160" customFormat="1" x14ac:dyDescent="0.3"/>
    <row r="23137" s="160" customFormat="1" x14ac:dyDescent="0.3"/>
    <row r="23138" s="160" customFormat="1" x14ac:dyDescent="0.3"/>
    <row r="23139" s="160" customFormat="1" x14ac:dyDescent="0.3"/>
    <row r="23140" s="160" customFormat="1" x14ac:dyDescent="0.3"/>
    <row r="23141" s="160" customFormat="1" x14ac:dyDescent="0.3"/>
    <row r="23142" s="160" customFormat="1" x14ac:dyDescent="0.3"/>
    <row r="23143" s="160" customFormat="1" x14ac:dyDescent="0.3"/>
    <row r="23144" s="160" customFormat="1" x14ac:dyDescent="0.3"/>
    <row r="23145" s="160" customFormat="1" x14ac:dyDescent="0.3"/>
    <row r="23146" s="160" customFormat="1" x14ac:dyDescent="0.3"/>
    <row r="23147" s="160" customFormat="1" x14ac:dyDescent="0.3"/>
    <row r="23148" s="160" customFormat="1" x14ac:dyDescent="0.3"/>
    <row r="23149" s="160" customFormat="1" x14ac:dyDescent="0.3"/>
    <row r="23150" s="160" customFormat="1" x14ac:dyDescent="0.3"/>
    <row r="23151" s="160" customFormat="1" x14ac:dyDescent="0.3"/>
    <row r="23152" s="160" customFormat="1" x14ac:dyDescent="0.3"/>
    <row r="23153" s="160" customFormat="1" x14ac:dyDescent="0.3"/>
    <row r="23154" s="160" customFormat="1" x14ac:dyDescent="0.3"/>
    <row r="23155" s="160" customFormat="1" x14ac:dyDescent="0.3"/>
    <row r="23156" s="160" customFormat="1" x14ac:dyDescent="0.3"/>
    <row r="23157" s="160" customFormat="1" x14ac:dyDescent="0.3"/>
    <row r="23158" s="160" customFormat="1" x14ac:dyDescent="0.3"/>
    <row r="23159" s="160" customFormat="1" x14ac:dyDescent="0.3"/>
    <row r="23160" s="160" customFormat="1" x14ac:dyDescent="0.3"/>
    <row r="23161" s="160" customFormat="1" x14ac:dyDescent="0.3"/>
    <row r="23162" s="160" customFormat="1" x14ac:dyDescent="0.3"/>
    <row r="23163" s="160" customFormat="1" x14ac:dyDescent="0.3"/>
    <row r="23164" s="160" customFormat="1" x14ac:dyDescent="0.3"/>
    <row r="23165" s="160" customFormat="1" x14ac:dyDescent="0.3"/>
    <row r="23166" s="160" customFormat="1" x14ac:dyDescent="0.3"/>
    <row r="23167" s="160" customFormat="1" x14ac:dyDescent="0.3"/>
    <row r="23168" s="160" customFormat="1" x14ac:dyDescent="0.3"/>
    <row r="23169" s="160" customFormat="1" x14ac:dyDescent="0.3"/>
    <row r="23170" s="160" customFormat="1" x14ac:dyDescent="0.3"/>
    <row r="23171" s="160" customFormat="1" x14ac:dyDescent="0.3"/>
    <row r="23172" s="160" customFormat="1" x14ac:dyDescent="0.3"/>
    <row r="23173" s="160" customFormat="1" x14ac:dyDescent="0.3"/>
    <row r="23174" s="160" customFormat="1" x14ac:dyDescent="0.3"/>
    <row r="23175" s="160" customFormat="1" x14ac:dyDescent="0.3"/>
    <row r="23176" s="160" customFormat="1" x14ac:dyDescent="0.3"/>
    <row r="23177" s="160" customFormat="1" x14ac:dyDescent="0.3"/>
    <row r="23178" s="160" customFormat="1" x14ac:dyDescent="0.3"/>
    <row r="23179" s="160" customFormat="1" x14ac:dyDescent="0.3"/>
    <row r="23180" s="160" customFormat="1" x14ac:dyDescent="0.3"/>
    <row r="23181" s="160" customFormat="1" x14ac:dyDescent="0.3"/>
    <row r="23182" s="160" customFormat="1" x14ac:dyDescent="0.3"/>
    <row r="23183" s="160" customFormat="1" x14ac:dyDescent="0.3"/>
    <row r="23184" s="160" customFormat="1" x14ac:dyDescent="0.3"/>
    <row r="23185" s="160" customFormat="1" x14ac:dyDescent="0.3"/>
    <row r="23186" s="160" customFormat="1" x14ac:dyDescent="0.3"/>
    <row r="23187" s="160" customFormat="1" x14ac:dyDescent="0.3"/>
    <row r="23188" s="160" customFormat="1" x14ac:dyDescent="0.3"/>
    <row r="23189" s="160" customFormat="1" x14ac:dyDescent="0.3"/>
    <row r="23190" s="160" customFormat="1" x14ac:dyDescent="0.3"/>
    <row r="23191" s="160" customFormat="1" x14ac:dyDescent="0.3"/>
    <row r="23192" s="160" customFormat="1" x14ac:dyDescent="0.3"/>
    <row r="23193" s="160" customFormat="1" x14ac:dyDescent="0.3"/>
    <row r="23194" s="160" customFormat="1" x14ac:dyDescent="0.3"/>
    <row r="23195" s="160" customFormat="1" x14ac:dyDescent="0.3"/>
    <row r="23196" s="160" customFormat="1" x14ac:dyDescent="0.3"/>
    <row r="23197" s="160" customFormat="1" x14ac:dyDescent="0.3"/>
    <row r="23198" s="160" customFormat="1" x14ac:dyDescent="0.3"/>
    <row r="23199" s="160" customFormat="1" x14ac:dyDescent="0.3"/>
    <row r="23200" s="160" customFormat="1" x14ac:dyDescent="0.3"/>
    <row r="23201" s="160" customFormat="1" x14ac:dyDescent="0.3"/>
    <row r="23202" s="160" customFormat="1" x14ac:dyDescent="0.3"/>
    <row r="23203" s="160" customFormat="1" x14ac:dyDescent="0.3"/>
    <row r="23204" s="160" customFormat="1" x14ac:dyDescent="0.3"/>
    <row r="23205" s="160" customFormat="1" x14ac:dyDescent="0.3"/>
    <row r="23206" s="160" customFormat="1" x14ac:dyDescent="0.3"/>
    <row r="23207" s="160" customFormat="1" x14ac:dyDescent="0.3"/>
    <row r="23208" s="160" customFormat="1" x14ac:dyDescent="0.3"/>
    <row r="23209" s="160" customFormat="1" x14ac:dyDescent="0.3"/>
    <row r="23210" s="160" customFormat="1" x14ac:dyDescent="0.3"/>
    <row r="23211" s="160" customFormat="1" x14ac:dyDescent="0.3"/>
    <row r="23212" s="160" customFormat="1" x14ac:dyDescent="0.3"/>
    <row r="23213" s="160" customFormat="1" x14ac:dyDescent="0.3"/>
    <row r="23214" s="160" customFormat="1" x14ac:dyDescent="0.3"/>
    <row r="23215" s="160" customFormat="1" x14ac:dyDescent="0.3"/>
    <row r="23216" s="160" customFormat="1" x14ac:dyDescent="0.3"/>
    <row r="23217" s="160" customFormat="1" x14ac:dyDescent="0.3"/>
    <row r="23218" s="160" customFormat="1" x14ac:dyDescent="0.3"/>
    <row r="23219" s="160" customFormat="1" x14ac:dyDescent="0.3"/>
    <row r="23220" s="160" customFormat="1" x14ac:dyDescent="0.3"/>
    <row r="23221" s="160" customFormat="1" x14ac:dyDescent="0.3"/>
    <row r="23222" s="160" customFormat="1" x14ac:dyDescent="0.3"/>
    <row r="23223" s="160" customFormat="1" x14ac:dyDescent="0.3"/>
    <row r="23224" s="160" customFormat="1" x14ac:dyDescent="0.3"/>
    <row r="23225" s="160" customFormat="1" x14ac:dyDescent="0.3"/>
    <row r="23226" s="160" customFormat="1" x14ac:dyDescent="0.3"/>
    <row r="23227" s="160" customFormat="1" x14ac:dyDescent="0.3"/>
    <row r="23228" s="160" customFormat="1" x14ac:dyDescent="0.3"/>
    <row r="23229" s="160" customFormat="1" x14ac:dyDescent="0.3"/>
    <row r="23230" s="160" customFormat="1" x14ac:dyDescent="0.3"/>
    <row r="23231" s="160" customFormat="1" x14ac:dyDescent="0.3"/>
    <row r="23232" s="160" customFormat="1" x14ac:dyDescent="0.3"/>
    <row r="23233" s="160" customFormat="1" x14ac:dyDescent="0.3"/>
    <row r="23234" s="160" customFormat="1" x14ac:dyDescent="0.3"/>
    <row r="23235" s="160" customFormat="1" x14ac:dyDescent="0.3"/>
    <row r="23236" s="160" customFormat="1" x14ac:dyDescent="0.3"/>
    <row r="23237" s="160" customFormat="1" x14ac:dyDescent="0.3"/>
    <row r="23238" s="160" customFormat="1" x14ac:dyDescent="0.3"/>
    <row r="23239" s="160" customFormat="1" x14ac:dyDescent="0.3"/>
    <row r="23240" s="160" customFormat="1" x14ac:dyDescent="0.3"/>
    <row r="23241" s="160" customFormat="1" x14ac:dyDescent="0.3"/>
    <row r="23242" s="160" customFormat="1" x14ac:dyDescent="0.3"/>
    <row r="23243" s="160" customFormat="1" x14ac:dyDescent="0.3"/>
    <row r="23244" s="160" customFormat="1" x14ac:dyDescent="0.3"/>
    <row r="23245" s="160" customFormat="1" x14ac:dyDescent="0.3"/>
    <row r="23246" s="160" customFormat="1" x14ac:dyDescent="0.3"/>
    <row r="23247" s="160" customFormat="1" x14ac:dyDescent="0.3"/>
    <row r="23248" s="160" customFormat="1" x14ac:dyDescent="0.3"/>
    <row r="23249" s="160" customFormat="1" x14ac:dyDescent="0.3"/>
    <row r="23250" s="160" customFormat="1" x14ac:dyDescent="0.3"/>
    <row r="23251" s="160" customFormat="1" x14ac:dyDescent="0.3"/>
    <row r="23252" s="160" customFormat="1" x14ac:dyDescent="0.3"/>
    <row r="23253" s="160" customFormat="1" x14ac:dyDescent="0.3"/>
    <row r="23254" s="160" customFormat="1" x14ac:dyDescent="0.3"/>
    <row r="23255" s="160" customFormat="1" x14ac:dyDescent="0.3"/>
    <row r="23256" s="160" customFormat="1" x14ac:dyDescent="0.3"/>
    <row r="23257" s="160" customFormat="1" x14ac:dyDescent="0.3"/>
    <row r="23258" s="160" customFormat="1" x14ac:dyDescent="0.3"/>
    <row r="23259" s="160" customFormat="1" x14ac:dyDescent="0.3"/>
    <row r="23260" s="160" customFormat="1" x14ac:dyDescent="0.3"/>
    <row r="23261" s="160" customFormat="1" x14ac:dyDescent="0.3"/>
    <row r="23262" s="160" customFormat="1" x14ac:dyDescent="0.3"/>
    <row r="23263" s="160" customFormat="1" x14ac:dyDescent="0.3"/>
    <row r="23264" s="160" customFormat="1" x14ac:dyDescent="0.3"/>
    <row r="23265" s="160" customFormat="1" x14ac:dyDescent="0.3"/>
    <row r="23266" s="160" customFormat="1" x14ac:dyDescent="0.3"/>
    <row r="23267" s="160" customFormat="1" x14ac:dyDescent="0.3"/>
    <row r="23268" s="160" customFormat="1" x14ac:dyDescent="0.3"/>
    <row r="23269" s="160" customFormat="1" x14ac:dyDescent="0.3"/>
    <row r="23270" s="160" customFormat="1" x14ac:dyDescent="0.3"/>
    <row r="23271" s="160" customFormat="1" x14ac:dyDescent="0.3"/>
    <row r="23272" s="160" customFormat="1" x14ac:dyDescent="0.3"/>
    <row r="23273" s="160" customFormat="1" x14ac:dyDescent="0.3"/>
    <row r="23274" s="160" customFormat="1" x14ac:dyDescent="0.3"/>
    <row r="23275" s="160" customFormat="1" x14ac:dyDescent="0.3"/>
    <row r="23276" s="160" customFormat="1" x14ac:dyDescent="0.3"/>
    <row r="23277" s="160" customFormat="1" x14ac:dyDescent="0.3"/>
    <row r="23278" s="160" customFormat="1" x14ac:dyDescent="0.3"/>
    <row r="23279" s="160" customFormat="1" x14ac:dyDescent="0.3"/>
    <row r="23280" s="160" customFormat="1" x14ac:dyDescent="0.3"/>
    <row r="23281" s="160" customFormat="1" x14ac:dyDescent="0.3"/>
    <row r="23282" s="160" customFormat="1" x14ac:dyDescent="0.3"/>
    <row r="23283" s="160" customFormat="1" x14ac:dyDescent="0.3"/>
    <row r="23284" s="160" customFormat="1" x14ac:dyDescent="0.3"/>
    <row r="23285" s="160" customFormat="1" x14ac:dyDescent="0.3"/>
    <row r="23286" s="160" customFormat="1" x14ac:dyDescent="0.3"/>
    <row r="23287" s="160" customFormat="1" x14ac:dyDescent="0.3"/>
    <row r="23288" s="160" customFormat="1" x14ac:dyDescent="0.3"/>
    <row r="23289" s="160" customFormat="1" x14ac:dyDescent="0.3"/>
    <row r="23290" s="160" customFormat="1" x14ac:dyDescent="0.3"/>
    <row r="23291" s="160" customFormat="1" x14ac:dyDescent="0.3"/>
    <row r="23292" s="160" customFormat="1" x14ac:dyDescent="0.3"/>
    <row r="23293" s="160" customFormat="1" x14ac:dyDescent="0.3"/>
    <row r="23294" s="160" customFormat="1" x14ac:dyDescent="0.3"/>
    <row r="23295" s="160" customFormat="1" x14ac:dyDescent="0.3"/>
    <row r="23296" s="160" customFormat="1" x14ac:dyDescent="0.3"/>
    <row r="23297" s="160" customFormat="1" x14ac:dyDescent="0.3"/>
    <row r="23298" s="160" customFormat="1" x14ac:dyDescent="0.3"/>
    <row r="23299" s="160" customFormat="1" x14ac:dyDescent="0.3"/>
    <row r="23300" s="160" customFormat="1" x14ac:dyDescent="0.3"/>
    <row r="23301" s="160" customFormat="1" x14ac:dyDescent="0.3"/>
    <row r="23302" s="160" customFormat="1" x14ac:dyDescent="0.3"/>
    <row r="23303" s="160" customFormat="1" x14ac:dyDescent="0.3"/>
    <row r="23304" s="160" customFormat="1" x14ac:dyDescent="0.3"/>
    <row r="23305" s="160" customFormat="1" x14ac:dyDescent="0.3"/>
    <row r="23306" s="160" customFormat="1" x14ac:dyDescent="0.3"/>
    <row r="23307" s="160" customFormat="1" x14ac:dyDescent="0.3"/>
    <row r="23308" s="160" customFormat="1" x14ac:dyDescent="0.3"/>
    <row r="23309" s="160" customFormat="1" x14ac:dyDescent="0.3"/>
    <row r="23310" s="160" customFormat="1" x14ac:dyDescent="0.3"/>
    <row r="23311" s="160" customFormat="1" x14ac:dyDescent="0.3"/>
    <row r="23312" s="160" customFormat="1" x14ac:dyDescent="0.3"/>
    <row r="23313" s="160" customFormat="1" x14ac:dyDescent="0.3"/>
    <row r="23314" s="160" customFormat="1" x14ac:dyDescent="0.3"/>
    <row r="23315" s="160" customFormat="1" x14ac:dyDescent="0.3"/>
    <row r="23316" s="160" customFormat="1" x14ac:dyDescent="0.3"/>
    <row r="23317" s="160" customFormat="1" x14ac:dyDescent="0.3"/>
    <row r="23318" s="160" customFormat="1" x14ac:dyDescent="0.3"/>
    <row r="23319" s="160" customFormat="1" x14ac:dyDescent="0.3"/>
    <row r="23320" s="160" customFormat="1" x14ac:dyDescent="0.3"/>
    <row r="23321" s="160" customFormat="1" x14ac:dyDescent="0.3"/>
    <row r="23322" s="160" customFormat="1" x14ac:dyDescent="0.3"/>
    <row r="23323" s="160" customFormat="1" x14ac:dyDescent="0.3"/>
    <row r="23324" s="160" customFormat="1" x14ac:dyDescent="0.3"/>
    <row r="23325" s="160" customFormat="1" x14ac:dyDescent="0.3"/>
    <row r="23326" s="160" customFormat="1" x14ac:dyDescent="0.3"/>
    <row r="23327" s="160" customFormat="1" x14ac:dyDescent="0.3"/>
    <row r="23328" s="160" customFormat="1" x14ac:dyDescent="0.3"/>
    <row r="23329" s="160" customFormat="1" x14ac:dyDescent="0.3"/>
    <row r="23330" s="160" customFormat="1" x14ac:dyDescent="0.3"/>
    <row r="23331" s="160" customFormat="1" x14ac:dyDescent="0.3"/>
    <row r="23332" s="160" customFormat="1" x14ac:dyDescent="0.3"/>
    <row r="23333" s="160" customFormat="1" x14ac:dyDescent="0.3"/>
    <row r="23334" s="160" customFormat="1" x14ac:dyDescent="0.3"/>
    <row r="23335" s="160" customFormat="1" x14ac:dyDescent="0.3"/>
    <row r="23336" s="160" customFormat="1" x14ac:dyDescent="0.3"/>
    <row r="23337" s="160" customFormat="1" x14ac:dyDescent="0.3"/>
    <row r="23338" s="160" customFormat="1" x14ac:dyDescent="0.3"/>
    <row r="23339" s="160" customFormat="1" x14ac:dyDescent="0.3"/>
    <row r="23340" s="160" customFormat="1" x14ac:dyDescent="0.3"/>
    <row r="23341" s="160" customFormat="1" x14ac:dyDescent="0.3"/>
    <row r="23342" s="160" customFormat="1" x14ac:dyDescent="0.3"/>
    <row r="23343" s="160" customFormat="1" x14ac:dyDescent="0.3"/>
    <row r="23344" s="160" customFormat="1" x14ac:dyDescent="0.3"/>
    <row r="23345" s="160" customFormat="1" x14ac:dyDescent="0.3"/>
    <row r="23346" s="160" customFormat="1" x14ac:dyDescent="0.3"/>
    <row r="23347" s="160" customFormat="1" x14ac:dyDescent="0.3"/>
    <row r="23348" s="160" customFormat="1" x14ac:dyDescent="0.3"/>
    <row r="23349" s="160" customFormat="1" x14ac:dyDescent="0.3"/>
    <row r="23350" s="160" customFormat="1" x14ac:dyDescent="0.3"/>
    <row r="23351" s="160" customFormat="1" x14ac:dyDescent="0.3"/>
    <row r="23352" s="160" customFormat="1" x14ac:dyDescent="0.3"/>
    <row r="23353" s="160" customFormat="1" x14ac:dyDescent="0.3"/>
    <row r="23354" s="160" customFormat="1" x14ac:dyDescent="0.3"/>
    <row r="23355" s="160" customFormat="1" x14ac:dyDescent="0.3"/>
    <row r="23356" s="160" customFormat="1" x14ac:dyDescent="0.3"/>
    <row r="23357" s="160" customFormat="1" x14ac:dyDescent="0.3"/>
    <row r="23358" s="160" customFormat="1" x14ac:dyDescent="0.3"/>
    <row r="23359" s="160" customFormat="1" x14ac:dyDescent="0.3"/>
    <row r="23360" s="160" customFormat="1" x14ac:dyDescent="0.3"/>
    <row r="23361" s="160" customFormat="1" x14ac:dyDescent="0.3"/>
    <row r="23362" s="160" customFormat="1" x14ac:dyDescent="0.3"/>
    <row r="23363" s="160" customFormat="1" x14ac:dyDescent="0.3"/>
    <row r="23364" s="160" customFormat="1" x14ac:dyDescent="0.3"/>
    <row r="23365" s="160" customFormat="1" x14ac:dyDescent="0.3"/>
    <row r="23366" s="160" customFormat="1" x14ac:dyDescent="0.3"/>
    <row r="23367" s="160" customFormat="1" x14ac:dyDescent="0.3"/>
    <row r="23368" s="160" customFormat="1" x14ac:dyDescent="0.3"/>
    <row r="23369" s="160" customFormat="1" x14ac:dyDescent="0.3"/>
    <row r="23370" s="160" customFormat="1" x14ac:dyDescent="0.3"/>
    <row r="23371" s="160" customFormat="1" x14ac:dyDescent="0.3"/>
    <row r="23372" s="160" customFormat="1" x14ac:dyDescent="0.3"/>
    <row r="23373" s="160" customFormat="1" x14ac:dyDescent="0.3"/>
    <row r="23374" s="160" customFormat="1" x14ac:dyDescent="0.3"/>
    <row r="23375" s="160" customFormat="1" x14ac:dyDescent="0.3"/>
    <row r="23376" s="160" customFormat="1" x14ac:dyDescent="0.3"/>
    <row r="23377" s="160" customFormat="1" x14ac:dyDescent="0.3"/>
    <row r="23378" s="160" customFormat="1" x14ac:dyDescent="0.3"/>
    <row r="23379" s="160" customFormat="1" x14ac:dyDescent="0.3"/>
    <row r="23380" s="160" customFormat="1" x14ac:dyDescent="0.3"/>
    <row r="23381" s="160" customFormat="1" x14ac:dyDescent="0.3"/>
    <row r="23382" s="160" customFormat="1" x14ac:dyDescent="0.3"/>
    <row r="23383" s="160" customFormat="1" x14ac:dyDescent="0.3"/>
    <row r="23384" s="160" customFormat="1" x14ac:dyDescent="0.3"/>
    <row r="23385" s="160" customFormat="1" x14ac:dyDescent="0.3"/>
    <row r="23386" s="160" customFormat="1" x14ac:dyDescent="0.3"/>
    <row r="23387" s="160" customFormat="1" x14ac:dyDescent="0.3"/>
    <row r="23388" s="160" customFormat="1" x14ac:dyDescent="0.3"/>
    <row r="23389" s="160" customFormat="1" x14ac:dyDescent="0.3"/>
    <row r="23390" s="160" customFormat="1" x14ac:dyDescent="0.3"/>
    <row r="23391" s="160" customFormat="1" x14ac:dyDescent="0.3"/>
    <row r="23392" s="160" customFormat="1" x14ac:dyDescent="0.3"/>
    <row r="23393" s="160" customFormat="1" x14ac:dyDescent="0.3"/>
    <row r="23394" s="160" customFormat="1" x14ac:dyDescent="0.3"/>
    <row r="23395" s="160" customFormat="1" x14ac:dyDescent="0.3"/>
    <row r="23396" s="160" customFormat="1" x14ac:dyDescent="0.3"/>
    <row r="23397" s="160" customFormat="1" x14ac:dyDescent="0.3"/>
    <row r="23398" s="160" customFormat="1" x14ac:dyDescent="0.3"/>
    <row r="23399" s="160" customFormat="1" x14ac:dyDescent="0.3"/>
    <row r="23400" s="160" customFormat="1" x14ac:dyDescent="0.3"/>
    <row r="23401" s="160" customFormat="1" x14ac:dyDescent="0.3"/>
    <row r="23402" s="160" customFormat="1" x14ac:dyDescent="0.3"/>
    <row r="23403" s="160" customFormat="1" x14ac:dyDescent="0.3"/>
    <row r="23404" s="160" customFormat="1" x14ac:dyDescent="0.3"/>
    <row r="23405" s="160" customFormat="1" x14ac:dyDescent="0.3"/>
    <row r="23406" s="160" customFormat="1" x14ac:dyDescent="0.3"/>
    <row r="23407" s="160" customFormat="1" x14ac:dyDescent="0.3"/>
    <row r="23408" s="160" customFormat="1" x14ac:dyDescent="0.3"/>
    <row r="23409" s="160" customFormat="1" x14ac:dyDescent="0.3"/>
    <row r="23410" s="160" customFormat="1" x14ac:dyDescent="0.3"/>
    <row r="23411" s="160" customFormat="1" x14ac:dyDescent="0.3"/>
    <row r="23412" s="160" customFormat="1" x14ac:dyDescent="0.3"/>
    <row r="23413" s="160" customFormat="1" x14ac:dyDescent="0.3"/>
    <row r="23414" s="160" customFormat="1" x14ac:dyDescent="0.3"/>
    <row r="23415" s="160" customFormat="1" x14ac:dyDescent="0.3"/>
    <row r="23416" s="160" customFormat="1" x14ac:dyDescent="0.3"/>
    <row r="23417" s="160" customFormat="1" x14ac:dyDescent="0.3"/>
    <row r="23418" s="160" customFormat="1" x14ac:dyDescent="0.3"/>
    <row r="23419" s="160" customFormat="1" x14ac:dyDescent="0.3"/>
    <row r="23420" s="160" customFormat="1" x14ac:dyDescent="0.3"/>
    <row r="23421" s="160" customFormat="1" x14ac:dyDescent="0.3"/>
    <row r="23422" s="160" customFormat="1" x14ac:dyDescent="0.3"/>
    <row r="23423" s="160" customFormat="1" x14ac:dyDescent="0.3"/>
    <row r="23424" s="160" customFormat="1" x14ac:dyDescent="0.3"/>
    <row r="23425" s="160" customFormat="1" x14ac:dyDescent="0.3"/>
    <row r="23426" s="160" customFormat="1" x14ac:dyDescent="0.3"/>
    <row r="23427" s="160" customFormat="1" x14ac:dyDescent="0.3"/>
    <row r="23428" s="160" customFormat="1" x14ac:dyDescent="0.3"/>
    <row r="23429" s="160" customFormat="1" x14ac:dyDescent="0.3"/>
    <row r="23430" s="160" customFormat="1" x14ac:dyDescent="0.3"/>
    <row r="23431" s="160" customFormat="1" x14ac:dyDescent="0.3"/>
    <row r="23432" s="160" customFormat="1" x14ac:dyDescent="0.3"/>
    <row r="23433" s="160" customFormat="1" x14ac:dyDescent="0.3"/>
    <row r="23434" s="160" customFormat="1" x14ac:dyDescent="0.3"/>
    <row r="23435" s="160" customFormat="1" x14ac:dyDescent="0.3"/>
    <row r="23436" s="160" customFormat="1" x14ac:dyDescent="0.3"/>
    <row r="23437" s="160" customFormat="1" x14ac:dyDescent="0.3"/>
    <row r="23438" s="160" customFormat="1" x14ac:dyDescent="0.3"/>
    <row r="23439" s="160" customFormat="1" x14ac:dyDescent="0.3"/>
    <row r="23440" s="160" customFormat="1" x14ac:dyDescent="0.3"/>
    <row r="23441" s="160" customFormat="1" x14ac:dyDescent="0.3"/>
    <row r="23442" s="160" customFormat="1" x14ac:dyDescent="0.3"/>
    <row r="23443" s="160" customFormat="1" x14ac:dyDescent="0.3"/>
    <row r="23444" s="160" customFormat="1" x14ac:dyDescent="0.3"/>
    <row r="23445" s="160" customFormat="1" x14ac:dyDescent="0.3"/>
    <row r="23446" s="160" customFormat="1" x14ac:dyDescent="0.3"/>
    <row r="23447" s="160" customFormat="1" x14ac:dyDescent="0.3"/>
    <row r="23448" s="160" customFormat="1" x14ac:dyDescent="0.3"/>
    <row r="23449" s="160" customFormat="1" x14ac:dyDescent="0.3"/>
    <row r="23450" s="160" customFormat="1" x14ac:dyDescent="0.3"/>
    <row r="23451" s="160" customFormat="1" x14ac:dyDescent="0.3"/>
    <row r="23452" s="160" customFormat="1" x14ac:dyDescent="0.3"/>
    <row r="23453" s="160" customFormat="1" x14ac:dyDescent="0.3"/>
    <row r="23454" s="160" customFormat="1" x14ac:dyDescent="0.3"/>
    <row r="23455" s="160" customFormat="1" x14ac:dyDescent="0.3"/>
    <row r="23456" s="160" customFormat="1" x14ac:dyDescent="0.3"/>
    <row r="23457" s="160" customFormat="1" x14ac:dyDescent="0.3"/>
    <row r="23458" s="160" customFormat="1" x14ac:dyDescent="0.3"/>
    <row r="23459" s="160" customFormat="1" x14ac:dyDescent="0.3"/>
    <row r="23460" s="160" customFormat="1" x14ac:dyDescent="0.3"/>
    <row r="23461" s="160" customFormat="1" x14ac:dyDescent="0.3"/>
    <row r="23462" s="160" customFormat="1" x14ac:dyDescent="0.3"/>
    <row r="23463" s="160" customFormat="1" x14ac:dyDescent="0.3"/>
    <row r="23464" s="160" customFormat="1" x14ac:dyDescent="0.3"/>
    <row r="23465" s="160" customFormat="1" x14ac:dyDescent="0.3"/>
    <row r="23466" s="160" customFormat="1" x14ac:dyDescent="0.3"/>
    <row r="23467" s="160" customFormat="1" x14ac:dyDescent="0.3"/>
    <row r="23468" s="160" customFormat="1" x14ac:dyDescent="0.3"/>
    <row r="23469" s="160" customFormat="1" x14ac:dyDescent="0.3"/>
    <row r="23470" s="160" customFormat="1" x14ac:dyDescent="0.3"/>
    <row r="23471" s="160" customFormat="1" x14ac:dyDescent="0.3"/>
    <row r="23472" s="160" customFormat="1" x14ac:dyDescent="0.3"/>
    <row r="23473" s="160" customFormat="1" x14ac:dyDescent="0.3"/>
    <row r="23474" s="160" customFormat="1" x14ac:dyDescent="0.3"/>
    <row r="23475" s="160" customFormat="1" x14ac:dyDescent="0.3"/>
    <row r="23476" s="160" customFormat="1" x14ac:dyDescent="0.3"/>
    <row r="23477" s="160" customFormat="1" x14ac:dyDescent="0.3"/>
    <row r="23478" s="160" customFormat="1" x14ac:dyDescent="0.3"/>
    <row r="23479" s="160" customFormat="1" x14ac:dyDescent="0.3"/>
    <row r="23480" s="160" customFormat="1" x14ac:dyDescent="0.3"/>
    <row r="23481" s="160" customFormat="1" x14ac:dyDescent="0.3"/>
    <row r="23482" s="160" customFormat="1" x14ac:dyDescent="0.3"/>
    <row r="23483" s="160" customFormat="1" x14ac:dyDescent="0.3"/>
    <row r="23484" s="160" customFormat="1" x14ac:dyDescent="0.3"/>
    <row r="23485" s="160" customFormat="1" x14ac:dyDescent="0.3"/>
    <row r="23486" s="160" customFormat="1" x14ac:dyDescent="0.3"/>
    <row r="23487" s="160" customFormat="1" x14ac:dyDescent="0.3"/>
    <row r="23488" s="160" customFormat="1" x14ac:dyDescent="0.3"/>
    <row r="23489" s="160" customFormat="1" x14ac:dyDescent="0.3"/>
    <row r="23490" s="160" customFormat="1" x14ac:dyDescent="0.3"/>
    <row r="23491" s="160" customFormat="1" x14ac:dyDescent="0.3"/>
    <row r="23492" s="160" customFormat="1" x14ac:dyDescent="0.3"/>
    <row r="23493" s="160" customFormat="1" x14ac:dyDescent="0.3"/>
    <row r="23494" s="160" customFormat="1" x14ac:dyDescent="0.3"/>
    <row r="23495" s="160" customFormat="1" x14ac:dyDescent="0.3"/>
    <row r="23496" s="160" customFormat="1" x14ac:dyDescent="0.3"/>
    <row r="23497" s="160" customFormat="1" x14ac:dyDescent="0.3"/>
    <row r="23498" s="160" customFormat="1" x14ac:dyDescent="0.3"/>
    <row r="23499" s="160" customFormat="1" x14ac:dyDescent="0.3"/>
    <row r="23500" s="160" customFormat="1" x14ac:dyDescent="0.3"/>
    <row r="23501" s="160" customFormat="1" x14ac:dyDescent="0.3"/>
    <row r="23502" s="160" customFormat="1" x14ac:dyDescent="0.3"/>
    <row r="23503" s="160" customFormat="1" x14ac:dyDescent="0.3"/>
    <row r="23504" s="160" customFormat="1" x14ac:dyDescent="0.3"/>
    <row r="23505" s="160" customFormat="1" x14ac:dyDescent="0.3"/>
    <row r="23506" s="160" customFormat="1" x14ac:dyDescent="0.3"/>
    <row r="23507" s="160" customFormat="1" x14ac:dyDescent="0.3"/>
    <row r="23508" s="160" customFormat="1" x14ac:dyDescent="0.3"/>
    <row r="23509" s="160" customFormat="1" x14ac:dyDescent="0.3"/>
    <row r="23510" s="160" customFormat="1" x14ac:dyDescent="0.3"/>
    <row r="23511" s="160" customFormat="1" x14ac:dyDescent="0.3"/>
    <row r="23512" s="160" customFormat="1" x14ac:dyDescent="0.3"/>
    <row r="23513" s="160" customFormat="1" x14ac:dyDescent="0.3"/>
    <row r="23514" s="160" customFormat="1" x14ac:dyDescent="0.3"/>
    <row r="23515" s="160" customFormat="1" x14ac:dyDescent="0.3"/>
    <row r="23516" s="160" customFormat="1" x14ac:dyDescent="0.3"/>
    <row r="23517" s="160" customFormat="1" x14ac:dyDescent="0.3"/>
    <row r="23518" s="160" customFormat="1" x14ac:dyDescent="0.3"/>
    <row r="23519" s="160" customFormat="1" x14ac:dyDescent="0.3"/>
    <row r="23520" s="160" customFormat="1" x14ac:dyDescent="0.3"/>
    <row r="23521" s="160" customFormat="1" x14ac:dyDescent="0.3"/>
    <row r="23522" s="160" customFormat="1" x14ac:dyDescent="0.3"/>
    <row r="23523" s="160" customFormat="1" x14ac:dyDescent="0.3"/>
    <row r="23524" s="160" customFormat="1" x14ac:dyDescent="0.3"/>
    <row r="23525" s="160" customFormat="1" x14ac:dyDescent="0.3"/>
    <row r="23526" s="160" customFormat="1" x14ac:dyDescent="0.3"/>
    <row r="23527" s="160" customFormat="1" x14ac:dyDescent="0.3"/>
    <row r="23528" s="160" customFormat="1" x14ac:dyDescent="0.3"/>
    <row r="23529" s="160" customFormat="1" x14ac:dyDescent="0.3"/>
    <row r="23530" s="160" customFormat="1" x14ac:dyDescent="0.3"/>
    <row r="23531" s="160" customFormat="1" x14ac:dyDescent="0.3"/>
    <row r="23532" s="160" customFormat="1" x14ac:dyDescent="0.3"/>
    <row r="23533" s="160" customFormat="1" x14ac:dyDescent="0.3"/>
    <row r="23534" s="160" customFormat="1" x14ac:dyDescent="0.3"/>
    <row r="23535" s="160" customFormat="1" x14ac:dyDescent="0.3"/>
    <row r="23536" s="160" customFormat="1" x14ac:dyDescent="0.3"/>
    <row r="23537" s="160" customFormat="1" x14ac:dyDescent="0.3"/>
    <row r="23538" s="160" customFormat="1" x14ac:dyDescent="0.3"/>
    <row r="23539" s="160" customFormat="1" x14ac:dyDescent="0.3"/>
    <row r="23540" s="160" customFormat="1" x14ac:dyDescent="0.3"/>
    <row r="23541" s="160" customFormat="1" x14ac:dyDescent="0.3"/>
    <row r="23542" s="160" customFormat="1" x14ac:dyDescent="0.3"/>
    <row r="23543" s="160" customFormat="1" x14ac:dyDescent="0.3"/>
    <row r="23544" s="160" customFormat="1" x14ac:dyDescent="0.3"/>
    <row r="23545" s="160" customFormat="1" x14ac:dyDescent="0.3"/>
    <row r="23546" s="160" customFormat="1" x14ac:dyDescent="0.3"/>
    <row r="23547" s="160" customFormat="1" x14ac:dyDescent="0.3"/>
    <row r="23548" s="160" customFormat="1" x14ac:dyDescent="0.3"/>
    <row r="23549" s="160" customFormat="1" x14ac:dyDescent="0.3"/>
    <row r="23550" s="160" customFormat="1" x14ac:dyDescent="0.3"/>
    <row r="23551" s="160" customFormat="1" x14ac:dyDescent="0.3"/>
    <row r="23552" s="160" customFormat="1" x14ac:dyDescent="0.3"/>
    <row r="23553" s="160" customFormat="1" x14ac:dyDescent="0.3"/>
    <row r="23554" s="160" customFormat="1" x14ac:dyDescent="0.3"/>
    <row r="23555" s="160" customFormat="1" x14ac:dyDescent="0.3"/>
    <row r="23556" s="160" customFormat="1" x14ac:dyDescent="0.3"/>
    <row r="23557" s="160" customFormat="1" x14ac:dyDescent="0.3"/>
    <row r="23558" s="160" customFormat="1" x14ac:dyDescent="0.3"/>
    <row r="23559" s="160" customFormat="1" x14ac:dyDescent="0.3"/>
    <row r="23560" s="160" customFormat="1" x14ac:dyDescent="0.3"/>
    <row r="23561" s="160" customFormat="1" x14ac:dyDescent="0.3"/>
    <row r="23562" s="160" customFormat="1" x14ac:dyDescent="0.3"/>
    <row r="23563" s="160" customFormat="1" x14ac:dyDescent="0.3"/>
    <row r="23564" s="160" customFormat="1" x14ac:dyDescent="0.3"/>
    <row r="23565" s="160" customFormat="1" x14ac:dyDescent="0.3"/>
    <row r="23566" s="160" customFormat="1" x14ac:dyDescent="0.3"/>
    <row r="23567" s="160" customFormat="1" x14ac:dyDescent="0.3"/>
    <row r="23568" s="160" customFormat="1" x14ac:dyDescent="0.3"/>
    <row r="23569" s="160" customFormat="1" x14ac:dyDescent="0.3"/>
    <row r="23570" s="160" customFormat="1" x14ac:dyDescent="0.3"/>
    <row r="23571" s="160" customFormat="1" x14ac:dyDescent="0.3"/>
    <row r="23572" s="160" customFormat="1" x14ac:dyDescent="0.3"/>
    <row r="23573" s="160" customFormat="1" x14ac:dyDescent="0.3"/>
    <row r="23574" s="160" customFormat="1" x14ac:dyDescent="0.3"/>
    <row r="23575" s="160" customFormat="1" x14ac:dyDescent="0.3"/>
    <row r="23576" s="160" customFormat="1" x14ac:dyDescent="0.3"/>
    <row r="23577" s="160" customFormat="1" x14ac:dyDescent="0.3"/>
    <row r="23578" s="160" customFormat="1" x14ac:dyDescent="0.3"/>
    <row r="23579" s="160" customFormat="1" x14ac:dyDescent="0.3"/>
    <row r="23580" s="160" customFormat="1" x14ac:dyDescent="0.3"/>
    <row r="23581" s="160" customFormat="1" x14ac:dyDescent="0.3"/>
    <row r="23582" s="160" customFormat="1" x14ac:dyDescent="0.3"/>
    <row r="23583" s="160" customFormat="1" x14ac:dyDescent="0.3"/>
    <row r="23584" s="160" customFormat="1" x14ac:dyDescent="0.3"/>
    <row r="23585" s="160" customFormat="1" x14ac:dyDescent="0.3"/>
    <row r="23586" s="160" customFormat="1" x14ac:dyDescent="0.3"/>
    <row r="23587" s="160" customFormat="1" x14ac:dyDescent="0.3"/>
    <row r="23588" s="160" customFormat="1" x14ac:dyDescent="0.3"/>
    <row r="23589" s="160" customFormat="1" x14ac:dyDescent="0.3"/>
    <row r="23590" s="160" customFormat="1" x14ac:dyDescent="0.3"/>
    <row r="23591" s="160" customFormat="1" x14ac:dyDescent="0.3"/>
    <row r="23592" s="160" customFormat="1" x14ac:dyDescent="0.3"/>
    <row r="23593" s="160" customFormat="1" x14ac:dyDescent="0.3"/>
    <row r="23594" s="160" customFormat="1" x14ac:dyDescent="0.3"/>
    <row r="23595" s="160" customFormat="1" x14ac:dyDescent="0.3"/>
    <row r="23596" s="160" customFormat="1" x14ac:dyDescent="0.3"/>
    <row r="23597" s="160" customFormat="1" x14ac:dyDescent="0.3"/>
    <row r="23598" s="160" customFormat="1" x14ac:dyDescent="0.3"/>
    <row r="23599" s="160" customFormat="1" x14ac:dyDescent="0.3"/>
    <row r="23600" s="160" customFormat="1" x14ac:dyDescent="0.3"/>
    <row r="23601" s="160" customFormat="1" x14ac:dyDescent="0.3"/>
    <row r="23602" s="160" customFormat="1" x14ac:dyDescent="0.3"/>
    <row r="23603" s="160" customFormat="1" x14ac:dyDescent="0.3"/>
    <row r="23604" s="160" customFormat="1" x14ac:dyDescent="0.3"/>
    <row r="23605" s="160" customFormat="1" x14ac:dyDescent="0.3"/>
    <row r="23606" s="160" customFormat="1" x14ac:dyDescent="0.3"/>
    <row r="23607" s="160" customFormat="1" x14ac:dyDescent="0.3"/>
    <row r="23608" s="160" customFormat="1" x14ac:dyDescent="0.3"/>
    <row r="23609" s="160" customFormat="1" x14ac:dyDescent="0.3"/>
    <row r="23610" s="160" customFormat="1" x14ac:dyDescent="0.3"/>
    <row r="23611" s="160" customFormat="1" x14ac:dyDescent="0.3"/>
    <row r="23612" s="160" customFormat="1" x14ac:dyDescent="0.3"/>
    <row r="23613" s="160" customFormat="1" x14ac:dyDescent="0.3"/>
    <row r="23614" s="160" customFormat="1" x14ac:dyDescent="0.3"/>
    <row r="23615" s="160" customFormat="1" x14ac:dyDescent="0.3"/>
    <row r="23616" s="160" customFormat="1" x14ac:dyDescent="0.3"/>
    <row r="23617" s="160" customFormat="1" x14ac:dyDescent="0.3"/>
    <row r="23618" s="160" customFormat="1" x14ac:dyDescent="0.3"/>
    <row r="23619" s="160" customFormat="1" x14ac:dyDescent="0.3"/>
    <row r="23620" s="160" customFormat="1" x14ac:dyDescent="0.3"/>
    <row r="23621" s="160" customFormat="1" x14ac:dyDescent="0.3"/>
    <row r="23622" s="160" customFormat="1" x14ac:dyDescent="0.3"/>
    <row r="23623" s="160" customFormat="1" x14ac:dyDescent="0.3"/>
    <row r="23624" s="160" customFormat="1" x14ac:dyDescent="0.3"/>
    <row r="23625" s="160" customFormat="1" x14ac:dyDescent="0.3"/>
    <row r="23626" s="160" customFormat="1" x14ac:dyDescent="0.3"/>
    <row r="23627" s="160" customFormat="1" x14ac:dyDescent="0.3"/>
    <row r="23628" s="160" customFormat="1" x14ac:dyDescent="0.3"/>
    <row r="23629" s="160" customFormat="1" x14ac:dyDescent="0.3"/>
    <row r="23630" s="160" customFormat="1" x14ac:dyDescent="0.3"/>
    <row r="23631" s="160" customFormat="1" x14ac:dyDescent="0.3"/>
    <row r="23632" s="160" customFormat="1" x14ac:dyDescent="0.3"/>
    <row r="23633" s="160" customFormat="1" x14ac:dyDescent="0.3"/>
    <row r="23634" s="160" customFormat="1" x14ac:dyDescent="0.3"/>
    <row r="23635" s="160" customFormat="1" x14ac:dyDescent="0.3"/>
    <row r="23636" s="160" customFormat="1" x14ac:dyDescent="0.3"/>
    <row r="23637" s="160" customFormat="1" x14ac:dyDescent="0.3"/>
    <row r="23638" s="160" customFormat="1" x14ac:dyDescent="0.3"/>
    <row r="23639" s="160" customFormat="1" x14ac:dyDescent="0.3"/>
    <row r="23640" s="160" customFormat="1" x14ac:dyDescent="0.3"/>
    <row r="23641" s="160" customFormat="1" x14ac:dyDescent="0.3"/>
    <row r="23642" s="160" customFormat="1" x14ac:dyDescent="0.3"/>
    <row r="23643" s="160" customFormat="1" x14ac:dyDescent="0.3"/>
    <row r="23644" s="160" customFormat="1" x14ac:dyDescent="0.3"/>
    <row r="23645" s="160" customFormat="1" x14ac:dyDescent="0.3"/>
    <row r="23646" s="160" customFormat="1" x14ac:dyDescent="0.3"/>
    <row r="23647" s="160" customFormat="1" x14ac:dyDescent="0.3"/>
    <row r="23648" s="160" customFormat="1" x14ac:dyDescent="0.3"/>
    <row r="23649" s="160" customFormat="1" x14ac:dyDescent="0.3"/>
    <row r="23650" s="160" customFormat="1" x14ac:dyDescent="0.3"/>
    <row r="23651" s="160" customFormat="1" x14ac:dyDescent="0.3"/>
    <row r="23652" s="160" customFormat="1" x14ac:dyDescent="0.3"/>
    <row r="23653" s="160" customFormat="1" x14ac:dyDescent="0.3"/>
    <row r="23654" s="160" customFormat="1" x14ac:dyDescent="0.3"/>
    <row r="23655" s="160" customFormat="1" x14ac:dyDescent="0.3"/>
    <row r="23656" s="160" customFormat="1" x14ac:dyDescent="0.3"/>
    <row r="23657" s="160" customFormat="1" x14ac:dyDescent="0.3"/>
    <row r="23658" s="160" customFormat="1" x14ac:dyDescent="0.3"/>
    <row r="23659" s="160" customFormat="1" x14ac:dyDescent="0.3"/>
    <row r="23660" s="160" customFormat="1" x14ac:dyDescent="0.3"/>
    <row r="23661" s="160" customFormat="1" x14ac:dyDescent="0.3"/>
    <row r="23662" s="160" customFormat="1" x14ac:dyDescent="0.3"/>
    <row r="23663" s="160" customFormat="1" x14ac:dyDescent="0.3"/>
    <row r="23664" s="160" customFormat="1" x14ac:dyDescent="0.3"/>
    <row r="23665" s="160" customFormat="1" x14ac:dyDescent="0.3"/>
    <row r="23666" s="160" customFormat="1" x14ac:dyDescent="0.3"/>
    <row r="23667" s="160" customFormat="1" x14ac:dyDescent="0.3"/>
    <row r="23668" s="160" customFormat="1" x14ac:dyDescent="0.3"/>
    <row r="23669" s="160" customFormat="1" x14ac:dyDescent="0.3"/>
    <row r="23670" s="160" customFormat="1" x14ac:dyDescent="0.3"/>
    <row r="23671" s="160" customFormat="1" x14ac:dyDescent="0.3"/>
    <row r="23672" s="160" customFormat="1" x14ac:dyDescent="0.3"/>
    <row r="23673" s="160" customFormat="1" x14ac:dyDescent="0.3"/>
    <row r="23674" s="160" customFormat="1" x14ac:dyDescent="0.3"/>
    <row r="23675" s="160" customFormat="1" x14ac:dyDescent="0.3"/>
    <row r="23676" s="160" customFormat="1" x14ac:dyDescent="0.3"/>
    <row r="23677" s="160" customFormat="1" x14ac:dyDescent="0.3"/>
    <row r="23678" s="160" customFormat="1" x14ac:dyDescent="0.3"/>
    <row r="23679" s="160" customFormat="1" x14ac:dyDescent="0.3"/>
    <row r="23680" s="160" customFormat="1" x14ac:dyDescent="0.3"/>
    <row r="23681" s="160" customFormat="1" x14ac:dyDescent="0.3"/>
    <row r="23682" s="160" customFormat="1" x14ac:dyDescent="0.3"/>
    <row r="23683" s="160" customFormat="1" x14ac:dyDescent="0.3"/>
    <row r="23684" s="160" customFormat="1" x14ac:dyDescent="0.3"/>
    <row r="23685" s="160" customFormat="1" x14ac:dyDescent="0.3"/>
    <row r="23686" s="160" customFormat="1" x14ac:dyDescent="0.3"/>
    <row r="23687" s="160" customFormat="1" x14ac:dyDescent="0.3"/>
    <row r="23688" s="160" customFormat="1" x14ac:dyDescent="0.3"/>
    <row r="23689" s="160" customFormat="1" x14ac:dyDescent="0.3"/>
    <row r="23690" s="160" customFormat="1" x14ac:dyDescent="0.3"/>
    <row r="23691" s="160" customFormat="1" x14ac:dyDescent="0.3"/>
    <row r="23692" s="160" customFormat="1" x14ac:dyDescent="0.3"/>
    <row r="23693" s="160" customFormat="1" x14ac:dyDescent="0.3"/>
    <row r="23694" s="160" customFormat="1" x14ac:dyDescent="0.3"/>
    <row r="23695" s="160" customFormat="1" x14ac:dyDescent="0.3"/>
    <row r="23696" s="160" customFormat="1" x14ac:dyDescent="0.3"/>
    <row r="23697" s="160" customFormat="1" x14ac:dyDescent="0.3"/>
    <row r="23698" s="160" customFormat="1" x14ac:dyDescent="0.3"/>
    <row r="23699" s="160" customFormat="1" x14ac:dyDescent="0.3"/>
    <row r="23700" s="160" customFormat="1" x14ac:dyDescent="0.3"/>
    <row r="23701" s="160" customFormat="1" x14ac:dyDescent="0.3"/>
    <row r="23702" s="160" customFormat="1" x14ac:dyDescent="0.3"/>
    <row r="23703" s="160" customFormat="1" x14ac:dyDescent="0.3"/>
    <row r="23704" s="160" customFormat="1" x14ac:dyDescent="0.3"/>
    <row r="23705" s="160" customFormat="1" x14ac:dyDescent="0.3"/>
    <row r="23706" s="160" customFormat="1" x14ac:dyDescent="0.3"/>
    <row r="23707" s="160" customFormat="1" x14ac:dyDescent="0.3"/>
    <row r="23708" s="160" customFormat="1" x14ac:dyDescent="0.3"/>
    <row r="23709" s="160" customFormat="1" x14ac:dyDescent="0.3"/>
    <row r="23710" s="160" customFormat="1" x14ac:dyDescent="0.3"/>
    <row r="23711" s="160" customFormat="1" x14ac:dyDescent="0.3"/>
    <row r="23712" s="160" customFormat="1" x14ac:dyDescent="0.3"/>
    <row r="23713" s="160" customFormat="1" x14ac:dyDescent="0.3"/>
    <row r="23714" s="160" customFormat="1" x14ac:dyDescent="0.3"/>
    <row r="23715" s="160" customFormat="1" x14ac:dyDescent="0.3"/>
    <row r="23716" s="160" customFormat="1" x14ac:dyDescent="0.3"/>
    <row r="23717" s="160" customFormat="1" x14ac:dyDescent="0.3"/>
    <row r="23718" s="160" customFormat="1" x14ac:dyDescent="0.3"/>
    <row r="23719" s="160" customFormat="1" x14ac:dyDescent="0.3"/>
    <row r="23720" s="160" customFormat="1" x14ac:dyDescent="0.3"/>
    <row r="23721" s="160" customFormat="1" x14ac:dyDescent="0.3"/>
    <row r="23722" s="160" customFormat="1" x14ac:dyDescent="0.3"/>
    <row r="23723" s="160" customFormat="1" x14ac:dyDescent="0.3"/>
    <row r="23724" s="160" customFormat="1" x14ac:dyDescent="0.3"/>
    <row r="23725" s="160" customFormat="1" x14ac:dyDescent="0.3"/>
    <row r="23726" s="160" customFormat="1" x14ac:dyDescent="0.3"/>
    <row r="23727" s="160" customFormat="1" x14ac:dyDescent="0.3"/>
    <row r="23728" s="160" customFormat="1" x14ac:dyDescent="0.3"/>
    <row r="23729" s="160" customFormat="1" x14ac:dyDescent="0.3"/>
    <row r="23730" s="160" customFormat="1" x14ac:dyDescent="0.3"/>
    <row r="23731" s="160" customFormat="1" x14ac:dyDescent="0.3"/>
    <row r="23732" s="160" customFormat="1" x14ac:dyDescent="0.3"/>
    <row r="23733" s="160" customFormat="1" x14ac:dyDescent="0.3"/>
    <row r="23734" s="160" customFormat="1" x14ac:dyDescent="0.3"/>
    <row r="23735" s="160" customFormat="1" x14ac:dyDescent="0.3"/>
    <row r="23736" s="160" customFormat="1" x14ac:dyDescent="0.3"/>
    <row r="23737" s="160" customFormat="1" x14ac:dyDescent="0.3"/>
    <row r="23738" s="160" customFormat="1" x14ac:dyDescent="0.3"/>
    <row r="23739" s="160" customFormat="1" x14ac:dyDescent="0.3"/>
    <row r="23740" s="160" customFormat="1" x14ac:dyDescent="0.3"/>
    <row r="23741" s="160" customFormat="1" x14ac:dyDescent="0.3"/>
    <row r="23742" s="160" customFormat="1" x14ac:dyDescent="0.3"/>
    <row r="23743" s="160" customFormat="1" x14ac:dyDescent="0.3"/>
    <row r="23744" s="160" customFormat="1" x14ac:dyDescent="0.3"/>
    <row r="23745" s="160" customFormat="1" x14ac:dyDescent="0.3"/>
    <row r="23746" s="160" customFormat="1" x14ac:dyDescent="0.3"/>
    <row r="23747" s="160" customFormat="1" x14ac:dyDescent="0.3"/>
    <row r="23748" s="160" customFormat="1" x14ac:dyDescent="0.3"/>
    <row r="23749" s="160" customFormat="1" x14ac:dyDescent="0.3"/>
    <row r="23750" s="160" customFormat="1" x14ac:dyDescent="0.3"/>
    <row r="23751" s="160" customFormat="1" x14ac:dyDescent="0.3"/>
    <row r="23752" s="160" customFormat="1" x14ac:dyDescent="0.3"/>
    <row r="23753" s="160" customFormat="1" x14ac:dyDescent="0.3"/>
    <row r="23754" s="160" customFormat="1" x14ac:dyDescent="0.3"/>
    <row r="23755" s="160" customFormat="1" x14ac:dyDescent="0.3"/>
    <row r="23756" s="160" customFormat="1" x14ac:dyDescent="0.3"/>
    <row r="23757" s="160" customFormat="1" x14ac:dyDescent="0.3"/>
    <row r="23758" s="160" customFormat="1" x14ac:dyDescent="0.3"/>
    <row r="23759" s="160" customFormat="1" x14ac:dyDescent="0.3"/>
    <row r="23760" s="160" customFormat="1" x14ac:dyDescent="0.3"/>
    <row r="23761" s="160" customFormat="1" x14ac:dyDescent="0.3"/>
    <row r="23762" s="160" customFormat="1" x14ac:dyDescent="0.3"/>
    <row r="23763" s="160" customFormat="1" x14ac:dyDescent="0.3"/>
    <row r="23764" s="160" customFormat="1" x14ac:dyDescent="0.3"/>
    <row r="23765" s="160" customFormat="1" x14ac:dyDescent="0.3"/>
    <row r="23766" s="160" customFormat="1" x14ac:dyDescent="0.3"/>
    <row r="23767" s="160" customFormat="1" x14ac:dyDescent="0.3"/>
    <row r="23768" s="160" customFormat="1" x14ac:dyDescent="0.3"/>
    <row r="23769" s="160" customFormat="1" x14ac:dyDescent="0.3"/>
    <row r="23770" s="160" customFormat="1" x14ac:dyDescent="0.3"/>
    <row r="23771" s="160" customFormat="1" x14ac:dyDescent="0.3"/>
    <row r="23772" s="160" customFormat="1" x14ac:dyDescent="0.3"/>
    <row r="23773" s="160" customFormat="1" x14ac:dyDescent="0.3"/>
    <row r="23774" s="160" customFormat="1" x14ac:dyDescent="0.3"/>
    <row r="23775" s="160" customFormat="1" x14ac:dyDescent="0.3"/>
    <row r="23776" s="160" customFormat="1" x14ac:dyDescent="0.3"/>
    <row r="23777" s="160" customFormat="1" x14ac:dyDescent="0.3"/>
    <row r="23778" s="160" customFormat="1" x14ac:dyDescent="0.3"/>
    <row r="23779" s="160" customFormat="1" x14ac:dyDescent="0.3"/>
    <row r="23780" s="160" customFormat="1" x14ac:dyDescent="0.3"/>
    <row r="23781" s="160" customFormat="1" x14ac:dyDescent="0.3"/>
    <row r="23782" s="160" customFormat="1" x14ac:dyDescent="0.3"/>
    <row r="23783" s="160" customFormat="1" x14ac:dyDescent="0.3"/>
    <row r="23784" s="160" customFormat="1" x14ac:dyDescent="0.3"/>
    <row r="23785" s="160" customFormat="1" x14ac:dyDescent="0.3"/>
    <row r="23786" s="160" customFormat="1" x14ac:dyDescent="0.3"/>
    <row r="23787" s="160" customFormat="1" x14ac:dyDescent="0.3"/>
    <row r="23788" s="160" customFormat="1" x14ac:dyDescent="0.3"/>
    <row r="23789" s="160" customFormat="1" x14ac:dyDescent="0.3"/>
    <row r="23790" s="160" customFormat="1" x14ac:dyDescent="0.3"/>
    <row r="23791" s="160" customFormat="1" x14ac:dyDescent="0.3"/>
    <row r="23792" s="160" customFormat="1" x14ac:dyDescent="0.3"/>
    <row r="23793" s="160" customFormat="1" x14ac:dyDescent="0.3"/>
    <row r="23794" s="160" customFormat="1" x14ac:dyDescent="0.3"/>
    <row r="23795" s="160" customFormat="1" x14ac:dyDescent="0.3"/>
    <row r="23796" s="160" customFormat="1" x14ac:dyDescent="0.3"/>
    <row r="23797" s="160" customFormat="1" x14ac:dyDescent="0.3"/>
    <row r="23798" s="160" customFormat="1" x14ac:dyDescent="0.3"/>
    <row r="23799" s="160" customFormat="1" x14ac:dyDescent="0.3"/>
    <row r="23800" s="160" customFormat="1" x14ac:dyDescent="0.3"/>
    <row r="23801" s="160" customFormat="1" x14ac:dyDescent="0.3"/>
    <row r="23802" s="160" customFormat="1" x14ac:dyDescent="0.3"/>
    <row r="23803" s="160" customFormat="1" x14ac:dyDescent="0.3"/>
    <row r="23804" s="160" customFormat="1" x14ac:dyDescent="0.3"/>
    <row r="23805" s="160" customFormat="1" x14ac:dyDescent="0.3"/>
    <row r="23806" s="160" customFormat="1" x14ac:dyDescent="0.3"/>
    <row r="23807" s="160" customFormat="1" x14ac:dyDescent="0.3"/>
    <row r="23808" s="160" customFormat="1" x14ac:dyDescent="0.3"/>
    <row r="23809" s="160" customFormat="1" x14ac:dyDescent="0.3"/>
    <row r="23810" s="160" customFormat="1" x14ac:dyDescent="0.3"/>
    <row r="23811" s="160" customFormat="1" x14ac:dyDescent="0.3"/>
    <row r="23812" s="160" customFormat="1" x14ac:dyDescent="0.3"/>
    <row r="23813" s="160" customFormat="1" x14ac:dyDescent="0.3"/>
    <row r="23814" s="160" customFormat="1" x14ac:dyDescent="0.3"/>
    <row r="23815" s="160" customFormat="1" x14ac:dyDescent="0.3"/>
    <row r="23816" s="160" customFormat="1" x14ac:dyDescent="0.3"/>
    <row r="23817" s="160" customFormat="1" x14ac:dyDescent="0.3"/>
    <row r="23818" s="160" customFormat="1" x14ac:dyDescent="0.3"/>
    <row r="23819" s="160" customFormat="1" x14ac:dyDescent="0.3"/>
    <row r="23820" s="160" customFormat="1" x14ac:dyDescent="0.3"/>
    <row r="23821" s="160" customFormat="1" x14ac:dyDescent="0.3"/>
    <row r="23822" s="160" customFormat="1" x14ac:dyDescent="0.3"/>
    <row r="23823" s="160" customFormat="1" x14ac:dyDescent="0.3"/>
    <row r="23824" s="160" customFormat="1" x14ac:dyDescent="0.3"/>
    <row r="23825" s="160" customFormat="1" x14ac:dyDescent="0.3"/>
    <row r="23826" s="160" customFormat="1" x14ac:dyDescent="0.3"/>
    <row r="23827" s="160" customFormat="1" x14ac:dyDescent="0.3"/>
    <row r="23828" s="160" customFormat="1" x14ac:dyDescent="0.3"/>
    <row r="23829" s="160" customFormat="1" x14ac:dyDescent="0.3"/>
    <row r="23830" s="160" customFormat="1" x14ac:dyDescent="0.3"/>
    <row r="23831" s="160" customFormat="1" x14ac:dyDescent="0.3"/>
    <row r="23832" s="160" customFormat="1" x14ac:dyDescent="0.3"/>
    <row r="23833" s="160" customFormat="1" x14ac:dyDescent="0.3"/>
    <row r="23834" s="160" customFormat="1" x14ac:dyDescent="0.3"/>
    <row r="23835" s="160" customFormat="1" x14ac:dyDescent="0.3"/>
    <row r="23836" s="160" customFormat="1" x14ac:dyDescent="0.3"/>
    <row r="23837" s="160" customFormat="1" x14ac:dyDescent="0.3"/>
    <row r="23838" s="160" customFormat="1" x14ac:dyDescent="0.3"/>
    <row r="23839" s="160" customFormat="1" x14ac:dyDescent="0.3"/>
    <row r="23840" s="160" customFormat="1" x14ac:dyDescent="0.3"/>
    <row r="23841" s="160" customFormat="1" x14ac:dyDescent="0.3"/>
    <row r="23842" s="160" customFormat="1" x14ac:dyDescent="0.3"/>
    <row r="23843" s="160" customFormat="1" x14ac:dyDescent="0.3"/>
    <row r="23844" s="160" customFormat="1" x14ac:dyDescent="0.3"/>
    <row r="23845" s="160" customFormat="1" x14ac:dyDescent="0.3"/>
    <row r="23846" s="160" customFormat="1" x14ac:dyDescent="0.3"/>
    <row r="23847" s="160" customFormat="1" x14ac:dyDescent="0.3"/>
    <row r="23848" s="160" customFormat="1" x14ac:dyDescent="0.3"/>
    <row r="23849" s="160" customFormat="1" x14ac:dyDescent="0.3"/>
    <row r="23850" s="160" customFormat="1" x14ac:dyDescent="0.3"/>
    <row r="23851" s="160" customFormat="1" x14ac:dyDescent="0.3"/>
    <row r="23852" s="160" customFormat="1" x14ac:dyDescent="0.3"/>
    <row r="23853" s="160" customFormat="1" x14ac:dyDescent="0.3"/>
    <row r="23854" s="160" customFormat="1" x14ac:dyDescent="0.3"/>
    <row r="23855" s="160" customFormat="1" x14ac:dyDescent="0.3"/>
    <row r="23856" s="160" customFormat="1" x14ac:dyDescent="0.3"/>
    <row r="23857" s="160" customFormat="1" x14ac:dyDescent="0.3"/>
    <row r="23858" s="160" customFormat="1" x14ac:dyDescent="0.3"/>
    <row r="23859" s="160" customFormat="1" x14ac:dyDescent="0.3"/>
    <row r="23860" s="160" customFormat="1" x14ac:dyDescent="0.3"/>
    <row r="23861" s="160" customFormat="1" x14ac:dyDescent="0.3"/>
    <row r="23862" s="160" customFormat="1" x14ac:dyDescent="0.3"/>
    <row r="23863" s="160" customFormat="1" x14ac:dyDescent="0.3"/>
    <row r="23864" s="160" customFormat="1" x14ac:dyDescent="0.3"/>
    <row r="23865" s="160" customFormat="1" x14ac:dyDescent="0.3"/>
    <row r="23866" s="160" customFormat="1" x14ac:dyDescent="0.3"/>
    <row r="23867" s="160" customFormat="1" x14ac:dyDescent="0.3"/>
    <row r="23868" s="160" customFormat="1" x14ac:dyDescent="0.3"/>
    <row r="23869" s="160" customFormat="1" x14ac:dyDescent="0.3"/>
    <row r="23870" s="160" customFormat="1" x14ac:dyDescent="0.3"/>
    <row r="23871" s="160" customFormat="1" x14ac:dyDescent="0.3"/>
    <row r="23872" s="160" customFormat="1" x14ac:dyDescent="0.3"/>
    <row r="23873" s="160" customFormat="1" x14ac:dyDescent="0.3"/>
    <row r="23874" s="160" customFormat="1" x14ac:dyDescent="0.3"/>
    <row r="23875" s="160" customFormat="1" x14ac:dyDescent="0.3"/>
    <row r="23876" s="160" customFormat="1" x14ac:dyDescent="0.3"/>
    <row r="23877" s="160" customFormat="1" x14ac:dyDescent="0.3"/>
    <row r="23878" s="160" customFormat="1" x14ac:dyDescent="0.3"/>
    <row r="23879" s="160" customFormat="1" x14ac:dyDescent="0.3"/>
    <row r="23880" s="160" customFormat="1" x14ac:dyDescent="0.3"/>
    <row r="23881" s="160" customFormat="1" x14ac:dyDescent="0.3"/>
    <row r="23882" s="160" customFormat="1" x14ac:dyDescent="0.3"/>
    <row r="23883" s="160" customFormat="1" x14ac:dyDescent="0.3"/>
    <row r="23884" s="160" customFormat="1" x14ac:dyDescent="0.3"/>
    <row r="23885" s="160" customFormat="1" x14ac:dyDescent="0.3"/>
    <row r="23886" s="160" customFormat="1" x14ac:dyDescent="0.3"/>
    <row r="23887" s="160" customFormat="1" x14ac:dyDescent="0.3"/>
    <row r="23888" s="160" customFormat="1" x14ac:dyDescent="0.3"/>
    <row r="23889" s="160" customFormat="1" x14ac:dyDescent="0.3"/>
    <row r="23890" s="160" customFormat="1" x14ac:dyDescent="0.3"/>
    <row r="23891" s="160" customFormat="1" x14ac:dyDescent="0.3"/>
    <row r="23892" s="160" customFormat="1" x14ac:dyDescent="0.3"/>
    <row r="23893" s="160" customFormat="1" x14ac:dyDescent="0.3"/>
    <row r="23894" s="160" customFormat="1" x14ac:dyDescent="0.3"/>
    <row r="23895" s="160" customFormat="1" x14ac:dyDescent="0.3"/>
    <row r="23896" s="160" customFormat="1" x14ac:dyDescent="0.3"/>
    <row r="23897" s="160" customFormat="1" x14ac:dyDescent="0.3"/>
    <row r="23898" s="160" customFormat="1" x14ac:dyDescent="0.3"/>
    <row r="23899" s="160" customFormat="1" x14ac:dyDescent="0.3"/>
    <row r="23900" s="160" customFormat="1" x14ac:dyDescent="0.3"/>
    <row r="23901" s="160" customFormat="1" x14ac:dyDescent="0.3"/>
    <row r="23902" s="160" customFormat="1" x14ac:dyDescent="0.3"/>
    <row r="23903" s="160" customFormat="1" x14ac:dyDescent="0.3"/>
    <row r="23904" s="160" customFormat="1" x14ac:dyDescent="0.3"/>
    <row r="23905" s="160" customFormat="1" x14ac:dyDescent="0.3"/>
    <row r="23906" s="160" customFormat="1" x14ac:dyDescent="0.3"/>
    <row r="23907" s="160" customFormat="1" x14ac:dyDescent="0.3"/>
    <row r="23908" s="160" customFormat="1" x14ac:dyDescent="0.3"/>
    <row r="23909" s="160" customFormat="1" x14ac:dyDescent="0.3"/>
    <row r="23910" s="160" customFormat="1" x14ac:dyDescent="0.3"/>
    <row r="23911" s="160" customFormat="1" x14ac:dyDescent="0.3"/>
    <row r="23912" s="160" customFormat="1" x14ac:dyDescent="0.3"/>
    <row r="23913" s="160" customFormat="1" x14ac:dyDescent="0.3"/>
    <row r="23914" s="160" customFormat="1" x14ac:dyDescent="0.3"/>
    <row r="23915" s="160" customFormat="1" x14ac:dyDescent="0.3"/>
    <row r="23916" s="160" customFormat="1" x14ac:dyDescent="0.3"/>
    <row r="23917" s="160" customFormat="1" x14ac:dyDescent="0.3"/>
    <row r="23918" s="160" customFormat="1" x14ac:dyDescent="0.3"/>
    <row r="23919" s="160" customFormat="1" x14ac:dyDescent="0.3"/>
    <row r="23920" s="160" customFormat="1" x14ac:dyDescent="0.3"/>
    <row r="23921" s="160" customFormat="1" x14ac:dyDescent="0.3"/>
    <row r="23922" s="160" customFormat="1" x14ac:dyDescent="0.3"/>
    <row r="23923" s="160" customFormat="1" x14ac:dyDescent="0.3"/>
    <row r="23924" s="160" customFormat="1" x14ac:dyDescent="0.3"/>
    <row r="23925" s="160" customFormat="1" x14ac:dyDescent="0.3"/>
    <row r="23926" s="160" customFormat="1" x14ac:dyDescent="0.3"/>
    <row r="23927" s="160" customFormat="1" x14ac:dyDescent="0.3"/>
    <row r="23928" s="160" customFormat="1" x14ac:dyDescent="0.3"/>
    <row r="23929" s="160" customFormat="1" x14ac:dyDescent="0.3"/>
    <row r="23930" s="160" customFormat="1" x14ac:dyDescent="0.3"/>
    <row r="23931" s="160" customFormat="1" x14ac:dyDescent="0.3"/>
    <row r="23932" s="160" customFormat="1" x14ac:dyDescent="0.3"/>
    <row r="23933" s="160" customFormat="1" x14ac:dyDescent="0.3"/>
    <row r="23934" s="160" customFormat="1" x14ac:dyDescent="0.3"/>
    <row r="23935" s="160" customFormat="1" x14ac:dyDescent="0.3"/>
    <row r="23936" s="160" customFormat="1" x14ac:dyDescent="0.3"/>
    <row r="23937" s="160" customFormat="1" x14ac:dyDescent="0.3"/>
    <row r="23938" s="160" customFormat="1" x14ac:dyDescent="0.3"/>
    <row r="23939" s="160" customFormat="1" x14ac:dyDescent="0.3"/>
    <row r="23940" s="160" customFormat="1" x14ac:dyDescent="0.3"/>
    <row r="23941" s="160" customFormat="1" x14ac:dyDescent="0.3"/>
    <row r="23942" s="160" customFormat="1" x14ac:dyDescent="0.3"/>
    <row r="23943" s="160" customFormat="1" x14ac:dyDescent="0.3"/>
    <row r="23944" s="160" customFormat="1" x14ac:dyDescent="0.3"/>
    <row r="23945" s="160" customFormat="1" x14ac:dyDescent="0.3"/>
    <row r="23946" s="160" customFormat="1" x14ac:dyDescent="0.3"/>
    <row r="23947" s="160" customFormat="1" x14ac:dyDescent="0.3"/>
    <row r="23948" s="160" customFormat="1" x14ac:dyDescent="0.3"/>
    <row r="23949" s="160" customFormat="1" x14ac:dyDescent="0.3"/>
    <row r="23950" s="160" customFormat="1" x14ac:dyDescent="0.3"/>
    <row r="23951" s="160" customFormat="1" x14ac:dyDescent="0.3"/>
    <row r="23952" s="160" customFormat="1" x14ac:dyDescent="0.3"/>
    <row r="23953" s="160" customFormat="1" x14ac:dyDescent="0.3"/>
    <row r="23954" s="160" customFormat="1" x14ac:dyDescent="0.3"/>
    <row r="23955" s="160" customFormat="1" x14ac:dyDescent="0.3"/>
    <row r="23956" s="160" customFormat="1" x14ac:dyDescent="0.3"/>
    <row r="23957" s="160" customFormat="1" x14ac:dyDescent="0.3"/>
    <row r="23958" s="160" customFormat="1" x14ac:dyDescent="0.3"/>
    <row r="23959" s="160" customFormat="1" x14ac:dyDescent="0.3"/>
    <row r="23960" s="160" customFormat="1" x14ac:dyDescent="0.3"/>
    <row r="23961" s="160" customFormat="1" x14ac:dyDescent="0.3"/>
    <row r="23962" s="160" customFormat="1" x14ac:dyDescent="0.3"/>
    <row r="23963" s="160" customFormat="1" x14ac:dyDescent="0.3"/>
    <row r="23964" s="160" customFormat="1" x14ac:dyDescent="0.3"/>
    <row r="23965" s="160" customFormat="1" x14ac:dyDescent="0.3"/>
    <row r="23966" s="160" customFormat="1" x14ac:dyDescent="0.3"/>
    <row r="23967" s="160" customFormat="1" x14ac:dyDescent="0.3"/>
    <row r="23968" s="160" customFormat="1" x14ac:dyDescent="0.3"/>
    <row r="23969" s="160" customFormat="1" x14ac:dyDescent="0.3"/>
    <row r="23970" s="160" customFormat="1" x14ac:dyDescent="0.3"/>
    <row r="23971" s="160" customFormat="1" x14ac:dyDescent="0.3"/>
    <row r="23972" s="160" customFormat="1" x14ac:dyDescent="0.3"/>
    <row r="23973" s="160" customFormat="1" x14ac:dyDescent="0.3"/>
    <row r="23974" s="160" customFormat="1" x14ac:dyDescent="0.3"/>
    <row r="23975" s="160" customFormat="1" x14ac:dyDescent="0.3"/>
    <row r="23976" s="160" customFormat="1" x14ac:dyDescent="0.3"/>
    <row r="23977" s="160" customFormat="1" x14ac:dyDescent="0.3"/>
    <row r="23978" s="160" customFormat="1" x14ac:dyDescent="0.3"/>
    <row r="23979" s="160" customFormat="1" x14ac:dyDescent="0.3"/>
    <row r="23980" s="160" customFormat="1" x14ac:dyDescent="0.3"/>
    <row r="23981" s="160" customFormat="1" x14ac:dyDescent="0.3"/>
    <row r="23982" s="160" customFormat="1" x14ac:dyDescent="0.3"/>
    <row r="23983" s="160" customFormat="1" x14ac:dyDescent="0.3"/>
    <row r="23984" s="160" customFormat="1" x14ac:dyDescent="0.3"/>
    <row r="23985" s="160" customFormat="1" x14ac:dyDescent="0.3"/>
    <row r="23986" s="160" customFormat="1" x14ac:dyDescent="0.3"/>
    <row r="23987" s="160" customFormat="1" x14ac:dyDescent="0.3"/>
    <row r="23988" s="160" customFormat="1" x14ac:dyDescent="0.3"/>
    <row r="23989" s="160" customFormat="1" x14ac:dyDescent="0.3"/>
    <row r="23990" s="160" customFormat="1" x14ac:dyDescent="0.3"/>
    <row r="23991" s="160" customFormat="1" x14ac:dyDescent="0.3"/>
    <row r="23992" s="160" customFormat="1" x14ac:dyDescent="0.3"/>
    <row r="23993" s="160" customFormat="1" x14ac:dyDescent="0.3"/>
    <row r="23994" s="160" customFormat="1" x14ac:dyDescent="0.3"/>
    <row r="23995" s="160" customFormat="1" x14ac:dyDescent="0.3"/>
    <row r="23996" s="160" customFormat="1" x14ac:dyDescent="0.3"/>
    <row r="23997" s="160" customFormat="1" x14ac:dyDescent="0.3"/>
    <row r="23998" s="160" customFormat="1" x14ac:dyDescent="0.3"/>
    <row r="23999" s="160" customFormat="1" x14ac:dyDescent="0.3"/>
    <row r="24000" s="160" customFormat="1" x14ac:dyDescent="0.3"/>
    <row r="24001" s="160" customFormat="1" x14ac:dyDescent="0.3"/>
    <row r="24002" s="160" customFormat="1" x14ac:dyDescent="0.3"/>
    <row r="24003" s="160" customFormat="1" x14ac:dyDescent="0.3"/>
    <row r="24004" s="160" customFormat="1" x14ac:dyDescent="0.3"/>
    <row r="24005" s="160" customFormat="1" x14ac:dyDescent="0.3"/>
    <row r="24006" s="160" customFormat="1" x14ac:dyDescent="0.3"/>
    <row r="24007" s="160" customFormat="1" x14ac:dyDescent="0.3"/>
    <row r="24008" s="160" customFormat="1" x14ac:dyDescent="0.3"/>
    <row r="24009" s="160" customFormat="1" x14ac:dyDescent="0.3"/>
    <row r="24010" s="160" customFormat="1" x14ac:dyDescent="0.3"/>
    <row r="24011" s="160" customFormat="1" x14ac:dyDescent="0.3"/>
    <row r="24012" s="160" customFormat="1" x14ac:dyDescent="0.3"/>
    <row r="24013" s="160" customFormat="1" x14ac:dyDescent="0.3"/>
    <row r="24014" s="160" customFormat="1" x14ac:dyDescent="0.3"/>
    <row r="24015" s="160" customFormat="1" x14ac:dyDescent="0.3"/>
    <row r="24016" s="160" customFormat="1" x14ac:dyDescent="0.3"/>
    <row r="24017" s="160" customFormat="1" x14ac:dyDescent="0.3"/>
    <row r="24018" s="160" customFormat="1" x14ac:dyDescent="0.3"/>
    <row r="24019" s="160" customFormat="1" x14ac:dyDescent="0.3"/>
    <row r="24020" s="160" customFormat="1" x14ac:dyDescent="0.3"/>
    <row r="24021" s="160" customFormat="1" x14ac:dyDescent="0.3"/>
    <row r="24022" s="160" customFormat="1" x14ac:dyDescent="0.3"/>
    <row r="24023" s="160" customFormat="1" x14ac:dyDescent="0.3"/>
    <row r="24024" s="160" customFormat="1" x14ac:dyDescent="0.3"/>
    <row r="24025" s="160" customFormat="1" x14ac:dyDescent="0.3"/>
    <row r="24026" s="160" customFormat="1" x14ac:dyDescent="0.3"/>
    <row r="24027" s="160" customFormat="1" x14ac:dyDescent="0.3"/>
    <row r="24028" s="160" customFormat="1" x14ac:dyDescent="0.3"/>
    <row r="24029" s="160" customFormat="1" x14ac:dyDescent="0.3"/>
    <row r="24030" s="160" customFormat="1" x14ac:dyDescent="0.3"/>
    <row r="24031" s="160" customFormat="1" x14ac:dyDescent="0.3"/>
    <row r="24032" s="160" customFormat="1" x14ac:dyDescent="0.3"/>
    <row r="24033" s="160" customFormat="1" x14ac:dyDescent="0.3"/>
    <row r="24034" s="160" customFormat="1" x14ac:dyDescent="0.3"/>
    <row r="24035" s="160" customFormat="1" x14ac:dyDescent="0.3"/>
    <row r="24036" s="160" customFormat="1" x14ac:dyDescent="0.3"/>
    <row r="24037" s="160" customFormat="1" x14ac:dyDescent="0.3"/>
    <row r="24038" s="160" customFormat="1" x14ac:dyDescent="0.3"/>
    <row r="24039" s="160" customFormat="1" x14ac:dyDescent="0.3"/>
    <row r="24040" s="160" customFormat="1" x14ac:dyDescent="0.3"/>
    <row r="24041" s="160" customFormat="1" x14ac:dyDescent="0.3"/>
    <row r="24042" s="160" customFormat="1" x14ac:dyDescent="0.3"/>
    <row r="24043" s="160" customFormat="1" x14ac:dyDescent="0.3"/>
    <row r="24044" s="160" customFormat="1" x14ac:dyDescent="0.3"/>
    <row r="24045" s="160" customFormat="1" x14ac:dyDescent="0.3"/>
    <row r="24046" s="160" customFormat="1" x14ac:dyDescent="0.3"/>
    <row r="24047" s="160" customFormat="1" x14ac:dyDescent="0.3"/>
    <row r="24048" s="160" customFormat="1" x14ac:dyDescent="0.3"/>
    <row r="24049" s="160" customFormat="1" x14ac:dyDescent="0.3"/>
    <row r="24050" s="160" customFormat="1" x14ac:dyDescent="0.3"/>
    <row r="24051" s="160" customFormat="1" x14ac:dyDescent="0.3"/>
    <row r="24052" s="160" customFormat="1" x14ac:dyDescent="0.3"/>
    <row r="24053" s="160" customFormat="1" x14ac:dyDescent="0.3"/>
    <row r="24054" s="160" customFormat="1" x14ac:dyDescent="0.3"/>
    <row r="24055" s="160" customFormat="1" x14ac:dyDescent="0.3"/>
    <row r="24056" s="160" customFormat="1" x14ac:dyDescent="0.3"/>
    <row r="24057" s="160" customFormat="1" x14ac:dyDescent="0.3"/>
    <row r="24058" s="160" customFormat="1" x14ac:dyDescent="0.3"/>
    <row r="24059" s="160" customFormat="1" x14ac:dyDescent="0.3"/>
    <row r="24060" s="160" customFormat="1" x14ac:dyDescent="0.3"/>
    <row r="24061" s="160" customFormat="1" x14ac:dyDescent="0.3"/>
    <row r="24062" s="160" customFormat="1" x14ac:dyDescent="0.3"/>
    <row r="24063" s="160" customFormat="1" x14ac:dyDescent="0.3"/>
    <row r="24064" s="160" customFormat="1" x14ac:dyDescent="0.3"/>
    <row r="24065" s="160" customFormat="1" x14ac:dyDescent="0.3"/>
    <row r="24066" s="160" customFormat="1" x14ac:dyDescent="0.3"/>
    <row r="24067" s="160" customFormat="1" x14ac:dyDescent="0.3"/>
    <row r="24068" s="160" customFormat="1" x14ac:dyDescent="0.3"/>
    <row r="24069" s="160" customFormat="1" x14ac:dyDescent="0.3"/>
    <row r="24070" s="160" customFormat="1" x14ac:dyDescent="0.3"/>
    <row r="24071" s="160" customFormat="1" x14ac:dyDescent="0.3"/>
    <row r="24072" s="160" customFormat="1" x14ac:dyDescent="0.3"/>
    <row r="24073" s="160" customFormat="1" x14ac:dyDescent="0.3"/>
    <row r="24074" s="160" customFormat="1" x14ac:dyDescent="0.3"/>
    <row r="24075" s="160" customFormat="1" x14ac:dyDescent="0.3"/>
    <row r="24076" s="160" customFormat="1" x14ac:dyDescent="0.3"/>
    <row r="24077" s="160" customFormat="1" x14ac:dyDescent="0.3"/>
    <row r="24078" s="160" customFormat="1" x14ac:dyDescent="0.3"/>
    <row r="24079" s="160" customFormat="1" x14ac:dyDescent="0.3"/>
    <row r="24080" s="160" customFormat="1" x14ac:dyDescent="0.3"/>
    <row r="24081" s="160" customFormat="1" x14ac:dyDescent="0.3"/>
    <row r="24082" s="160" customFormat="1" x14ac:dyDescent="0.3"/>
    <row r="24083" s="160" customFormat="1" x14ac:dyDescent="0.3"/>
    <row r="24084" s="160" customFormat="1" x14ac:dyDescent="0.3"/>
    <row r="24085" s="160" customFormat="1" x14ac:dyDescent="0.3"/>
    <row r="24086" s="160" customFormat="1" x14ac:dyDescent="0.3"/>
    <row r="24087" s="160" customFormat="1" x14ac:dyDescent="0.3"/>
    <row r="24088" s="160" customFormat="1" x14ac:dyDescent="0.3"/>
    <row r="24089" s="160" customFormat="1" x14ac:dyDescent="0.3"/>
    <row r="24090" s="160" customFormat="1" x14ac:dyDescent="0.3"/>
    <row r="24091" s="160" customFormat="1" x14ac:dyDescent="0.3"/>
    <row r="24092" s="160" customFormat="1" x14ac:dyDescent="0.3"/>
    <row r="24093" s="160" customFormat="1" x14ac:dyDescent="0.3"/>
    <row r="24094" s="160" customFormat="1" x14ac:dyDescent="0.3"/>
    <row r="24095" s="160" customFormat="1" x14ac:dyDescent="0.3"/>
    <row r="24096" s="160" customFormat="1" x14ac:dyDescent="0.3"/>
    <row r="24097" s="160" customFormat="1" x14ac:dyDescent="0.3"/>
    <row r="24098" s="160" customFormat="1" x14ac:dyDescent="0.3"/>
    <row r="24099" s="160" customFormat="1" x14ac:dyDescent="0.3"/>
    <row r="24100" s="160" customFormat="1" x14ac:dyDescent="0.3"/>
    <row r="24101" s="160" customFormat="1" x14ac:dyDescent="0.3"/>
    <row r="24102" s="160" customFormat="1" x14ac:dyDescent="0.3"/>
    <row r="24103" s="160" customFormat="1" x14ac:dyDescent="0.3"/>
    <row r="24104" s="160" customFormat="1" x14ac:dyDescent="0.3"/>
    <row r="24105" s="160" customFormat="1" x14ac:dyDescent="0.3"/>
    <row r="24106" s="160" customFormat="1" x14ac:dyDescent="0.3"/>
    <row r="24107" s="160" customFormat="1" x14ac:dyDescent="0.3"/>
    <row r="24108" s="160" customFormat="1" x14ac:dyDescent="0.3"/>
    <row r="24109" s="160" customFormat="1" x14ac:dyDescent="0.3"/>
    <row r="24110" s="160" customFormat="1" x14ac:dyDescent="0.3"/>
    <row r="24111" s="160" customFormat="1" x14ac:dyDescent="0.3"/>
    <row r="24112" s="160" customFormat="1" x14ac:dyDescent="0.3"/>
    <row r="24113" s="160" customFormat="1" x14ac:dyDescent="0.3"/>
    <row r="24114" s="160" customFormat="1" x14ac:dyDescent="0.3"/>
    <row r="24115" s="160" customFormat="1" x14ac:dyDescent="0.3"/>
    <row r="24116" s="160" customFormat="1" x14ac:dyDescent="0.3"/>
    <row r="24117" s="160" customFormat="1" x14ac:dyDescent="0.3"/>
    <row r="24118" s="160" customFormat="1" x14ac:dyDescent="0.3"/>
    <row r="24119" s="160" customFormat="1" x14ac:dyDescent="0.3"/>
    <row r="24120" s="160" customFormat="1" x14ac:dyDescent="0.3"/>
    <row r="24121" s="160" customFormat="1" x14ac:dyDescent="0.3"/>
    <row r="24122" s="160" customFormat="1" x14ac:dyDescent="0.3"/>
    <row r="24123" s="160" customFormat="1" x14ac:dyDescent="0.3"/>
    <row r="24124" s="160" customFormat="1" x14ac:dyDescent="0.3"/>
    <row r="24125" s="160" customFormat="1" x14ac:dyDescent="0.3"/>
    <row r="24126" s="160" customFormat="1" x14ac:dyDescent="0.3"/>
    <row r="24127" s="160" customFormat="1" x14ac:dyDescent="0.3"/>
    <row r="24128" s="160" customFormat="1" x14ac:dyDescent="0.3"/>
    <row r="24129" s="160" customFormat="1" x14ac:dyDescent="0.3"/>
    <row r="24130" s="160" customFormat="1" x14ac:dyDescent="0.3"/>
    <row r="24131" s="160" customFormat="1" x14ac:dyDescent="0.3"/>
    <row r="24132" s="160" customFormat="1" x14ac:dyDescent="0.3"/>
    <row r="24133" s="160" customFormat="1" x14ac:dyDescent="0.3"/>
    <row r="24134" s="160" customFormat="1" x14ac:dyDescent="0.3"/>
    <row r="24135" s="160" customFormat="1" x14ac:dyDescent="0.3"/>
    <row r="24136" s="160" customFormat="1" x14ac:dyDescent="0.3"/>
    <row r="24137" s="160" customFormat="1" x14ac:dyDescent="0.3"/>
    <row r="24138" s="160" customFormat="1" x14ac:dyDescent="0.3"/>
    <row r="24139" s="160" customFormat="1" x14ac:dyDescent="0.3"/>
    <row r="24140" s="160" customFormat="1" x14ac:dyDescent="0.3"/>
    <row r="24141" s="160" customFormat="1" x14ac:dyDescent="0.3"/>
    <row r="24142" s="160" customFormat="1" x14ac:dyDescent="0.3"/>
    <row r="24143" s="160" customFormat="1" x14ac:dyDescent="0.3"/>
    <row r="24144" s="160" customFormat="1" x14ac:dyDescent="0.3"/>
    <row r="24145" s="160" customFormat="1" x14ac:dyDescent="0.3"/>
    <row r="24146" s="160" customFormat="1" x14ac:dyDescent="0.3"/>
    <row r="24147" s="160" customFormat="1" x14ac:dyDescent="0.3"/>
    <row r="24148" s="160" customFormat="1" x14ac:dyDescent="0.3"/>
    <row r="24149" s="160" customFormat="1" x14ac:dyDescent="0.3"/>
    <row r="24150" s="160" customFormat="1" x14ac:dyDescent="0.3"/>
    <row r="24151" s="160" customFormat="1" x14ac:dyDescent="0.3"/>
    <row r="24152" s="160" customFormat="1" x14ac:dyDescent="0.3"/>
    <row r="24153" s="160" customFormat="1" x14ac:dyDescent="0.3"/>
    <row r="24154" s="160" customFormat="1" x14ac:dyDescent="0.3"/>
    <row r="24155" s="160" customFormat="1" x14ac:dyDescent="0.3"/>
    <row r="24156" s="160" customFormat="1" x14ac:dyDescent="0.3"/>
    <row r="24157" s="160" customFormat="1" x14ac:dyDescent="0.3"/>
    <row r="24158" s="160" customFormat="1" x14ac:dyDescent="0.3"/>
    <row r="24159" s="160" customFormat="1" x14ac:dyDescent="0.3"/>
    <row r="24160" s="160" customFormat="1" x14ac:dyDescent="0.3"/>
    <row r="24161" s="160" customFormat="1" x14ac:dyDescent="0.3"/>
    <row r="24162" s="160" customFormat="1" x14ac:dyDescent="0.3"/>
    <row r="24163" s="160" customFormat="1" x14ac:dyDescent="0.3"/>
    <row r="24164" s="160" customFormat="1" x14ac:dyDescent="0.3"/>
    <row r="24165" s="160" customFormat="1" x14ac:dyDescent="0.3"/>
    <row r="24166" s="160" customFormat="1" x14ac:dyDescent="0.3"/>
    <row r="24167" s="160" customFormat="1" x14ac:dyDescent="0.3"/>
    <row r="24168" s="160" customFormat="1" x14ac:dyDescent="0.3"/>
    <row r="24169" s="160" customFormat="1" x14ac:dyDescent="0.3"/>
    <row r="24170" s="160" customFormat="1" x14ac:dyDescent="0.3"/>
    <row r="24171" s="160" customFormat="1" x14ac:dyDescent="0.3"/>
    <row r="24172" s="160" customFormat="1" x14ac:dyDescent="0.3"/>
    <row r="24173" s="160" customFormat="1" x14ac:dyDescent="0.3"/>
    <row r="24174" s="160" customFormat="1" x14ac:dyDescent="0.3"/>
    <row r="24175" s="160" customFormat="1" x14ac:dyDescent="0.3"/>
    <row r="24176" s="160" customFormat="1" x14ac:dyDescent="0.3"/>
    <row r="24177" s="160" customFormat="1" x14ac:dyDescent="0.3"/>
    <row r="24178" s="160" customFormat="1" x14ac:dyDescent="0.3"/>
    <row r="24179" s="160" customFormat="1" x14ac:dyDescent="0.3"/>
    <row r="24180" s="160" customFormat="1" x14ac:dyDescent="0.3"/>
    <row r="24181" s="160" customFormat="1" x14ac:dyDescent="0.3"/>
    <row r="24182" s="160" customFormat="1" x14ac:dyDescent="0.3"/>
    <row r="24183" s="160" customFormat="1" x14ac:dyDescent="0.3"/>
    <row r="24184" s="160" customFormat="1" x14ac:dyDescent="0.3"/>
    <row r="24185" s="160" customFormat="1" x14ac:dyDescent="0.3"/>
    <row r="24186" s="160" customFormat="1" x14ac:dyDescent="0.3"/>
    <row r="24187" s="160" customFormat="1" x14ac:dyDescent="0.3"/>
    <row r="24188" s="160" customFormat="1" x14ac:dyDescent="0.3"/>
    <row r="24189" s="160" customFormat="1" x14ac:dyDescent="0.3"/>
    <row r="24190" s="160" customFormat="1" x14ac:dyDescent="0.3"/>
    <row r="24191" s="160" customFormat="1" x14ac:dyDescent="0.3"/>
    <row r="24192" s="160" customFormat="1" x14ac:dyDescent="0.3"/>
    <row r="24193" s="160" customFormat="1" x14ac:dyDescent="0.3"/>
    <row r="24194" s="160" customFormat="1" x14ac:dyDescent="0.3"/>
    <row r="24195" s="160" customFormat="1" x14ac:dyDescent="0.3"/>
    <row r="24196" s="160" customFormat="1" x14ac:dyDescent="0.3"/>
    <row r="24197" s="160" customFormat="1" x14ac:dyDescent="0.3"/>
    <row r="24198" s="160" customFormat="1" x14ac:dyDescent="0.3"/>
    <row r="24199" s="160" customFormat="1" x14ac:dyDescent="0.3"/>
    <row r="24200" s="160" customFormat="1" x14ac:dyDescent="0.3"/>
    <row r="24201" s="160" customFormat="1" x14ac:dyDescent="0.3"/>
    <row r="24202" s="160" customFormat="1" x14ac:dyDescent="0.3"/>
    <row r="24203" s="160" customFormat="1" x14ac:dyDescent="0.3"/>
    <row r="24204" s="160" customFormat="1" x14ac:dyDescent="0.3"/>
    <row r="24205" s="160" customFormat="1" x14ac:dyDescent="0.3"/>
    <row r="24206" s="160" customFormat="1" x14ac:dyDescent="0.3"/>
    <row r="24207" s="160" customFormat="1" x14ac:dyDescent="0.3"/>
    <row r="24208" s="160" customFormat="1" x14ac:dyDescent="0.3"/>
    <row r="24209" s="160" customFormat="1" x14ac:dyDescent="0.3"/>
    <row r="24210" s="160" customFormat="1" x14ac:dyDescent="0.3"/>
    <row r="24211" s="160" customFormat="1" x14ac:dyDescent="0.3"/>
    <row r="24212" s="160" customFormat="1" x14ac:dyDescent="0.3"/>
    <row r="24213" s="160" customFormat="1" x14ac:dyDescent="0.3"/>
    <row r="24214" s="160" customFormat="1" x14ac:dyDescent="0.3"/>
    <row r="24215" s="160" customFormat="1" x14ac:dyDescent="0.3"/>
    <row r="24216" s="160" customFormat="1" x14ac:dyDescent="0.3"/>
    <row r="24217" s="160" customFormat="1" x14ac:dyDescent="0.3"/>
    <row r="24218" s="160" customFormat="1" x14ac:dyDescent="0.3"/>
    <row r="24219" s="160" customFormat="1" x14ac:dyDescent="0.3"/>
    <row r="24220" s="160" customFormat="1" x14ac:dyDescent="0.3"/>
    <row r="24221" s="160" customFormat="1" x14ac:dyDescent="0.3"/>
    <row r="24222" s="160" customFormat="1" x14ac:dyDescent="0.3"/>
    <row r="24223" s="160" customFormat="1" x14ac:dyDescent="0.3"/>
    <row r="24224" s="160" customFormat="1" x14ac:dyDescent="0.3"/>
    <row r="24225" s="160" customFormat="1" x14ac:dyDescent="0.3"/>
    <row r="24226" s="160" customFormat="1" x14ac:dyDescent="0.3"/>
    <row r="24227" s="160" customFormat="1" x14ac:dyDescent="0.3"/>
    <row r="24228" s="160" customFormat="1" x14ac:dyDescent="0.3"/>
    <row r="24229" s="160" customFormat="1" x14ac:dyDescent="0.3"/>
    <row r="24230" s="160" customFormat="1" x14ac:dyDescent="0.3"/>
    <row r="24231" s="160" customFormat="1" x14ac:dyDescent="0.3"/>
    <row r="24232" s="160" customFormat="1" x14ac:dyDescent="0.3"/>
    <row r="24233" s="160" customFormat="1" x14ac:dyDescent="0.3"/>
    <row r="24234" s="160" customFormat="1" x14ac:dyDescent="0.3"/>
    <row r="24235" s="160" customFormat="1" x14ac:dyDescent="0.3"/>
    <row r="24236" s="160" customFormat="1" x14ac:dyDescent="0.3"/>
    <row r="24237" s="160" customFormat="1" x14ac:dyDescent="0.3"/>
    <row r="24238" s="160" customFormat="1" x14ac:dyDescent="0.3"/>
    <row r="24239" s="160" customFormat="1" x14ac:dyDescent="0.3"/>
    <row r="24240" s="160" customFormat="1" x14ac:dyDescent="0.3"/>
    <row r="24241" s="160" customFormat="1" x14ac:dyDescent="0.3"/>
    <row r="24242" s="160" customFormat="1" x14ac:dyDescent="0.3"/>
    <row r="24243" s="160" customFormat="1" x14ac:dyDescent="0.3"/>
    <row r="24244" s="160" customFormat="1" x14ac:dyDescent="0.3"/>
    <row r="24245" s="160" customFormat="1" x14ac:dyDescent="0.3"/>
    <row r="24246" s="160" customFormat="1" x14ac:dyDescent="0.3"/>
    <row r="24247" s="160" customFormat="1" x14ac:dyDescent="0.3"/>
    <row r="24248" s="160" customFormat="1" x14ac:dyDescent="0.3"/>
    <row r="24249" s="160" customFormat="1" x14ac:dyDescent="0.3"/>
    <row r="24250" s="160" customFormat="1" x14ac:dyDescent="0.3"/>
    <row r="24251" s="160" customFormat="1" x14ac:dyDescent="0.3"/>
    <row r="24252" s="160" customFormat="1" x14ac:dyDescent="0.3"/>
    <row r="24253" s="160" customFormat="1" x14ac:dyDescent="0.3"/>
    <row r="24254" s="160" customFormat="1" x14ac:dyDescent="0.3"/>
    <row r="24255" s="160" customFormat="1" x14ac:dyDescent="0.3"/>
    <row r="24256" s="160" customFormat="1" x14ac:dyDescent="0.3"/>
    <row r="24257" s="160" customFormat="1" x14ac:dyDescent="0.3"/>
    <row r="24258" s="160" customFormat="1" x14ac:dyDescent="0.3"/>
    <row r="24259" s="160" customFormat="1" x14ac:dyDescent="0.3"/>
    <row r="24260" s="160" customFormat="1" x14ac:dyDescent="0.3"/>
    <row r="24261" s="160" customFormat="1" x14ac:dyDescent="0.3"/>
    <row r="24262" s="160" customFormat="1" x14ac:dyDescent="0.3"/>
    <row r="24263" s="160" customFormat="1" x14ac:dyDescent="0.3"/>
    <row r="24264" s="160" customFormat="1" x14ac:dyDescent="0.3"/>
    <row r="24265" s="160" customFormat="1" x14ac:dyDescent="0.3"/>
    <row r="24266" s="160" customFormat="1" x14ac:dyDescent="0.3"/>
    <row r="24267" s="160" customFormat="1" x14ac:dyDescent="0.3"/>
    <row r="24268" s="160" customFormat="1" x14ac:dyDescent="0.3"/>
    <row r="24269" s="160" customFormat="1" x14ac:dyDescent="0.3"/>
    <row r="24270" s="160" customFormat="1" x14ac:dyDescent="0.3"/>
    <row r="24271" s="160" customFormat="1" x14ac:dyDescent="0.3"/>
    <row r="24272" s="160" customFormat="1" x14ac:dyDescent="0.3"/>
    <row r="24273" s="160" customFormat="1" x14ac:dyDescent="0.3"/>
    <row r="24274" s="160" customFormat="1" x14ac:dyDescent="0.3"/>
    <row r="24275" s="160" customFormat="1" x14ac:dyDescent="0.3"/>
    <row r="24276" s="160" customFormat="1" x14ac:dyDescent="0.3"/>
    <row r="24277" s="160" customFormat="1" x14ac:dyDescent="0.3"/>
    <row r="24278" s="160" customFormat="1" x14ac:dyDescent="0.3"/>
    <row r="24279" s="160" customFormat="1" x14ac:dyDescent="0.3"/>
    <row r="24280" s="160" customFormat="1" x14ac:dyDescent="0.3"/>
    <row r="24281" s="160" customFormat="1" x14ac:dyDescent="0.3"/>
    <row r="24282" s="160" customFormat="1" x14ac:dyDescent="0.3"/>
    <row r="24283" s="160" customFormat="1" x14ac:dyDescent="0.3"/>
    <row r="24284" s="160" customFormat="1" x14ac:dyDescent="0.3"/>
    <row r="24285" s="160" customFormat="1" x14ac:dyDescent="0.3"/>
    <row r="24286" s="160" customFormat="1" x14ac:dyDescent="0.3"/>
    <row r="24287" s="160" customFormat="1" x14ac:dyDescent="0.3"/>
    <row r="24288" s="160" customFormat="1" x14ac:dyDescent="0.3"/>
    <row r="24289" s="160" customFormat="1" x14ac:dyDescent="0.3"/>
    <row r="24290" s="160" customFormat="1" x14ac:dyDescent="0.3"/>
    <row r="24291" s="160" customFormat="1" x14ac:dyDescent="0.3"/>
    <row r="24292" s="160" customFormat="1" x14ac:dyDescent="0.3"/>
    <row r="24293" s="160" customFormat="1" x14ac:dyDescent="0.3"/>
    <row r="24294" s="160" customFormat="1" x14ac:dyDescent="0.3"/>
    <row r="24295" s="160" customFormat="1" x14ac:dyDescent="0.3"/>
    <row r="24296" s="160" customFormat="1" x14ac:dyDescent="0.3"/>
    <row r="24297" s="160" customFormat="1" x14ac:dyDescent="0.3"/>
    <row r="24298" s="160" customFormat="1" x14ac:dyDescent="0.3"/>
    <row r="24299" s="160" customFormat="1" x14ac:dyDescent="0.3"/>
    <row r="24300" s="160" customFormat="1" x14ac:dyDescent="0.3"/>
    <row r="24301" s="160" customFormat="1" x14ac:dyDescent="0.3"/>
    <row r="24302" s="160" customFormat="1" x14ac:dyDescent="0.3"/>
    <row r="24303" s="160" customFormat="1" x14ac:dyDescent="0.3"/>
    <row r="24304" s="160" customFormat="1" x14ac:dyDescent="0.3"/>
    <row r="24305" s="160" customFormat="1" x14ac:dyDescent="0.3"/>
    <row r="24306" s="160" customFormat="1" x14ac:dyDescent="0.3"/>
    <row r="24307" s="160" customFormat="1" x14ac:dyDescent="0.3"/>
    <row r="24308" s="160" customFormat="1" x14ac:dyDescent="0.3"/>
    <row r="24309" s="160" customFormat="1" x14ac:dyDescent="0.3"/>
    <row r="24310" s="160" customFormat="1" x14ac:dyDescent="0.3"/>
    <row r="24311" s="160" customFormat="1" x14ac:dyDescent="0.3"/>
    <row r="24312" s="160" customFormat="1" x14ac:dyDescent="0.3"/>
    <row r="24313" s="160" customFormat="1" x14ac:dyDescent="0.3"/>
    <row r="24314" s="160" customFormat="1" x14ac:dyDescent="0.3"/>
    <row r="24315" s="160" customFormat="1" x14ac:dyDescent="0.3"/>
    <row r="24316" s="160" customFormat="1" x14ac:dyDescent="0.3"/>
    <row r="24317" s="160" customFormat="1" x14ac:dyDescent="0.3"/>
    <row r="24318" s="160" customFormat="1" x14ac:dyDescent="0.3"/>
    <row r="24319" s="160" customFormat="1" x14ac:dyDescent="0.3"/>
    <row r="24320" s="160" customFormat="1" x14ac:dyDescent="0.3"/>
    <row r="24321" s="160" customFormat="1" x14ac:dyDescent="0.3"/>
    <row r="24322" s="160" customFormat="1" x14ac:dyDescent="0.3"/>
    <row r="24323" s="160" customFormat="1" x14ac:dyDescent="0.3"/>
    <row r="24324" s="160" customFormat="1" x14ac:dyDescent="0.3"/>
    <row r="24325" s="160" customFormat="1" x14ac:dyDescent="0.3"/>
    <row r="24326" s="160" customFormat="1" x14ac:dyDescent="0.3"/>
    <row r="24327" s="160" customFormat="1" x14ac:dyDescent="0.3"/>
    <row r="24328" s="160" customFormat="1" x14ac:dyDescent="0.3"/>
    <row r="24329" s="160" customFormat="1" x14ac:dyDescent="0.3"/>
    <row r="24330" s="160" customFormat="1" x14ac:dyDescent="0.3"/>
    <row r="24331" s="160" customFormat="1" x14ac:dyDescent="0.3"/>
    <row r="24332" s="160" customFormat="1" x14ac:dyDescent="0.3"/>
    <row r="24333" s="160" customFormat="1" x14ac:dyDescent="0.3"/>
    <row r="24334" s="160" customFormat="1" x14ac:dyDescent="0.3"/>
    <row r="24335" s="160" customFormat="1" x14ac:dyDescent="0.3"/>
    <row r="24336" s="160" customFormat="1" x14ac:dyDescent="0.3"/>
    <row r="24337" s="160" customFormat="1" x14ac:dyDescent="0.3"/>
    <row r="24338" s="160" customFormat="1" x14ac:dyDescent="0.3"/>
    <row r="24339" s="160" customFormat="1" x14ac:dyDescent="0.3"/>
    <row r="24340" s="160" customFormat="1" x14ac:dyDescent="0.3"/>
    <row r="24341" s="160" customFormat="1" x14ac:dyDescent="0.3"/>
    <row r="24342" s="160" customFormat="1" x14ac:dyDescent="0.3"/>
    <row r="24343" s="160" customFormat="1" x14ac:dyDescent="0.3"/>
    <row r="24344" s="160" customFormat="1" x14ac:dyDescent="0.3"/>
    <row r="24345" s="160" customFormat="1" x14ac:dyDescent="0.3"/>
    <row r="24346" s="160" customFormat="1" x14ac:dyDescent="0.3"/>
    <row r="24347" s="160" customFormat="1" x14ac:dyDescent="0.3"/>
    <row r="24348" s="160" customFormat="1" x14ac:dyDescent="0.3"/>
    <row r="24349" s="160" customFormat="1" x14ac:dyDescent="0.3"/>
    <row r="24350" s="160" customFormat="1" x14ac:dyDescent="0.3"/>
    <row r="24351" s="160" customFormat="1" x14ac:dyDescent="0.3"/>
    <row r="24352" s="160" customFormat="1" x14ac:dyDescent="0.3"/>
    <row r="24353" s="160" customFormat="1" x14ac:dyDescent="0.3"/>
    <row r="24354" s="160" customFormat="1" x14ac:dyDescent="0.3"/>
    <row r="24355" s="160" customFormat="1" x14ac:dyDescent="0.3"/>
    <row r="24356" s="160" customFormat="1" x14ac:dyDescent="0.3"/>
    <row r="24357" s="160" customFormat="1" x14ac:dyDescent="0.3"/>
    <row r="24358" s="160" customFormat="1" x14ac:dyDescent="0.3"/>
    <row r="24359" s="160" customFormat="1" x14ac:dyDescent="0.3"/>
    <row r="24360" s="160" customFormat="1" x14ac:dyDescent="0.3"/>
    <row r="24361" s="160" customFormat="1" x14ac:dyDescent="0.3"/>
    <row r="24362" s="160" customFormat="1" x14ac:dyDescent="0.3"/>
    <row r="24363" s="160" customFormat="1" x14ac:dyDescent="0.3"/>
    <row r="24364" s="160" customFormat="1" x14ac:dyDescent="0.3"/>
    <row r="24365" s="160" customFormat="1" x14ac:dyDescent="0.3"/>
    <row r="24366" s="160" customFormat="1" x14ac:dyDescent="0.3"/>
    <row r="24367" s="160" customFormat="1" x14ac:dyDescent="0.3"/>
    <row r="24368" s="160" customFormat="1" x14ac:dyDescent="0.3"/>
    <row r="24369" s="160" customFormat="1" x14ac:dyDescent="0.3"/>
    <row r="24370" s="160" customFormat="1" x14ac:dyDescent="0.3"/>
    <row r="24371" s="160" customFormat="1" x14ac:dyDescent="0.3"/>
    <row r="24372" s="160" customFormat="1" x14ac:dyDescent="0.3"/>
    <row r="24373" s="160" customFormat="1" x14ac:dyDescent="0.3"/>
    <row r="24374" s="160" customFormat="1" x14ac:dyDescent="0.3"/>
    <row r="24375" s="160" customFormat="1" x14ac:dyDescent="0.3"/>
    <row r="24376" s="160" customFormat="1" x14ac:dyDescent="0.3"/>
    <row r="24377" s="160" customFormat="1" x14ac:dyDescent="0.3"/>
    <row r="24378" s="160" customFormat="1" x14ac:dyDescent="0.3"/>
    <row r="24379" s="160" customFormat="1" x14ac:dyDescent="0.3"/>
    <row r="24380" s="160" customFormat="1" x14ac:dyDescent="0.3"/>
    <row r="24381" s="160" customFormat="1" x14ac:dyDescent="0.3"/>
    <row r="24382" s="160" customFormat="1" x14ac:dyDescent="0.3"/>
    <row r="24383" s="160" customFormat="1" x14ac:dyDescent="0.3"/>
    <row r="24384" s="160" customFormat="1" x14ac:dyDescent="0.3"/>
    <row r="24385" s="160" customFormat="1" x14ac:dyDescent="0.3"/>
    <row r="24386" s="160" customFormat="1" x14ac:dyDescent="0.3"/>
    <row r="24387" s="160" customFormat="1" x14ac:dyDescent="0.3"/>
    <row r="24388" s="160" customFormat="1" x14ac:dyDescent="0.3"/>
    <row r="24389" s="160" customFormat="1" x14ac:dyDescent="0.3"/>
    <row r="24390" s="160" customFormat="1" x14ac:dyDescent="0.3"/>
    <row r="24391" s="160" customFormat="1" x14ac:dyDescent="0.3"/>
    <row r="24392" s="160" customFormat="1" x14ac:dyDescent="0.3"/>
    <row r="24393" s="160" customFormat="1" x14ac:dyDescent="0.3"/>
    <row r="24394" s="160" customFormat="1" x14ac:dyDescent="0.3"/>
    <row r="24395" s="160" customFormat="1" x14ac:dyDescent="0.3"/>
    <row r="24396" s="160" customFormat="1" x14ac:dyDescent="0.3"/>
    <row r="24397" s="160" customFormat="1" x14ac:dyDescent="0.3"/>
    <row r="24398" s="160" customFormat="1" x14ac:dyDescent="0.3"/>
    <row r="24399" s="160" customFormat="1" x14ac:dyDescent="0.3"/>
    <row r="24400" s="160" customFormat="1" x14ac:dyDescent="0.3"/>
    <row r="24401" s="160" customFormat="1" x14ac:dyDescent="0.3"/>
    <row r="24402" s="160" customFormat="1" x14ac:dyDescent="0.3"/>
    <row r="24403" s="160" customFormat="1" x14ac:dyDescent="0.3"/>
    <row r="24404" s="160" customFormat="1" x14ac:dyDescent="0.3"/>
    <row r="24405" s="160" customFormat="1" x14ac:dyDescent="0.3"/>
    <row r="24406" s="160" customFormat="1" x14ac:dyDescent="0.3"/>
    <row r="24407" s="160" customFormat="1" x14ac:dyDescent="0.3"/>
    <row r="24408" s="160" customFormat="1" x14ac:dyDescent="0.3"/>
    <row r="24409" s="160" customFormat="1" x14ac:dyDescent="0.3"/>
    <row r="24410" s="160" customFormat="1" x14ac:dyDescent="0.3"/>
    <row r="24411" s="160" customFormat="1" x14ac:dyDescent="0.3"/>
    <row r="24412" s="160" customFormat="1" x14ac:dyDescent="0.3"/>
    <row r="24413" s="160" customFormat="1" x14ac:dyDescent="0.3"/>
    <row r="24414" s="160" customFormat="1" x14ac:dyDescent="0.3"/>
    <row r="24415" s="160" customFormat="1" x14ac:dyDescent="0.3"/>
    <row r="24416" s="160" customFormat="1" x14ac:dyDescent="0.3"/>
    <row r="24417" s="160" customFormat="1" x14ac:dyDescent="0.3"/>
    <row r="24418" s="160" customFormat="1" x14ac:dyDescent="0.3"/>
    <row r="24419" s="160" customFormat="1" x14ac:dyDescent="0.3"/>
    <row r="24420" s="160" customFormat="1" x14ac:dyDescent="0.3"/>
    <row r="24421" s="160" customFormat="1" x14ac:dyDescent="0.3"/>
    <row r="24422" s="160" customFormat="1" x14ac:dyDescent="0.3"/>
    <row r="24423" s="160" customFormat="1" x14ac:dyDescent="0.3"/>
    <row r="24424" s="160" customFormat="1" x14ac:dyDescent="0.3"/>
    <row r="24425" s="160" customFormat="1" x14ac:dyDescent="0.3"/>
    <row r="24426" s="160" customFormat="1" x14ac:dyDescent="0.3"/>
    <row r="24427" s="160" customFormat="1" x14ac:dyDescent="0.3"/>
    <row r="24428" s="160" customFormat="1" x14ac:dyDescent="0.3"/>
    <row r="24429" s="160" customFormat="1" x14ac:dyDescent="0.3"/>
    <row r="24430" s="160" customFormat="1" x14ac:dyDescent="0.3"/>
    <row r="24431" s="160" customFormat="1" x14ac:dyDescent="0.3"/>
    <row r="24432" s="160" customFormat="1" x14ac:dyDescent="0.3"/>
    <row r="24433" s="160" customFormat="1" x14ac:dyDescent="0.3"/>
    <row r="24434" s="160" customFormat="1" x14ac:dyDescent="0.3"/>
    <row r="24435" s="160" customFormat="1" x14ac:dyDescent="0.3"/>
    <row r="24436" s="160" customFormat="1" x14ac:dyDescent="0.3"/>
    <row r="24437" s="160" customFormat="1" x14ac:dyDescent="0.3"/>
    <row r="24438" s="160" customFormat="1" x14ac:dyDescent="0.3"/>
    <row r="24439" s="160" customFormat="1" x14ac:dyDescent="0.3"/>
    <row r="24440" s="160" customFormat="1" x14ac:dyDescent="0.3"/>
    <row r="24441" s="160" customFormat="1" x14ac:dyDescent="0.3"/>
    <row r="24442" s="160" customFormat="1" x14ac:dyDescent="0.3"/>
    <row r="24443" s="160" customFormat="1" x14ac:dyDescent="0.3"/>
    <row r="24444" s="160" customFormat="1" x14ac:dyDescent="0.3"/>
    <row r="24445" s="160" customFormat="1" x14ac:dyDescent="0.3"/>
    <row r="24446" s="160" customFormat="1" x14ac:dyDescent="0.3"/>
    <row r="24447" s="160" customFormat="1" x14ac:dyDescent="0.3"/>
    <row r="24448" s="160" customFormat="1" x14ac:dyDescent="0.3"/>
    <row r="24449" s="160" customFormat="1" x14ac:dyDescent="0.3"/>
    <row r="24450" s="160" customFormat="1" x14ac:dyDescent="0.3"/>
    <row r="24451" s="160" customFormat="1" x14ac:dyDescent="0.3"/>
    <row r="24452" s="160" customFormat="1" x14ac:dyDescent="0.3"/>
    <row r="24453" s="160" customFormat="1" x14ac:dyDescent="0.3"/>
    <row r="24454" s="160" customFormat="1" x14ac:dyDescent="0.3"/>
    <row r="24455" s="160" customFormat="1" x14ac:dyDescent="0.3"/>
    <row r="24456" s="160" customFormat="1" x14ac:dyDescent="0.3"/>
    <row r="24457" s="160" customFormat="1" x14ac:dyDescent="0.3"/>
    <row r="24458" s="160" customFormat="1" x14ac:dyDescent="0.3"/>
    <row r="24459" s="160" customFormat="1" x14ac:dyDescent="0.3"/>
    <row r="24460" s="160" customFormat="1" x14ac:dyDescent="0.3"/>
    <row r="24461" s="160" customFormat="1" x14ac:dyDescent="0.3"/>
    <row r="24462" s="160" customFormat="1" x14ac:dyDescent="0.3"/>
    <row r="24463" s="160" customFormat="1" x14ac:dyDescent="0.3"/>
    <row r="24464" s="160" customFormat="1" x14ac:dyDescent="0.3"/>
    <row r="24465" s="160" customFormat="1" x14ac:dyDescent="0.3"/>
    <row r="24466" s="160" customFormat="1" x14ac:dyDescent="0.3"/>
    <row r="24467" s="160" customFormat="1" x14ac:dyDescent="0.3"/>
    <row r="24468" s="160" customFormat="1" x14ac:dyDescent="0.3"/>
    <row r="24469" s="160" customFormat="1" x14ac:dyDescent="0.3"/>
    <row r="24470" s="160" customFormat="1" x14ac:dyDescent="0.3"/>
    <row r="24471" s="160" customFormat="1" x14ac:dyDescent="0.3"/>
    <row r="24472" s="160" customFormat="1" x14ac:dyDescent="0.3"/>
    <row r="24473" s="160" customFormat="1" x14ac:dyDescent="0.3"/>
    <row r="24474" s="160" customFormat="1" x14ac:dyDescent="0.3"/>
    <row r="24475" s="160" customFormat="1" x14ac:dyDescent="0.3"/>
    <row r="24476" s="160" customFormat="1" x14ac:dyDescent="0.3"/>
    <row r="24477" s="160" customFormat="1" x14ac:dyDescent="0.3"/>
    <row r="24478" s="160" customFormat="1" x14ac:dyDescent="0.3"/>
    <row r="24479" s="160" customFormat="1" x14ac:dyDescent="0.3"/>
    <row r="24480" s="160" customFormat="1" x14ac:dyDescent="0.3"/>
    <row r="24481" s="160" customFormat="1" x14ac:dyDescent="0.3"/>
    <row r="24482" s="160" customFormat="1" x14ac:dyDescent="0.3"/>
    <row r="24483" s="160" customFormat="1" x14ac:dyDescent="0.3"/>
    <row r="24484" s="160" customFormat="1" x14ac:dyDescent="0.3"/>
    <row r="24485" s="160" customFormat="1" x14ac:dyDescent="0.3"/>
    <row r="24486" s="160" customFormat="1" x14ac:dyDescent="0.3"/>
    <row r="24487" s="160" customFormat="1" x14ac:dyDescent="0.3"/>
    <row r="24488" s="160" customFormat="1" x14ac:dyDescent="0.3"/>
    <row r="24489" s="160" customFormat="1" x14ac:dyDescent="0.3"/>
    <row r="24490" s="160" customFormat="1" x14ac:dyDescent="0.3"/>
    <row r="24491" s="160" customFormat="1" x14ac:dyDescent="0.3"/>
    <row r="24492" s="160" customFormat="1" x14ac:dyDescent="0.3"/>
    <row r="24493" s="160" customFormat="1" x14ac:dyDescent="0.3"/>
    <row r="24494" s="160" customFormat="1" x14ac:dyDescent="0.3"/>
    <row r="24495" s="160" customFormat="1" x14ac:dyDescent="0.3"/>
    <row r="24496" s="160" customFormat="1" x14ac:dyDescent="0.3"/>
    <row r="24497" s="160" customFormat="1" x14ac:dyDescent="0.3"/>
    <row r="24498" s="160" customFormat="1" x14ac:dyDescent="0.3"/>
    <row r="24499" s="160" customFormat="1" x14ac:dyDescent="0.3"/>
    <row r="24500" s="160" customFormat="1" x14ac:dyDescent="0.3"/>
    <row r="24501" s="160" customFormat="1" x14ac:dyDescent="0.3"/>
    <row r="24502" s="160" customFormat="1" x14ac:dyDescent="0.3"/>
    <row r="24503" s="160" customFormat="1" x14ac:dyDescent="0.3"/>
    <row r="24504" s="160" customFormat="1" x14ac:dyDescent="0.3"/>
    <row r="24505" s="160" customFormat="1" x14ac:dyDescent="0.3"/>
    <row r="24506" s="160" customFormat="1" x14ac:dyDescent="0.3"/>
    <row r="24507" s="160" customFormat="1" x14ac:dyDescent="0.3"/>
    <row r="24508" s="160" customFormat="1" x14ac:dyDescent="0.3"/>
    <row r="24509" s="160" customFormat="1" x14ac:dyDescent="0.3"/>
    <row r="24510" s="160" customFormat="1" x14ac:dyDescent="0.3"/>
    <row r="24511" s="160" customFormat="1" x14ac:dyDescent="0.3"/>
    <row r="24512" s="160" customFormat="1" x14ac:dyDescent="0.3"/>
    <row r="24513" s="160" customFormat="1" x14ac:dyDescent="0.3"/>
    <row r="24514" s="160" customFormat="1" x14ac:dyDescent="0.3"/>
    <row r="24515" s="160" customFormat="1" x14ac:dyDescent="0.3"/>
    <row r="24516" s="160" customFormat="1" x14ac:dyDescent="0.3"/>
    <row r="24517" s="160" customFormat="1" x14ac:dyDescent="0.3"/>
    <row r="24518" s="160" customFormat="1" x14ac:dyDescent="0.3"/>
    <row r="24519" s="160" customFormat="1" x14ac:dyDescent="0.3"/>
    <row r="24520" s="160" customFormat="1" x14ac:dyDescent="0.3"/>
    <row r="24521" s="160" customFormat="1" x14ac:dyDescent="0.3"/>
    <row r="24522" s="160" customFormat="1" x14ac:dyDescent="0.3"/>
    <row r="24523" s="160" customFormat="1" x14ac:dyDescent="0.3"/>
    <row r="24524" s="160" customFormat="1" x14ac:dyDescent="0.3"/>
    <row r="24525" s="160" customFormat="1" x14ac:dyDescent="0.3"/>
    <row r="24526" s="160" customFormat="1" x14ac:dyDescent="0.3"/>
    <row r="24527" s="160" customFormat="1" x14ac:dyDescent="0.3"/>
    <row r="24528" s="160" customFormat="1" x14ac:dyDescent="0.3"/>
    <row r="24529" s="160" customFormat="1" x14ac:dyDescent="0.3"/>
    <row r="24530" s="160" customFormat="1" x14ac:dyDescent="0.3"/>
    <row r="24531" s="160" customFormat="1" x14ac:dyDescent="0.3"/>
    <row r="24532" s="160" customFormat="1" x14ac:dyDescent="0.3"/>
    <row r="24533" s="160" customFormat="1" x14ac:dyDescent="0.3"/>
    <row r="24534" s="160" customFormat="1" x14ac:dyDescent="0.3"/>
    <row r="24535" s="160" customFormat="1" x14ac:dyDescent="0.3"/>
    <row r="24536" s="160" customFormat="1" x14ac:dyDescent="0.3"/>
    <row r="24537" s="160" customFormat="1" x14ac:dyDescent="0.3"/>
    <row r="24538" s="160" customFormat="1" x14ac:dyDescent="0.3"/>
    <row r="24539" s="160" customFormat="1" x14ac:dyDescent="0.3"/>
    <row r="24540" s="160" customFormat="1" x14ac:dyDescent="0.3"/>
    <row r="24541" s="160" customFormat="1" x14ac:dyDescent="0.3"/>
    <row r="24542" s="160" customFormat="1" x14ac:dyDescent="0.3"/>
    <row r="24543" s="160" customFormat="1" x14ac:dyDescent="0.3"/>
    <row r="24544" s="160" customFormat="1" x14ac:dyDescent="0.3"/>
    <row r="24545" s="160" customFormat="1" x14ac:dyDescent="0.3"/>
    <row r="24546" s="160" customFormat="1" x14ac:dyDescent="0.3"/>
    <row r="24547" s="160" customFormat="1" x14ac:dyDescent="0.3"/>
    <row r="24548" s="160" customFormat="1" x14ac:dyDescent="0.3"/>
    <row r="24549" s="160" customFormat="1" x14ac:dyDescent="0.3"/>
    <row r="24550" s="160" customFormat="1" x14ac:dyDescent="0.3"/>
    <row r="24551" s="160" customFormat="1" x14ac:dyDescent="0.3"/>
    <row r="24552" s="160" customFormat="1" x14ac:dyDescent="0.3"/>
    <row r="24553" s="160" customFormat="1" x14ac:dyDescent="0.3"/>
    <row r="24554" s="160" customFormat="1" x14ac:dyDescent="0.3"/>
    <row r="24555" s="160" customFormat="1" x14ac:dyDescent="0.3"/>
    <row r="24556" s="160" customFormat="1" x14ac:dyDescent="0.3"/>
    <row r="24557" s="160" customFormat="1" x14ac:dyDescent="0.3"/>
    <row r="24558" s="160" customFormat="1" x14ac:dyDescent="0.3"/>
    <row r="24559" s="160" customFormat="1" x14ac:dyDescent="0.3"/>
    <row r="24560" s="160" customFormat="1" x14ac:dyDescent="0.3"/>
    <row r="24561" s="160" customFormat="1" x14ac:dyDescent="0.3"/>
    <row r="24562" s="160" customFormat="1" x14ac:dyDescent="0.3"/>
    <row r="24563" s="160" customFormat="1" x14ac:dyDescent="0.3"/>
    <row r="24564" s="160" customFormat="1" x14ac:dyDescent="0.3"/>
    <row r="24565" s="160" customFormat="1" x14ac:dyDescent="0.3"/>
    <row r="24566" s="160" customFormat="1" x14ac:dyDescent="0.3"/>
    <row r="24567" s="160" customFormat="1" x14ac:dyDescent="0.3"/>
    <row r="24568" s="160" customFormat="1" x14ac:dyDescent="0.3"/>
    <row r="24569" s="160" customFormat="1" x14ac:dyDescent="0.3"/>
    <row r="24570" s="160" customFormat="1" x14ac:dyDescent="0.3"/>
    <row r="24571" s="160" customFormat="1" x14ac:dyDescent="0.3"/>
    <row r="24572" s="160" customFormat="1" x14ac:dyDescent="0.3"/>
    <row r="24573" s="160" customFormat="1" x14ac:dyDescent="0.3"/>
    <row r="24574" s="160" customFormat="1" x14ac:dyDescent="0.3"/>
    <row r="24575" s="160" customFormat="1" x14ac:dyDescent="0.3"/>
    <row r="24576" s="160" customFormat="1" x14ac:dyDescent="0.3"/>
    <row r="24577" s="160" customFormat="1" x14ac:dyDescent="0.3"/>
    <row r="24578" s="160" customFormat="1" x14ac:dyDescent="0.3"/>
    <row r="24579" s="160" customFormat="1" x14ac:dyDescent="0.3"/>
    <row r="24580" s="160" customFormat="1" x14ac:dyDescent="0.3"/>
    <row r="24581" s="160" customFormat="1" x14ac:dyDescent="0.3"/>
    <row r="24582" s="160" customFormat="1" x14ac:dyDescent="0.3"/>
    <row r="24583" s="160" customFormat="1" x14ac:dyDescent="0.3"/>
    <row r="24584" s="160" customFormat="1" x14ac:dyDescent="0.3"/>
    <row r="24585" s="160" customFormat="1" x14ac:dyDescent="0.3"/>
    <row r="24586" s="160" customFormat="1" x14ac:dyDescent="0.3"/>
    <row r="24587" s="160" customFormat="1" x14ac:dyDescent="0.3"/>
    <row r="24588" s="160" customFormat="1" x14ac:dyDescent="0.3"/>
    <row r="24589" s="160" customFormat="1" x14ac:dyDescent="0.3"/>
    <row r="24590" s="160" customFormat="1" x14ac:dyDescent="0.3"/>
    <row r="24591" s="160" customFormat="1" x14ac:dyDescent="0.3"/>
    <row r="24592" s="160" customFormat="1" x14ac:dyDescent="0.3"/>
    <row r="24593" s="160" customFormat="1" x14ac:dyDescent="0.3"/>
    <row r="24594" s="160" customFormat="1" x14ac:dyDescent="0.3"/>
    <row r="24595" s="160" customFormat="1" x14ac:dyDescent="0.3"/>
    <row r="24596" s="160" customFormat="1" x14ac:dyDescent="0.3"/>
    <row r="24597" s="160" customFormat="1" x14ac:dyDescent="0.3"/>
    <row r="24598" s="160" customFormat="1" x14ac:dyDescent="0.3"/>
    <row r="24599" s="160" customFormat="1" x14ac:dyDescent="0.3"/>
    <row r="24600" s="160" customFormat="1" x14ac:dyDescent="0.3"/>
    <row r="24601" s="160" customFormat="1" x14ac:dyDescent="0.3"/>
    <row r="24602" s="160" customFormat="1" x14ac:dyDescent="0.3"/>
    <row r="24603" s="160" customFormat="1" x14ac:dyDescent="0.3"/>
    <row r="24604" s="160" customFormat="1" x14ac:dyDescent="0.3"/>
    <row r="24605" s="160" customFormat="1" x14ac:dyDescent="0.3"/>
    <row r="24606" s="160" customFormat="1" x14ac:dyDescent="0.3"/>
    <row r="24607" s="160" customFormat="1" x14ac:dyDescent="0.3"/>
    <row r="24608" s="160" customFormat="1" x14ac:dyDescent="0.3"/>
    <row r="24609" s="160" customFormat="1" x14ac:dyDescent="0.3"/>
    <row r="24610" s="160" customFormat="1" x14ac:dyDescent="0.3"/>
    <row r="24611" s="160" customFormat="1" x14ac:dyDescent="0.3"/>
    <row r="24612" s="160" customFormat="1" x14ac:dyDescent="0.3"/>
    <row r="24613" s="160" customFormat="1" x14ac:dyDescent="0.3"/>
    <row r="24614" s="160" customFormat="1" x14ac:dyDescent="0.3"/>
    <row r="24615" s="160" customFormat="1" x14ac:dyDescent="0.3"/>
    <row r="24616" s="160" customFormat="1" x14ac:dyDescent="0.3"/>
    <row r="24617" s="160" customFormat="1" x14ac:dyDescent="0.3"/>
    <row r="24618" s="160" customFormat="1" x14ac:dyDescent="0.3"/>
    <row r="24619" s="160" customFormat="1" x14ac:dyDescent="0.3"/>
    <row r="24620" s="160" customFormat="1" x14ac:dyDescent="0.3"/>
    <row r="24621" s="160" customFormat="1" x14ac:dyDescent="0.3"/>
    <row r="24622" s="160" customFormat="1" x14ac:dyDescent="0.3"/>
    <row r="24623" s="160" customFormat="1" x14ac:dyDescent="0.3"/>
    <row r="24624" s="160" customFormat="1" x14ac:dyDescent="0.3"/>
    <row r="24625" s="160" customFormat="1" x14ac:dyDescent="0.3"/>
    <row r="24626" s="160" customFormat="1" x14ac:dyDescent="0.3"/>
    <row r="24627" s="160" customFormat="1" x14ac:dyDescent="0.3"/>
    <row r="24628" s="160" customFormat="1" x14ac:dyDescent="0.3"/>
    <row r="24629" s="160" customFormat="1" x14ac:dyDescent="0.3"/>
    <row r="24630" s="160" customFormat="1" x14ac:dyDescent="0.3"/>
    <row r="24631" s="160" customFormat="1" x14ac:dyDescent="0.3"/>
    <row r="24632" s="160" customFormat="1" x14ac:dyDescent="0.3"/>
    <row r="24633" s="160" customFormat="1" x14ac:dyDescent="0.3"/>
    <row r="24634" s="160" customFormat="1" x14ac:dyDescent="0.3"/>
    <row r="24635" s="160" customFormat="1" x14ac:dyDescent="0.3"/>
    <row r="24636" s="160" customFormat="1" x14ac:dyDescent="0.3"/>
    <row r="24637" s="160" customFormat="1" x14ac:dyDescent="0.3"/>
    <row r="24638" s="160" customFormat="1" x14ac:dyDescent="0.3"/>
    <row r="24639" s="160" customFormat="1" x14ac:dyDescent="0.3"/>
    <row r="24640" s="160" customFormat="1" x14ac:dyDescent="0.3"/>
    <row r="24641" s="160" customFormat="1" x14ac:dyDescent="0.3"/>
    <row r="24642" s="160" customFormat="1" x14ac:dyDescent="0.3"/>
    <row r="24643" s="160" customFormat="1" x14ac:dyDescent="0.3"/>
    <row r="24644" s="160" customFormat="1" x14ac:dyDescent="0.3"/>
    <row r="24645" s="160" customFormat="1" x14ac:dyDescent="0.3"/>
    <row r="24646" s="160" customFormat="1" x14ac:dyDescent="0.3"/>
    <row r="24647" s="160" customFormat="1" x14ac:dyDescent="0.3"/>
    <row r="24648" s="160" customFormat="1" x14ac:dyDescent="0.3"/>
    <row r="24649" s="160" customFormat="1" x14ac:dyDescent="0.3"/>
    <row r="24650" s="160" customFormat="1" x14ac:dyDescent="0.3"/>
    <row r="24651" s="160" customFormat="1" x14ac:dyDescent="0.3"/>
    <row r="24652" s="160" customFormat="1" x14ac:dyDescent="0.3"/>
    <row r="24653" s="160" customFormat="1" x14ac:dyDescent="0.3"/>
    <row r="24654" s="160" customFormat="1" x14ac:dyDescent="0.3"/>
    <row r="24655" s="160" customFormat="1" x14ac:dyDescent="0.3"/>
    <row r="24656" s="160" customFormat="1" x14ac:dyDescent="0.3"/>
    <row r="24657" s="160" customFormat="1" x14ac:dyDescent="0.3"/>
    <row r="24658" s="160" customFormat="1" x14ac:dyDescent="0.3"/>
    <row r="24659" s="160" customFormat="1" x14ac:dyDescent="0.3"/>
    <row r="24660" s="160" customFormat="1" x14ac:dyDescent="0.3"/>
    <row r="24661" s="160" customFormat="1" x14ac:dyDescent="0.3"/>
    <row r="24662" s="160" customFormat="1" x14ac:dyDescent="0.3"/>
    <row r="24663" s="160" customFormat="1" x14ac:dyDescent="0.3"/>
    <row r="24664" s="160" customFormat="1" x14ac:dyDescent="0.3"/>
    <row r="24665" s="160" customFormat="1" x14ac:dyDescent="0.3"/>
    <row r="24666" s="160" customFormat="1" x14ac:dyDescent="0.3"/>
    <row r="24667" s="160" customFormat="1" x14ac:dyDescent="0.3"/>
    <row r="24668" s="160" customFormat="1" x14ac:dyDescent="0.3"/>
    <row r="24669" s="160" customFormat="1" x14ac:dyDescent="0.3"/>
    <row r="24670" s="160" customFormat="1" x14ac:dyDescent="0.3"/>
    <row r="24671" s="160" customFormat="1" x14ac:dyDescent="0.3"/>
    <row r="24672" s="160" customFormat="1" x14ac:dyDescent="0.3"/>
    <row r="24673" s="160" customFormat="1" x14ac:dyDescent="0.3"/>
    <row r="24674" s="160" customFormat="1" x14ac:dyDescent="0.3"/>
    <row r="24675" s="160" customFormat="1" x14ac:dyDescent="0.3"/>
    <row r="24676" s="160" customFormat="1" x14ac:dyDescent="0.3"/>
    <row r="24677" s="160" customFormat="1" x14ac:dyDescent="0.3"/>
    <row r="24678" s="160" customFormat="1" x14ac:dyDescent="0.3"/>
    <row r="24679" s="160" customFormat="1" x14ac:dyDescent="0.3"/>
    <row r="24680" s="160" customFormat="1" x14ac:dyDescent="0.3"/>
    <row r="24681" s="160" customFormat="1" x14ac:dyDescent="0.3"/>
    <row r="24682" s="160" customFormat="1" x14ac:dyDescent="0.3"/>
    <row r="24683" s="160" customFormat="1" x14ac:dyDescent="0.3"/>
    <row r="24684" s="160" customFormat="1" x14ac:dyDescent="0.3"/>
    <row r="24685" s="160" customFormat="1" x14ac:dyDescent="0.3"/>
    <row r="24686" s="160" customFormat="1" x14ac:dyDescent="0.3"/>
    <row r="24687" s="160" customFormat="1" x14ac:dyDescent="0.3"/>
    <row r="24688" s="160" customFormat="1" x14ac:dyDescent="0.3"/>
    <row r="24689" s="160" customFormat="1" x14ac:dyDescent="0.3"/>
    <row r="24690" s="160" customFormat="1" x14ac:dyDescent="0.3"/>
    <row r="24691" s="160" customFormat="1" x14ac:dyDescent="0.3"/>
    <row r="24692" s="160" customFormat="1" x14ac:dyDescent="0.3"/>
    <row r="24693" s="160" customFormat="1" x14ac:dyDescent="0.3"/>
    <row r="24694" s="160" customFormat="1" x14ac:dyDescent="0.3"/>
    <row r="24695" s="160" customFormat="1" x14ac:dyDescent="0.3"/>
    <row r="24696" s="160" customFormat="1" x14ac:dyDescent="0.3"/>
    <row r="24697" s="160" customFormat="1" x14ac:dyDescent="0.3"/>
    <row r="24698" s="160" customFormat="1" x14ac:dyDescent="0.3"/>
    <row r="24699" s="160" customFormat="1" x14ac:dyDescent="0.3"/>
    <row r="24700" s="160" customFormat="1" x14ac:dyDescent="0.3"/>
    <row r="24701" s="160" customFormat="1" x14ac:dyDescent="0.3"/>
    <row r="24702" s="160" customFormat="1" x14ac:dyDescent="0.3"/>
    <row r="24703" s="160" customFormat="1" x14ac:dyDescent="0.3"/>
    <row r="24704" s="160" customFormat="1" x14ac:dyDescent="0.3"/>
    <row r="24705" s="160" customFormat="1" x14ac:dyDescent="0.3"/>
    <row r="24706" s="160" customFormat="1" x14ac:dyDescent="0.3"/>
    <row r="24707" s="160" customFormat="1" x14ac:dyDescent="0.3"/>
    <row r="24708" s="160" customFormat="1" x14ac:dyDescent="0.3"/>
    <row r="24709" s="160" customFormat="1" x14ac:dyDescent="0.3"/>
    <row r="24710" s="160" customFormat="1" x14ac:dyDescent="0.3"/>
    <row r="24711" s="160" customFormat="1" x14ac:dyDescent="0.3"/>
    <row r="24712" s="160" customFormat="1" x14ac:dyDescent="0.3"/>
    <row r="24713" s="160" customFormat="1" x14ac:dyDescent="0.3"/>
    <row r="24714" s="160" customFormat="1" x14ac:dyDescent="0.3"/>
    <row r="24715" s="160" customFormat="1" x14ac:dyDescent="0.3"/>
    <row r="24716" s="160" customFormat="1" x14ac:dyDescent="0.3"/>
    <row r="24717" s="160" customFormat="1" x14ac:dyDescent="0.3"/>
    <row r="24718" s="160" customFormat="1" x14ac:dyDescent="0.3"/>
    <row r="24719" s="160" customFormat="1" x14ac:dyDescent="0.3"/>
    <row r="24720" s="160" customFormat="1" x14ac:dyDescent="0.3"/>
    <row r="24721" s="160" customFormat="1" x14ac:dyDescent="0.3"/>
    <row r="24722" s="160" customFormat="1" x14ac:dyDescent="0.3"/>
    <row r="24723" s="160" customFormat="1" x14ac:dyDescent="0.3"/>
    <row r="24724" s="160" customFormat="1" x14ac:dyDescent="0.3"/>
    <row r="24725" s="160" customFormat="1" x14ac:dyDescent="0.3"/>
    <row r="24726" s="160" customFormat="1" x14ac:dyDescent="0.3"/>
    <row r="24727" s="160" customFormat="1" x14ac:dyDescent="0.3"/>
    <row r="24728" s="160" customFormat="1" x14ac:dyDescent="0.3"/>
    <row r="24729" s="160" customFormat="1" x14ac:dyDescent="0.3"/>
    <row r="24730" s="160" customFormat="1" x14ac:dyDescent="0.3"/>
    <row r="24731" s="160" customFormat="1" x14ac:dyDescent="0.3"/>
    <row r="24732" s="160" customFormat="1" x14ac:dyDescent="0.3"/>
    <row r="24733" s="160" customFormat="1" x14ac:dyDescent="0.3"/>
    <row r="24734" s="160" customFormat="1" x14ac:dyDescent="0.3"/>
    <row r="24735" s="160" customFormat="1" x14ac:dyDescent="0.3"/>
    <row r="24736" s="160" customFormat="1" x14ac:dyDescent="0.3"/>
    <row r="24737" s="160" customFormat="1" x14ac:dyDescent="0.3"/>
    <row r="24738" s="160" customFormat="1" x14ac:dyDescent="0.3"/>
    <row r="24739" s="160" customFormat="1" x14ac:dyDescent="0.3"/>
    <row r="24740" s="160" customFormat="1" x14ac:dyDescent="0.3"/>
    <row r="24741" s="160" customFormat="1" x14ac:dyDescent="0.3"/>
    <row r="24742" s="160" customFormat="1" x14ac:dyDescent="0.3"/>
    <row r="24743" s="160" customFormat="1" x14ac:dyDescent="0.3"/>
    <row r="24744" s="160" customFormat="1" x14ac:dyDescent="0.3"/>
    <row r="24745" s="160" customFormat="1" x14ac:dyDescent="0.3"/>
    <row r="24746" s="160" customFormat="1" x14ac:dyDescent="0.3"/>
    <row r="24747" s="160" customFormat="1" x14ac:dyDescent="0.3"/>
    <row r="24748" s="160" customFormat="1" x14ac:dyDescent="0.3"/>
    <row r="24749" s="160" customFormat="1" x14ac:dyDescent="0.3"/>
    <row r="24750" s="160" customFormat="1" x14ac:dyDescent="0.3"/>
    <row r="24751" s="160" customFormat="1" x14ac:dyDescent="0.3"/>
    <row r="24752" s="160" customFormat="1" x14ac:dyDescent="0.3"/>
    <row r="24753" s="160" customFormat="1" x14ac:dyDescent="0.3"/>
    <row r="24754" s="160" customFormat="1" x14ac:dyDescent="0.3"/>
    <row r="24755" s="160" customFormat="1" x14ac:dyDescent="0.3"/>
    <row r="24756" s="160" customFormat="1" x14ac:dyDescent="0.3"/>
    <row r="24757" s="160" customFormat="1" x14ac:dyDescent="0.3"/>
    <row r="24758" s="160" customFormat="1" x14ac:dyDescent="0.3"/>
    <row r="24759" s="160" customFormat="1" x14ac:dyDescent="0.3"/>
    <row r="24760" s="160" customFormat="1" x14ac:dyDescent="0.3"/>
    <row r="24761" s="160" customFormat="1" x14ac:dyDescent="0.3"/>
    <row r="24762" s="160" customFormat="1" x14ac:dyDescent="0.3"/>
    <row r="24763" s="160" customFormat="1" x14ac:dyDescent="0.3"/>
    <row r="24764" s="160" customFormat="1" x14ac:dyDescent="0.3"/>
    <row r="24765" s="160" customFormat="1" x14ac:dyDescent="0.3"/>
    <row r="24766" s="160" customFormat="1" x14ac:dyDescent="0.3"/>
    <row r="24767" s="160" customFormat="1" x14ac:dyDescent="0.3"/>
    <row r="24768" s="160" customFormat="1" x14ac:dyDescent="0.3"/>
    <row r="24769" s="160" customFormat="1" x14ac:dyDescent="0.3"/>
    <row r="24770" s="160" customFormat="1" x14ac:dyDescent="0.3"/>
    <row r="24771" s="160" customFormat="1" x14ac:dyDescent="0.3"/>
    <row r="24772" s="160" customFormat="1" x14ac:dyDescent="0.3"/>
    <row r="24773" s="160" customFormat="1" x14ac:dyDescent="0.3"/>
    <row r="24774" s="160" customFormat="1" x14ac:dyDescent="0.3"/>
    <row r="24775" s="160" customFormat="1" x14ac:dyDescent="0.3"/>
    <row r="24776" s="160" customFormat="1" x14ac:dyDescent="0.3"/>
    <row r="24777" s="160" customFormat="1" x14ac:dyDescent="0.3"/>
    <row r="24778" s="160" customFormat="1" x14ac:dyDescent="0.3"/>
    <row r="24779" s="160" customFormat="1" x14ac:dyDescent="0.3"/>
    <row r="24780" s="160" customFormat="1" x14ac:dyDescent="0.3"/>
    <row r="24781" s="160" customFormat="1" x14ac:dyDescent="0.3"/>
    <row r="24782" s="160" customFormat="1" x14ac:dyDescent="0.3"/>
    <row r="24783" s="160" customFormat="1" x14ac:dyDescent="0.3"/>
    <row r="24784" s="160" customFormat="1" x14ac:dyDescent="0.3"/>
    <row r="24785" s="160" customFormat="1" x14ac:dyDescent="0.3"/>
    <row r="24786" s="160" customFormat="1" x14ac:dyDescent="0.3"/>
    <row r="24787" s="160" customFormat="1" x14ac:dyDescent="0.3"/>
    <row r="24788" s="160" customFormat="1" x14ac:dyDescent="0.3"/>
    <row r="24789" s="160" customFormat="1" x14ac:dyDescent="0.3"/>
    <row r="24790" s="160" customFormat="1" x14ac:dyDescent="0.3"/>
    <row r="24791" s="160" customFormat="1" x14ac:dyDescent="0.3"/>
    <row r="24792" s="160" customFormat="1" x14ac:dyDescent="0.3"/>
    <row r="24793" s="160" customFormat="1" x14ac:dyDescent="0.3"/>
    <row r="24794" s="160" customFormat="1" x14ac:dyDescent="0.3"/>
    <row r="24795" s="160" customFormat="1" x14ac:dyDescent="0.3"/>
    <row r="24796" s="160" customFormat="1" x14ac:dyDescent="0.3"/>
    <row r="24797" s="160" customFormat="1" x14ac:dyDescent="0.3"/>
    <row r="24798" s="160" customFormat="1" x14ac:dyDescent="0.3"/>
    <row r="24799" s="160" customFormat="1" x14ac:dyDescent="0.3"/>
    <row r="24800" s="160" customFormat="1" x14ac:dyDescent="0.3"/>
    <row r="24801" s="160" customFormat="1" x14ac:dyDescent="0.3"/>
    <row r="24802" s="160" customFormat="1" x14ac:dyDescent="0.3"/>
    <row r="24803" s="160" customFormat="1" x14ac:dyDescent="0.3"/>
    <row r="24804" s="160" customFormat="1" x14ac:dyDescent="0.3"/>
    <row r="24805" s="160" customFormat="1" x14ac:dyDescent="0.3"/>
    <row r="24806" s="160" customFormat="1" x14ac:dyDescent="0.3"/>
    <row r="24807" s="160" customFormat="1" x14ac:dyDescent="0.3"/>
    <row r="24808" s="160" customFormat="1" x14ac:dyDescent="0.3"/>
    <row r="24809" s="160" customFormat="1" x14ac:dyDescent="0.3"/>
    <row r="24810" s="160" customFormat="1" x14ac:dyDescent="0.3"/>
    <row r="24811" s="160" customFormat="1" x14ac:dyDescent="0.3"/>
    <row r="24812" s="160" customFormat="1" x14ac:dyDescent="0.3"/>
    <row r="24813" s="160" customFormat="1" x14ac:dyDescent="0.3"/>
    <row r="24814" s="160" customFormat="1" x14ac:dyDescent="0.3"/>
    <row r="24815" s="160" customFormat="1" x14ac:dyDescent="0.3"/>
    <row r="24816" s="160" customFormat="1" x14ac:dyDescent="0.3"/>
    <row r="24817" s="160" customFormat="1" x14ac:dyDescent="0.3"/>
    <row r="24818" s="160" customFormat="1" x14ac:dyDescent="0.3"/>
    <row r="24819" s="160" customFormat="1" x14ac:dyDescent="0.3"/>
    <row r="24820" s="160" customFormat="1" x14ac:dyDescent="0.3"/>
    <row r="24821" s="160" customFormat="1" x14ac:dyDescent="0.3"/>
    <row r="24822" s="160" customFormat="1" x14ac:dyDescent="0.3"/>
    <row r="24823" s="160" customFormat="1" x14ac:dyDescent="0.3"/>
    <row r="24824" s="160" customFormat="1" x14ac:dyDescent="0.3"/>
    <row r="24825" s="160" customFormat="1" x14ac:dyDescent="0.3"/>
    <row r="24826" s="160" customFormat="1" x14ac:dyDescent="0.3"/>
    <row r="24827" s="160" customFormat="1" x14ac:dyDescent="0.3"/>
    <row r="24828" s="160" customFormat="1" x14ac:dyDescent="0.3"/>
    <row r="24829" s="160" customFormat="1" x14ac:dyDescent="0.3"/>
    <row r="24830" s="160" customFormat="1" x14ac:dyDescent="0.3"/>
    <row r="24831" s="160" customFormat="1" x14ac:dyDescent="0.3"/>
    <row r="24832" s="160" customFormat="1" x14ac:dyDescent="0.3"/>
    <row r="24833" s="160" customFormat="1" x14ac:dyDescent="0.3"/>
    <row r="24834" s="160" customFormat="1" x14ac:dyDescent="0.3"/>
    <row r="24835" s="160" customFormat="1" x14ac:dyDescent="0.3"/>
    <row r="24836" s="160" customFormat="1" x14ac:dyDescent="0.3"/>
    <row r="24837" s="160" customFormat="1" x14ac:dyDescent="0.3"/>
    <row r="24838" s="160" customFormat="1" x14ac:dyDescent="0.3"/>
    <row r="24839" s="160" customFormat="1" x14ac:dyDescent="0.3"/>
    <row r="24840" s="160" customFormat="1" x14ac:dyDescent="0.3"/>
    <row r="24841" s="160" customFormat="1" x14ac:dyDescent="0.3"/>
    <row r="24842" s="160" customFormat="1" x14ac:dyDescent="0.3"/>
    <row r="24843" s="160" customFormat="1" x14ac:dyDescent="0.3"/>
    <row r="24844" s="160" customFormat="1" x14ac:dyDescent="0.3"/>
    <row r="24845" s="160" customFormat="1" x14ac:dyDescent="0.3"/>
    <row r="24846" s="160" customFormat="1" x14ac:dyDescent="0.3"/>
    <row r="24847" s="160" customFormat="1" x14ac:dyDescent="0.3"/>
    <row r="24848" s="160" customFormat="1" x14ac:dyDescent="0.3"/>
    <row r="24849" s="160" customFormat="1" x14ac:dyDescent="0.3"/>
    <row r="24850" s="160" customFormat="1" x14ac:dyDescent="0.3"/>
    <row r="24851" s="160" customFormat="1" x14ac:dyDescent="0.3"/>
    <row r="24852" s="160" customFormat="1" x14ac:dyDescent="0.3"/>
    <row r="24853" s="160" customFormat="1" x14ac:dyDescent="0.3"/>
    <row r="24854" s="160" customFormat="1" x14ac:dyDescent="0.3"/>
    <row r="24855" s="160" customFormat="1" x14ac:dyDescent="0.3"/>
    <row r="24856" s="160" customFormat="1" x14ac:dyDescent="0.3"/>
    <row r="24857" s="160" customFormat="1" x14ac:dyDescent="0.3"/>
    <row r="24858" s="160" customFormat="1" x14ac:dyDescent="0.3"/>
    <row r="24859" s="160" customFormat="1" x14ac:dyDescent="0.3"/>
    <row r="24860" s="160" customFormat="1" x14ac:dyDescent="0.3"/>
    <row r="24861" s="160" customFormat="1" x14ac:dyDescent="0.3"/>
    <row r="24862" s="160" customFormat="1" x14ac:dyDescent="0.3"/>
    <row r="24863" s="160" customFormat="1" x14ac:dyDescent="0.3"/>
    <row r="24864" s="160" customFormat="1" x14ac:dyDescent="0.3"/>
    <row r="24865" s="160" customFormat="1" x14ac:dyDescent="0.3"/>
    <row r="24866" s="160" customFormat="1" x14ac:dyDescent="0.3"/>
    <row r="24867" s="160" customFormat="1" x14ac:dyDescent="0.3"/>
    <row r="24868" s="160" customFormat="1" x14ac:dyDescent="0.3"/>
    <row r="24869" s="160" customFormat="1" x14ac:dyDescent="0.3"/>
    <row r="24870" s="160" customFormat="1" x14ac:dyDescent="0.3"/>
    <row r="24871" s="160" customFormat="1" x14ac:dyDescent="0.3"/>
    <row r="24872" s="160" customFormat="1" x14ac:dyDescent="0.3"/>
    <row r="24873" s="160" customFormat="1" x14ac:dyDescent="0.3"/>
    <row r="24874" s="160" customFormat="1" x14ac:dyDescent="0.3"/>
    <row r="24875" s="160" customFormat="1" x14ac:dyDescent="0.3"/>
    <row r="24876" s="160" customFormat="1" x14ac:dyDescent="0.3"/>
    <row r="24877" s="160" customFormat="1" x14ac:dyDescent="0.3"/>
    <row r="24878" s="160" customFormat="1" x14ac:dyDescent="0.3"/>
    <row r="24879" s="160" customFormat="1" x14ac:dyDescent="0.3"/>
    <row r="24880" s="160" customFormat="1" x14ac:dyDescent="0.3"/>
    <row r="24881" s="160" customFormat="1" x14ac:dyDescent="0.3"/>
    <row r="24882" s="160" customFormat="1" x14ac:dyDescent="0.3"/>
    <row r="24883" s="160" customFormat="1" x14ac:dyDescent="0.3"/>
    <row r="24884" s="160" customFormat="1" x14ac:dyDescent="0.3"/>
    <row r="24885" s="160" customFormat="1" x14ac:dyDescent="0.3"/>
    <row r="24886" s="160" customFormat="1" x14ac:dyDescent="0.3"/>
    <row r="24887" s="160" customFormat="1" x14ac:dyDescent="0.3"/>
    <row r="24888" s="160" customFormat="1" x14ac:dyDescent="0.3"/>
    <row r="24889" s="160" customFormat="1" x14ac:dyDescent="0.3"/>
    <row r="24890" s="160" customFormat="1" x14ac:dyDescent="0.3"/>
    <row r="24891" s="160" customFormat="1" x14ac:dyDescent="0.3"/>
    <row r="24892" s="160" customFormat="1" x14ac:dyDescent="0.3"/>
    <row r="24893" s="160" customFormat="1" x14ac:dyDescent="0.3"/>
    <row r="24894" s="160" customFormat="1" x14ac:dyDescent="0.3"/>
    <row r="24895" s="160" customFormat="1" x14ac:dyDescent="0.3"/>
    <row r="24896" s="160" customFormat="1" x14ac:dyDescent="0.3"/>
    <row r="24897" s="160" customFormat="1" x14ac:dyDescent="0.3"/>
    <row r="24898" s="160" customFormat="1" x14ac:dyDescent="0.3"/>
    <row r="24899" s="160" customFormat="1" x14ac:dyDescent="0.3"/>
    <row r="24900" s="160" customFormat="1" x14ac:dyDescent="0.3"/>
    <row r="24901" s="160" customFormat="1" x14ac:dyDescent="0.3"/>
    <row r="24902" s="160" customFormat="1" x14ac:dyDescent="0.3"/>
    <row r="24903" s="160" customFormat="1" x14ac:dyDescent="0.3"/>
    <row r="24904" s="160" customFormat="1" x14ac:dyDescent="0.3"/>
    <row r="24905" s="160" customFormat="1" x14ac:dyDescent="0.3"/>
    <row r="24906" s="160" customFormat="1" x14ac:dyDescent="0.3"/>
    <row r="24907" s="160" customFormat="1" x14ac:dyDescent="0.3"/>
    <row r="24908" s="160" customFormat="1" x14ac:dyDescent="0.3"/>
    <row r="24909" s="160" customFormat="1" x14ac:dyDescent="0.3"/>
    <row r="24910" s="160" customFormat="1" x14ac:dyDescent="0.3"/>
    <row r="24911" s="160" customFormat="1" x14ac:dyDescent="0.3"/>
    <row r="24912" s="160" customFormat="1" x14ac:dyDescent="0.3"/>
    <row r="24913" s="160" customFormat="1" x14ac:dyDescent="0.3"/>
    <row r="24914" s="160" customFormat="1" x14ac:dyDescent="0.3"/>
    <row r="24915" s="160" customFormat="1" x14ac:dyDescent="0.3"/>
    <row r="24916" s="160" customFormat="1" x14ac:dyDescent="0.3"/>
    <row r="24917" s="160" customFormat="1" x14ac:dyDescent="0.3"/>
    <row r="24918" s="160" customFormat="1" x14ac:dyDescent="0.3"/>
    <row r="24919" s="160" customFormat="1" x14ac:dyDescent="0.3"/>
    <row r="24920" s="160" customFormat="1" x14ac:dyDescent="0.3"/>
    <row r="24921" s="160" customFormat="1" x14ac:dyDescent="0.3"/>
    <row r="24922" s="160" customFormat="1" x14ac:dyDescent="0.3"/>
    <row r="24923" s="160" customFormat="1" x14ac:dyDescent="0.3"/>
    <row r="24924" s="160" customFormat="1" x14ac:dyDescent="0.3"/>
    <row r="24925" s="160" customFormat="1" x14ac:dyDescent="0.3"/>
    <row r="24926" s="160" customFormat="1" x14ac:dyDescent="0.3"/>
    <row r="24927" s="160" customFormat="1" x14ac:dyDescent="0.3"/>
    <row r="24928" s="160" customFormat="1" x14ac:dyDescent="0.3"/>
    <row r="24929" s="160" customFormat="1" x14ac:dyDescent="0.3"/>
    <row r="24930" s="160" customFormat="1" x14ac:dyDescent="0.3"/>
    <row r="24931" s="160" customFormat="1" x14ac:dyDescent="0.3"/>
    <row r="24932" s="160" customFormat="1" x14ac:dyDescent="0.3"/>
    <row r="24933" s="160" customFormat="1" x14ac:dyDescent="0.3"/>
    <row r="24934" s="160" customFormat="1" x14ac:dyDescent="0.3"/>
    <row r="24935" s="160" customFormat="1" x14ac:dyDescent="0.3"/>
    <row r="24936" s="160" customFormat="1" x14ac:dyDescent="0.3"/>
    <row r="24937" s="160" customFormat="1" x14ac:dyDescent="0.3"/>
    <row r="24938" s="160" customFormat="1" x14ac:dyDescent="0.3"/>
    <row r="24939" s="160" customFormat="1" x14ac:dyDescent="0.3"/>
    <row r="24940" s="160" customFormat="1" x14ac:dyDescent="0.3"/>
    <row r="24941" s="160" customFormat="1" x14ac:dyDescent="0.3"/>
    <row r="24942" s="160" customFormat="1" x14ac:dyDescent="0.3"/>
    <row r="24943" s="160" customFormat="1" x14ac:dyDescent="0.3"/>
    <row r="24944" s="160" customFormat="1" x14ac:dyDescent="0.3"/>
    <row r="24945" s="160" customFormat="1" x14ac:dyDescent="0.3"/>
    <row r="24946" s="160" customFormat="1" x14ac:dyDescent="0.3"/>
    <row r="24947" s="160" customFormat="1" x14ac:dyDescent="0.3"/>
    <row r="24948" s="160" customFormat="1" x14ac:dyDescent="0.3"/>
    <row r="24949" s="160" customFormat="1" x14ac:dyDescent="0.3"/>
    <row r="24950" s="160" customFormat="1" x14ac:dyDescent="0.3"/>
    <row r="24951" s="160" customFormat="1" x14ac:dyDescent="0.3"/>
    <row r="24952" s="160" customFormat="1" x14ac:dyDescent="0.3"/>
    <row r="24953" s="160" customFormat="1" x14ac:dyDescent="0.3"/>
    <row r="24954" s="160" customFormat="1" x14ac:dyDescent="0.3"/>
    <row r="24955" s="160" customFormat="1" x14ac:dyDescent="0.3"/>
    <row r="24956" s="160" customFormat="1" x14ac:dyDescent="0.3"/>
    <row r="24957" s="160" customFormat="1" x14ac:dyDescent="0.3"/>
    <row r="24958" s="160" customFormat="1" x14ac:dyDescent="0.3"/>
    <row r="24959" s="160" customFormat="1" x14ac:dyDescent="0.3"/>
    <row r="24960" s="160" customFormat="1" x14ac:dyDescent="0.3"/>
    <row r="24961" s="160" customFormat="1" x14ac:dyDescent="0.3"/>
    <row r="24962" s="160" customFormat="1" x14ac:dyDescent="0.3"/>
    <row r="24963" s="160" customFormat="1" x14ac:dyDescent="0.3"/>
    <row r="24964" s="160" customFormat="1" x14ac:dyDescent="0.3"/>
    <row r="24965" s="160" customFormat="1" x14ac:dyDescent="0.3"/>
    <row r="24966" s="160" customFormat="1" x14ac:dyDescent="0.3"/>
    <row r="24967" s="160" customFormat="1" x14ac:dyDescent="0.3"/>
    <row r="24968" s="160" customFormat="1" x14ac:dyDescent="0.3"/>
    <row r="24969" s="160" customFormat="1" x14ac:dyDescent="0.3"/>
    <row r="24970" s="160" customFormat="1" x14ac:dyDescent="0.3"/>
    <row r="24971" s="160" customFormat="1" x14ac:dyDescent="0.3"/>
    <row r="24972" s="160" customFormat="1" x14ac:dyDescent="0.3"/>
    <row r="24973" s="160" customFormat="1" x14ac:dyDescent="0.3"/>
    <row r="24974" s="160" customFormat="1" x14ac:dyDescent="0.3"/>
    <row r="24975" s="160" customFormat="1" x14ac:dyDescent="0.3"/>
    <row r="24976" s="160" customFormat="1" x14ac:dyDescent="0.3"/>
    <row r="24977" s="160" customFormat="1" x14ac:dyDescent="0.3"/>
    <row r="24978" s="160" customFormat="1" x14ac:dyDescent="0.3"/>
    <row r="24979" s="160" customFormat="1" x14ac:dyDescent="0.3"/>
    <row r="24980" s="160" customFormat="1" x14ac:dyDescent="0.3"/>
    <row r="24981" s="160" customFormat="1" x14ac:dyDescent="0.3"/>
    <row r="24982" s="160" customFormat="1" x14ac:dyDescent="0.3"/>
    <row r="24983" s="160" customFormat="1" x14ac:dyDescent="0.3"/>
    <row r="24984" s="160" customFormat="1" x14ac:dyDescent="0.3"/>
    <row r="24985" s="160" customFormat="1" x14ac:dyDescent="0.3"/>
    <row r="24986" s="160" customFormat="1" x14ac:dyDescent="0.3"/>
    <row r="24987" s="160" customFormat="1" x14ac:dyDescent="0.3"/>
    <row r="24988" s="160" customFormat="1" x14ac:dyDescent="0.3"/>
    <row r="24989" s="160" customFormat="1" x14ac:dyDescent="0.3"/>
    <row r="24990" s="160" customFormat="1" x14ac:dyDescent="0.3"/>
    <row r="24991" s="160" customFormat="1" x14ac:dyDescent="0.3"/>
    <row r="24992" s="160" customFormat="1" x14ac:dyDescent="0.3"/>
    <row r="24993" s="160" customFormat="1" x14ac:dyDescent="0.3"/>
    <row r="24994" s="160" customFormat="1" x14ac:dyDescent="0.3"/>
    <row r="24995" s="160" customFormat="1" x14ac:dyDescent="0.3"/>
    <row r="24996" s="160" customFormat="1" x14ac:dyDescent="0.3"/>
    <row r="24997" s="160" customFormat="1" x14ac:dyDescent="0.3"/>
    <row r="24998" s="160" customFormat="1" x14ac:dyDescent="0.3"/>
    <row r="24999" s="160" customFormat="1" x14ac:dyDescent="0.3"/>
    <row r="25000" s="160" customFormat="1" x14ac:dyDescent="0.3"/>
    <row r="25001" s="160" customFormat="1" x14ac:dyDescent="0.3"/>
    <row r="25002" s="160" customFormat="1" x14ac:dyDescent="0.3"/>
    <row r="25003" s="160" customFormat="1" x14ac:dyDescent="0.3"/>
    <row r="25004" s="160" customFormat="1" x14ac:dyDescent="0.3"/>
    <row r="25005" s="160" customFormat="1" x14ac:dyDescent="0.3"/>
    <row r="25006" s="160" customFormat="1" x14ac:dyDescent="0.3"/>
    <row r="25007" s="160" customFormat="1" x14ac:dyDescent="0.3"/>
    <row r="25008" s="160" customFormat="1" x14ac:dyDescent="0.3"/>
    <row r="25009" s="160" customFormat="1" x14ac:dyDescent="0.3"/>
    <row r="25010" s="160" customFormat="1" x14ac:dyDescent="0.3"/>
    <row r="25011" s="160" customFormat="1" x14ac:dyDescent="0.3"/>
    <row r="25012" s="160" customFormat="1" x14ac:dyDescent="0.3"/>
    <row r="25013" s="160" customFormat="1" x14ac:dyDescent="0.3"/>
    <row r="25014" s="160" customFormat="1" x14ac:dyDescent="0.3"/>
    <row r="25015" s="160" customFormat="1" x14ac:dyDescent="0.3"/>
    <row r="25016" s="160" customFormat="1" x14ac:dyDescent="0.3"/>
    <row r="25017" s="160" customFormat="1" x14ac:dyDescent="0.3"/>
    <row r="25018" s="160" customFormat="1" x14ac:dyDescent="0.3"/>
    <row r="25019" s="160" customFormat="1" x14ac:dyDescent="0.3"/>
    <row r="25020" s="160" customFormat="1" x14ac:dyDescent="0.3"/>
    <row r="25021" s="160" customFormat="1" x14ac:dyDescent="0.3"/>
    <row r="25022" s="160" customFormat="1" x14ac:dyDescent="0.3"/>
    <row r="25023" s="160" customFormat="1" x14ac:dyDescent="0.3"/>
    <row r="25024" s="160" customFormat="1" x14ac:dyDescent="0.3"/>
    <row r="25025" s="160" customFormat="1" x14ac:dyDescent="0.3"/>
    <row r="25026" s="160" customFormat="1" x14ac:dyDescent="0.3"/>
    <row r="25027" s="160" customFormat="1" x14ac:dyDescent="0.3"/>
    <row r="25028" s="160" customFormat="1" x14ac:dyDescent="0.3"/>
    <row r="25029" s="160" customFormat="1" x14ac:dyDescent="0.3"/>
    <row r="25030" s="160" customFormat="1" x14ac:dyDescent="0.3"/>
    <row r="25031" s="160" customFormat="1" x14ac:dyDescent="0.3"/>
    <row r="25032" s="160" customFormat="1" x14ac:dyDescent="0.3"/>
    <row r="25033" s="160" customFormat="1" x14ac:dyDescent="0.3"/>
    <row r="25034" s="160" customFormat="1" x14ac:dyDescent="0.3"/>
    <row r="25035" s="160" customFormat="1" x14ac:dyDescent="0.3"/>
    <row r="25036" s="160" customFormat="1" x14ac:dyDescent="0.3"/>
    <row r="25037" s="160" customFormat="1" x14ac:dyDescent="0.3"/>
    <row r="25038" s="160" customFormat="1" x14ac:dyDescent="0.3"/>
    <row r="25039" s="160" customFormat="1" x14ac:dyDescent="0.3"/>
    <row r="25040" s="160" customFormat="1" x14ac:dyDescent="0.3"/>
    <row r="25041" s="160" customFormat="1" x14ac:dyDescent="0.3"/>
    <row r="25042" s="160" customFormat="1" x14ac:dyDescent="0.3"/>
    <row r="25043" s="160" customFormat="1" x14ac:dyDescent="0.3"/>
    <row r="25044" s="160" customFormat="1" x14ac:dyDescent="0.3"/>
    <row r="25045" s="160" customFormat="1" x14ac:dyDescent="0.3"/>
    <row r="25046" s="160" customFormat="1" x14ac:dyDescent="0.3"/>
    <row r="25047" s="160" customFormat="1" x14ac:dyDescent="0.3"/>
    <row r="25048" s="160" customFormat="1" x14ac:dyDescent="0.3"/>
    <row r="25049" s="160" customFormat="1" x14ac:dyDescent="0.3"/>
    <row r="25050" s="160" customFormat="1" x14ac:dyDescent="0.3"/>
    <row r="25051" s="160" customFormat="1" x14ac:dyDescent="0.3"/>
    <row r="25052" s="160" customFormat="1" x14ac:dyDescent="0.3"/>
    <row r="25053" s="160" customFormat="1" x14ac:dyDescent="0.3"/>
    <row r="25054" s="160" customFormat="1" x14ac:dyDescent="0.3"/>
    <row r="25055" s="160" customFormat="1" x14ac:dyDescent="0.3"/>
    <row r="25056" s="160" customFormat="1" x14ac:dyDescent="0.3"/>
    <row r="25057" s="160" customFormat="1" x14ac:dyDescent="0.3"/>
    <row r="25058" s="160" customFormat="1" x14ac:dyDescent="0.3"/>
    <row r="25059" s="160" customFormat="1" x14ac:dyDescent="0.3"/>
    <row r="25060" s="160" customFormat="1" x14ac:dyDescent="0.3"/>
    <row r="25061" s="160" customFormat="1" x14ac:dyDescent="0.3"/>
    <row r="25062" s="160" customFormat="1" x14ac:dyDescent="0.3"/>
    <row r="25063" s="160" customFormat="1" x14ac:dyDescent="0.3"/>
    <row r="25064" s="160" customFormat="1" x14ac:dyDescent="0.3"/>
    <row r="25065" s="160" customFormat="1" x14ac:dyDescent="0.3"/>
    <row r="25066" s="160" customFormat="1" x14ac:dyDescent="0.3"/>
    <row r="25067" s="160" customFormat="1" x14ac:dyDescent="0.3"/>
    <row r="25068" s="160" customFormat="1" x14ac:dyDescent="0.3"/>
    <row r="25069" s="160" customFormat="1" x14ac:dyDescent="0.3"/>
    <row r="25070" s="160" customFormat="1" x14ac:dyDescent="0.3"/>
    <row r="25071" s="160" customFormat="1" x14ac:dyDescent="0.3"/>
    <row r="25072" s="160" customFormat="1" x14ac:dyDescent="0.3"/>
    <row r="25073" s="160" customFormat="1" x14ac:dyDescent="0.3"/>
    <row r="25074" s="160" customFormat="1" x14ac:dyDescent="0.3"/>
    <row r="25075" s="160" customFormat="1" x14ac:dyDescent="0.3"/>
    <row r="25076" s="160" customFormat="1" x14ac:dyDescent="0.3"/>
    <row r="25077" s="160" customFormat="1" x14ac:dyDescent="0.3"/>
    <row r="25078" s="160" customFormat="1" x14ac:dyDescent="0.3"/>
    <row r="25079" s="160" customFormat="1" x14ac:dyDescent="0.3"/>
    <row r="25080" s="160" customFormat="1" x14ac:dyDescent="0.3"/>
    <row r="25081" s="160" customFormat="1" x14ac:dyDescent="0.3"/>
    <row r="25082" s="160" customFormat="1" x14ac:dyDescent="0.3"/>
    <row r="25083" s="160" customFormat="1" x14ac:dyDescent="0.3"/>
    <row r="25084" s="160" customFormat="1" x14ac:dyDescent="0.3"/>
    <row r="25085" s="160" customFormat="1" x14ac:dyDescent="0.3"/>
    <row r="25086" s="160" customFormat="1" x14ac:dyDescent="0.3"/>
    <row r="25087" s="160" customFormat="1" x14ac:dyDescent="0.3"/>
    <row r="25088" s="160" customFormat="1" x14ac:dyDescent="0.3"/>
    <row r="25089" s="160" customFormat="1" x14ac:dyDescent="0.3"/>
    <row r="25090" s="160" customFormat="1" x14ac:dyDescent="0.3"/>
    <row r="25091" s="160" customFormat="1" x14ac:dyDescent="0.3"/>
    <row r="25092" s="160" customFormat="1" x14ac:dyDescent="0.3"/>
    <row r="25093" s="160" customFormat="1" x14ac:dyDescent="0.3"/>
    <row r="25094" s="160" customFormat="1" x14ac:dyDescent="0.3"/>
    <row r="25095" s="160" customFormat="1" x14ac:dyDescent="0.3"/>
    <row r="25096" s="160" customFormat="1" x14ac:dyDescent="0.3"/>
    <row r="25097" s="160" customFormat="1" x14ac:dyDescent="0.3"/>
    <row r="25098" s="160" customFormat="1" x14ac:dyDescent="0.3"/>
    <row r="25099" s="160" customFormat="1" x14ac:dyDescent="0.3"/>
    <row r="25100" s="160" customFormat="1" x14ac:dyDescent="0.3"/>
    <row r="25101" s="160" customFormat="1" x14ac:dyDescent="0.3"/>
    <row r="25102" s="160" customFormat="1" x14ac:dyDescent="0.3"/>
    <row r="25103" s="160" customFormat="1" x14ac:dyDescent="0.3"/>
    <row r="25104" s="160" customFormat="1" x14ac:dyDescent="0.3"/>
    <row r="25105" s="160" customFormat="1" x14ac:dyDescent="0.3"/>
    <row r="25106" s="160" customFormat="1" x14ac:dyDescent="0.3"/>
    <row r="25107" s="160" customFormat="1" x14ac:dyDescent="0.3"/>
    <row r="25108" s="160" customFormat="1" x14ac:dyDescent="0.3"/>
    <row r="25109" s="160" customFormat="1" x14ac:dyDescent="0.3"/>
    <row r="25110" s="160" customFormat="1" x14ac:dyDescent="0.3"/>
    <row r="25111" s="160" customFormat="1" x14ac:dyDescent="0.3"/>
    <row r="25112" s="160" customFormat="1" x14ac:dyDescent="0.3"/>
    <row r="25113" s="160" customFormat="1" x14ac:dyDescent="0.3"/>
    <row r="25114" s="160" customFormat="1" x14ac:dyDescent="0.3"/>
    <row r="25115" s="160" customFormat="1" x14ac:dyDescent="0.3"/>
    <row r="25116" s="160" customFormat="1" x14ac:dyDescent="0.3"/>
    <row r="25117" s="160" customFormat="1" x14ac:dyDescent="0.3"/>
    <row r="25118" s="160" customFormat="1" x14ac:dyDescent="0.3"/>
    <row r="25119" s="160" customFormat="1" x14ac:dyDescent="0.3"/>
    <row r="25120" s="160" customFormat="1" x14ac:dyDescent="0.3"/>
    <row r="25121" s="160" customFormat="1" x14ac:dyDescent="0.3"/>
    <row r="25122" s="160" customFormat="1" x14ac:dyDescent="0.3"/>
    <row r="25123" s="160" customFormat="1" x14ac:dyDescent="0.3"/>
    <row r="25124" s="160" customFormat="1" x14ac:dyDescent="0.3"/>
    <row r="25125" s="160" customFormat="1" x14ac:dyDescent="0.3"/>
    <row r="25126" s="160" customFormat="1" x14ac:dyDescent="0.3"/>
    <row r="25127" s="160" customFormat="1" x14ac:dyDescent="0.3"/>
    <row r="25128" s="160" customFormat="1" x14ac:dyDescent="0.3"/>
    <row r="25129" s="160" customFormat="1" x14ac:dyDescent="0.3"/>
    <row r="25130" s="160" customFormat="1" x14ac:dyDescent="0.3"/>
    <row r="25131" s="160" customFormat="1" x14ac:dyDescent="0.3"/>
    <row r="25132" s="160" customFormat="1" x14ac:dyDescent="0.3"/>
    <row r="25133" s="160" customFormat="1" x14ac:dyDescent="0.3"/>
    <row r="25134" s="160" customFormat="1" x14ac:dyDescent="0.3"/>
    <row r="25135" s="160" customFormat="1" x14ac:dyDescent="0.3"/>
    <row r="25136" s="160" customFormat="1" x14ac:dyDescent="0.3"/>
    <row r="25137" s="160" customFormat="1" x14ac:dyDescent="0.3"/>
    <row r="25138" s="160" customFormat="1" x14ac:dyDescent="0.3"/>
    <row r="25139" s="160" customFormat="1" x14ac:dyDescent="0.3"/>
    <row r="25140" s="160" customFormat="1" x14ac:dyDescent="0.3"/>
    <row r="25141" s="160" customFormat="1" x14ac:dyDescent="0.3"/>
    <row r="25142" s="160" customFormat="1" x14ac:dyDescent="0.3"/>
    <row r="25143" s="160" customFormat="1" x14ac:dyDescent="0.3"/>
    <row r="25144" s="160" customFormat="1" x14ac:dyDescent="0.3"/>
    <row r="25145" s="160" customFormat="1" x14ac:dyDescent="0.3"/>
    <row r="25146" s="160" customFormat="1" x14ac:dyDescent="0.3"/>
    <row r="25147" s="160" customFormat="1" x14ac:dyDescent="0.3"/>
    <row r="25148" s="160" customFormat="1" x14ac:dyDescent="0.3"/>
    <row r="25149" s="160" customFormat="1" x14ac:dyDescent="0.3"/>
    <row r="25150" s="160" customFormat="1" x14ac:dyDescent="0.3"/>
    <row r="25151" s="160" customFormat="1" x14ac:dyDescent="0.3"/>
    <row r="25152" s="160" customFormat="1" x14ac:dyDescent="0.3"/>
    <row r="25153" s="160" customFormat="1" x14ac:dyDescent="0.3"/>
    <row r="25154" s="160" customFormat="1" x14ac:dyDescent="0.3"/>
    <row r="25155" s="160" customFormat="1" x14ac:dyDescent="0.3"/>
    <row r="25156" s="160" customFormat="1" x14ac:dyDescent="0.3"/>
    <row r="25157" s="160" customFormat="1" x14ac:dyDescent="0.3"/>
    <row r="25158" s="160" customFormat="1" x14ac:dyDescent="0.3"/>
    <row r="25159" s="160" customFormat="1" x14ac:dyDescent="0.3"/>
    <row r="25160" s="160" customFormat="1" x14ac:dyDescent="0.3"/>
    <row r="25161" s="160" customFormat="1" x14ac:dyDescent="0.3"/>
    <row r="25162" s="160" customFormat="1" x14ac:dyDescent="0.3"/>
    <row r="25163" s="160" customFormat="1" x14ac:dyDescent="0.3"/>
    <row r="25164" s="160" customFormat="1" x14ac:dyDescent="0.3"/>
    <row r="25165" s="160" customFormat="1" x14ac:dyDescent="0.3"/>
    <row r="25166" s="160" customFormat="1" x14ac:dyDescent="0.3"/>
    <row r="25167" s="160" customFormat="1" x14ac:dyDescent="0.3"/>
    <row r="25168" s="160" customFormat="1" x14ac:dyDescent="0.3"/>
    <row r="25169" s="160" customFormat="1" x14ac:dyDescent="0.3"/>
    <row r="25170" s="160" customFormat="1" x14ac:dyDescent="0.3"/>
    <row r="25171" s="160" customFormat="1" x14ac:dyDescent="0.3"/>
    <row r="25172" s="160" customFormat="1" x14ac:dyDescent="0.3"/>
    <row r="25173" s="160" customFormat="1" x14ac:dyDescent="0.3"/>
    <row r="25174" s="160" customFormat="1" x14ac:dyDescent="0.3"/>
    <row r="25175" s="160" customFormat="1" x14ac:dyDescent="0.3"/>
    <row r="25176" s="160" customFormat="1" x14ac:dyDescent="0.3"/>
    <row r="25177" s="160" customFormat="1" x14ac:dyDescent="0.3"/>
    <row r="25178" s="160" customFormat="1" x14ac:dyDescent="0.3"/>
    <row r="25179" s="160" customFormat="1" x14ac:dyDescent="0.3"/>
    <row r="25180" s="160" customFormat="1" x14ac:dyDescent="0.3"/>
    <row r="25181" s="160" customFormat="1" x14ac:dyDescent="0.3"/>
    <row r="25182" s="160" customFormat="1" x14ac:dyDescent="0.3"/>
    <row r="25183" s="160" customFormat="1" x14ac:dyDescent="0.3"/>
    <row r="25184" s="160" customFormat="1" x14ac:dyDescent="0.3"/>
    <row r="25185" s="160" customFormat="1" x14ac:dyDescent="0.3"/>
    <row r="25186" s="160" customFormat="1" x14ac:dyDescent="0.3"/>
    <row r="25187" s="160" customFormat="1" x14ac:dyDescent="0.3"/>
    <row r="25188" s="160" customFormat="1" x14ac:dyDescent="0.3"/>
    <row r="25189" s="160" customFormat="1" x14ac:dyDescent="0.3"/>
    <row r="25190" s="160" customFormat="1" x14ac:dyDescent="0.3"/>
    <row r="25191" s="160" customFormat="1" x14ac:dyDescent="0.3"/>
    <row r="25192" s="160" customFormat="1" x14ac:dyDescent="0.3"/>
    <row r="25193" s="160" customFormat="1" x14ac:dyDescent="0.3"/>
    <row r="25194" s="160" customFormat="1" x14ac:dyDescent="0.3"/>
    <row r="25195" s="160" customFormat="1" x14ac:dyDescent="0.3"/>
    <row r="25196" s="160" customFormat="1" x14ac:dyDescent="0.3"/>
    <row r="25197" s="160" customFormat="1" x14ac:dyDescent="0.3"/>
    <row r="25198" s="160" customFormat="1" x14ac:dyDescent="0.3"/>
    <row r="25199" s="160" customFormat="1" x14ac:dyDescent="0.3"/>
    <row r="25200" s="160" customFormat="1" x14ac:dyDescent="0.3"/>
    <row r="25201" s="160" customFormat="1" x14ac:dyDescent="0.3"/>
    <row r="25202" s="160" customFormat="1" x14ac:dyDescent="0.3"/>
    <row r="25203" s="160" customFormat="1" x14ac:dyDescent="0.3"/>
    <row r="25204" s="160" customFormat="1" x14ac:dyDescent="0.3"/>
    <row r="25205" s="160" customFormat="1" x14ac:dyDescent="0.3"/>
    <row r="25206" s="160" customFormat="1" x14ac:dyDescent="0.3"/>
    <row r="25207" s="160" customFormat="1" x14ac:dyDescent="0.3"/>
    <row r="25208" s="160" customFormat="1" x14ac:dyDescent="0.3"/>
    <row r="25209" s="160" customFormat="1" x14ac:dyDescent="0.3"/>
    <row r="25210" s="160" customFormat="1" x14ac:dyDescent="0.3"/>
    <row r="25211" s="160" customFormat="1" x14ac:dyDescent="0.3"/>
    <row r="25212" s="160" customFormat="1" x14ac:dyDescent="0.3"/>
    <row r="25213" s="160" customFormat="1" x14ac:dyDescent="0.3"/>
    <row r="25214" s="160" customFormat="1" x14ac:dyDescent="0.3"/>
    <row r="25215" s="160" customFormat="1" x14ac:dyDescent="0.3"/>
    <row r="25216" s="160" customFormat="1" x14ac:dyDescent="0.3"/>
    <row r="25217" s="160" customFormat="1" x14ac:dyDescent="0.3"/>
    <row r="25218" s="160" customFormat="1" x14ac:dyDescent="0.3"/>
    <row r="25219" s="160" customFormat="1" x14ac:dyDescent="0.3"/>
    <row r="25220" s="160" customFormat="1" x14ac:dyDescent="0.3"/>
    <row r="25221" s="160" customFormat="1" x14ac:dyDescent="0.3"/>
    <row r="25222" s="160" customFormat="1" x14ac:dyDescent="0.3"/>
    <row r="25223" s="160" customFormat="1" x14ac:dyDescent="0.3"/>
    <row r="25224" s="160" customFormat="1" x14ac:dyDescent="0.3"/>
    <row r="25225" s="160" customFormat="1" x14ac:dyDescent="0.3"/>
    <row r="25226" s="160" customFormat="1" x14ac:dyDescent="0.3"/>
    <row r="25227" s="160" customFormat="1" x14ac:dyDescent="0.3"/>
    <row r="25228" s="160" customFormat="1" x14ac:dyDescent="0.3"/>
    <row r="25229" s="160" customFormat="1" x14ac:dyDescent="0.3"/>
    <row r="25230" s="160" customFormat="1" x14ac:dyDescent="0.3"/>
    <row r="25231" s="160" customFormat="1" x14ac:dyDescent="0.3"/>
    <row r="25232" s="160" customFormat="1" x14ac:dyDescent="0.3"/>
    <row r="25233" s="160" customFormat="1" x14ac:dyDescent="0.3"/>
    <row r="25234" s="160" customFormat="1" x14ac:dyDescent="0.3"/>
    <row r="25235" s="160" customFormat="1" x14ac:dyDescent="0.3"/>
    <row r="25236" s="160" customFormat="1" x14ac:dyDescent="0.3"/>
    <row r="25237" s="160" customFormat="1" x14ac:dyDescent="0.3"/>
    <row r="25238" s="160" customFormat="1" x14ac:dyDescent="0.3"/>
    <row r="25239" s="160" customFormat="1" x14ac:dyDescent="0.3"/>
    <row r="25240" s="160" customFormat="1" x14ac:dyDescent="0.3"/>
    <row r="25241" s="160" customFormat="1" x14ac:dyDescent="0.3"/>
    <row r="25242" s="160" customFormat="1" x14ac:dyDescent="0.3"/>
    <row r="25243" s="160" customFormat="1" x14ac:dyDescent="0.3"/>
    <row r="25244" s="160" customFormat="1" x14ac:dyDescent="0.3"/>
    <row r="25245" s="160" customFormat="1" x14ac:dyDescent="0.3"/>
    <row r="25246" s="160" customFormat="1" x14ac:dyDescent="0.3"/>
    <row r="25247" s="160" customFormat="1" x14ac:dyDescent="0.3"/>
    <row r="25248" s="160" customFormat="1" x14ac:dyDescent="0.3"/>
    <row r="25249" s="160" customFormat="1" x14ac:dyDescent="0.3"/>
    <row r="25250" s="160" customFormat="1" x14ac:dyDescent="0.3"/>
    <row r="25251" s="160" customFormat="1" x14ac:dyDescent="0.3"/>
    <row r="25252" s="160" customFormat="1" x14ac:dyDescent="0.3"/>
    <row r="25253" s="160" customFormat="1" x14ac:dyDescent="0.3"/>
    <row r="25254" s="160" customFormat="1" x14ac:dyDescent="0.3"/>
    <row r="25255" s="160" customFormat="1" x14ac:dyDescent="0.3"/>
    <row r="25256" s="160" customFormat="1" x14ac:dyDescent="0.3"/>
    <row r="25257" s="160" customFormat="1" x14ac:dyDescent="0.3"/>
    <row r="25258" s="160" customFormat="1" x14ac:dyDescent="0.3"/>
    <row r="25259" s="160" customFormat="1" x14ac:dyDescent="0.3"/>
    <row r="25260" s="160" customFormat="1" x14ac:dyDescent="0.3"/>
    <row r="25261" s="160" customFormat="1" x14ac:dyDescent="0.3"/>
    <row r="25262" s="160" customFormat="1" x14ac:dyDescent="0.3"/>
    <row r="25263" s="160" customFormat="1" x14ac:dyDescent="0.3"/>
    <row r="25264" s="160" customFormat="1" x14ac:dyDescent="0.3"/>
    <row r="25265" s="160" customFormat="1" x14ac:dyDescent="0.3"/>
    <row r="25266" s="160" customFormat="1" x14ac:dyDescent="0.3"/>
    <row r="25267" s="160" customFormat="1" x14ac:dyDescent="0.3"/>
    <row r="25268" s="160" customFormat="1" x14ac:dyDescent="0.3"/>
    <row r="25269" s="160" customFormat="1" x14ac:dyDescent="0.3"/>
    <row r="25270" s="160" customFormat="1" x14ac:dyDescent="0.3"/>
    <row r="25271" s="160" customFormat="1" x14ac:dyDescent="0.3"/>
    <row r="25272" s="160" customFormat="1" x14ac:dyDescent="0.3"/>
    <row r="25273" s="160" customFormat="1" x14ac:dyDescent="0.3"/>
    <row r="25274" s="160" customFormat="1" x14ac:dyDescent="0.3"/>
    <row r="25275" s="160" customFormat="1" x14ac:dyDescent="0.3"/>
    <row r="25276" s="160" customFormat="1" x14ac:dyDescent="0.3"/>
    <row r="25277" s="160" customFormat="1" x14ac:dyDescent="0.3"/>
    <row r="25278" s="160" customFormat="1" x14ac:dyDescent="0.3"/>
    <row r="25279" s="160" customFormat="1" x14ac:dyDescent="0.3"/>
    <row r="25280" s="160" customFormat="1" x14ac:dyDescent="0.3"/>
    <row r="25281" s="160" customFormat="1" x14ac:dyDescent="0.3"/>
    <row r="25282" s="160" customFormat="1" x14ac:dyDescent="0.3"/>
    <row r="25283" s="160" customFormat="1" x14ac:dyDescent="0.3"/>
    <row r="25284" s="160" customFormat="1" x14ac:dyDescent="0.3"/>
    <row r="25285" s="160" customFormat="1" x14ac:dyDescent="0.3"/>
    <row r="25286" s="160" customFormat="1" x14ac:dyDescent="0.3"/>
    <row r="25287" s="160" customFormat="1" x14ac:dyDescent="0.3"/>
    <row r="25288" s="160" customFormat="1" x14ac:dyDescent="0.3"/>
    <row r="25289" s="160" customFormat="1" x14ac:dyDescent="0.3"/>
    <row r="25290" s="160" customFormat="1" x14ac:dyDescent="0.3"/>
    <row r="25291" s="160" customFormat="1" x14ac:dyDescent="0.3"/>
    <row r="25292" s="160" customFormat="1" x14ac:dyDescent="0.3"/>
    <row r="25293" s="160" customFormat="1" x14ac:dyDescent="0.3"/>
    <row r="25294" s="160" customFormat="1" x14ac:dyDescent="0.3"/>
    <row r="25295" s="160" customFormat="1" x14ac:dyDescent="0.3"/>
    <row r="25296" s="160" customFormat="1" x14ac:dyDescent="0.3"/>
    <row r="25297" s="160" customFormat="1" x14ac:dyDescent="0.3"/>
    <row r="25298" s="160" customFormat="1" x14ac:dyDescent="0.3"/>
    <row r="25299" s="160" customFormat="1" x14ac:dyDescent="0.3"/>
    <row r="25300" s="160" customFormat="1" x14ac:dyDescent="0.3"/>
    <row r="25301" s="160" customFormat="1" x14ac:dyDescent="0.3"/>
    <row r="25302" s="160" customFormat="1" x14ac:dyDescent="0.3"/>
    <row r="25303" s="160" customFormat="1" x14ac:dyDescent="0.3"/>
    <row r="25304" s="160" customFormat="1" x14ac:dyDescent="0.3"/>
    <row r="25305" s="160" customFormat="1" x14ac:dyDescent="0.3"/>
    <row r="25306" s="160" customFormat="1" x14ac:dyDescent="0.3"/>
    <row r="25307" s="160" customFormat="1" x14ac:dyDescent="0.3"/>
    <row r="25308" s="160" customFormat="1" x14ac:dyDescent="0.3"/>
    <row r="25309" s="160" customFormat="1" x14ac:dyDescent="0.3"/>
    <row r="25310" s="160" customFormat="1" x14ac:dyDescent="0.3"/>
    <row r="25311" s="160" customFormat="1" x14ac:dyDescent="0.3"/>
    <row r="25312" s="160" customFormat="1" x14ac:dyDescent="0.3"/>
    <row r="25313" s="160" customFormat="1" x14ac:dyDescent="0.3"/>
    <row r="25314" s="160" customFormat="1" x14ac:dyDescent="0.3"/>
    <row r="25315" s="160" customFormat="1" x14ac:dyDescent="0.3"/>
    <row r="25316" s="160" customFormat="1" x14ac:dyDescent="0.3"/>
    <row r="25317" s="160" customFormat="1" x14ac:dyDescent="0.3"/>
    <row r="25318" s="160" customFormat="1" x14ac:dyDescent="0.3"/>
    <row r="25319" s="160" customFormat="1" x14ac:dyDescent="0.3"/>
    <row r="25320" s="160" customFormat="1" x14ac:dyDescent="0.3"/>
    <row r="25321" s="160" customFormat="1" x14ac:dyDescent="0.3"/>
    <row r="25322" s="160" customFormat="1" x14ac:dyDescent="0.3"/>
    <row r="25323" s="160" customFormat="1" x14ac:dyDescent="0.3"/>
    <row r="25324" s="160" customFormat="1" x14ac:dyDescent="0.3"/>
    <row r="25325" s="160" customFormat="1" x14ac:dyDescent="0.3"/>
    <row r="25326" s="160" customFormat="1" x14ac:dyDescent="0.3"/>
    <row r="25327" s="160" customFormat="1" x14ac:dyDescent="0.3"/>
    <row r="25328" s="160" customFormat="1" x14ac:dyDescent="0.3"/>
    <row r="25329" s="160" customFormat="1" x14ac:dyDescent="0.3"/>
    <row r="25330" s="160" customFormat="1" x14ac:dyDescent="0.3"/>
    <row r="25331" s="160" customFormat="1" x14ac:dyDescent="0.3"/>
    <row r="25332" s="160" customFormat="1" x14ac:dyDescent="0.3"/>
    <row r="25333" s="160" customFormat="1" x14ac:dyDescent="0.3"/>
    <row r="25334" s="160" customFormat="1" x14ac:dyDescent="0.3"/>
    <row r="25335" s="160" customFormat="1" x14ac:dyDescent="0.3"/>
    <row r="25336" s="160" customFormat="1" x14ac:dyDescent="0.3"/>
    <row r="25337" s="160" customFormat="1" x14ac:dyDescent="0.3"/>
    <row r="25338" s="160" customFormat="1" x14ac:dyDescent="0.3"/>
    <row r="25339" s="160" customFormat="1" x14ac:dyDescent="0.3"/>
    <row r="25340" s="160" customFormat="1" x14ac:dyDescent="0.3"/>
    <row r="25341" s="160" customFormat="1" x14ac:dyDescent="0.3"/>
    <row r="25342" s="160" customFormat="1" x14ac:dyDescent="0.3"/>
    <row r="25343" s="160" customFormat="1" x14ac:dyDescent="0.3"/>
    <row r="25344" s="160" customFormat="1" x14ac:dyDescent="0.3"/>
    <row r="25345" s="160" customFormat="1" x14ac:dyDescent="0.3"/>
    <row r="25346" s="160" customFormat="1" x14ac:dyDescent="0.3"/>
    <row r="25347" s="160" customFormat="1" x14ac:dyDescent="0.3"/>
    <row r="25348" s="160" customFormat="1" x14ac:dyDescent="0.3"/>
    <row r="25349" s="160" customFormat="1" x14ac:dyDescent="0.3"/>
    <row r="25350" s="160" customFormat="1" x14ac:dyDescent="0.3"/>
    <row r="25351" s="160" customFormat="1" x14ac:dyDescent="0.3"/>
    <row r="25352" s="160" customFormat="1" x14ac:dyDescent="0.3"/>
    <row r="25353" s="160" customFormat="1" x14ac:dyDescent="0.3"/>
    <row r="25354" s="160" customFormat="1" x14ac:dyDescent="0.3"/>
    <row r="25355" s="160" customFormat="1" x14ac:dyDescent="0.3"/>
    <row r="25356" s="160" customFormat="1" x14ac:dyDescent="0.3"/>
    <row r="25357" s="160" customFormat="1" x14ac:dyDescent="0.3"/>
    <row r="25358" s="160" customFormat="1" x14ac:dyDescent="0.3"/>
    <row r="25359" s="160" customFormat="1" x14ac:dyDescent="0.3"/>
    <row r="25360" s="160" customFormat="1" x14ac:dyDescent="0.3"/>
    <row r="25361" s="160" customFormat="1" x14ac:dyDescent="0.3"/>
    <row r="25362" s="160" customFormat="1" x14ac:dyDescent="0.3"/>
    <row r="25363" s="160" customFormat="1" x14ac:dyDescent="0.3"/>
    <row r="25364" s="160" customFormat="1" x14ac:dyDescent="0.3"/>
    <row r="25365" s="160" customFormat="1" x14ac:dyDescent="0.3"/>
    <row r="25366" s="160" customFormat="1" x14ac:dyDescent="0.3"/>
    <row r="25367" s="160" customFormat="1" x14ac:dyDescent="0.3"/>
    <row r="25368" s="160" customFormat="1" x14ac:dyDescent="0.3"/>
    <row r="25369" s="160" customFormat="1" x14ac:dyDescent="0.3"/>
    <row r="25370" s="160" customFormat="1" x14ac:dyDescent="0.3"/>
    <row r="25371" s="160" customFormat="1" x14ac:dyDescent="0.3"/>
    <row r="25372" s="160" customFormat="1" x14ac:dyDescent="0.3"/>
    <row r="25373" s="160" customFormat="1" x14ac:dyDescent="0.3"/>
    <row r="25374" s="160" customFormat="1" x14ac:dyDescent="0.3"/>
    <row r="25375" s="160" customFormat="1" x14ac:dyDescent="0.3"/>
    <row r="25376" s="160" customFormat="1" x14ac:dyDescent="0.3"/>
    <row r="25377" s="160" customFormat="1" x14ac:dyDescent="0.3"/>
    <row r="25378" s="160" customFormat="1" x14ac:dyDescent="0.3"/>
    <row r="25379" s="160" customFormat="1" x14ac:dyDescent="0.3"/>
    <row r="25380" s="160" customFormat="1" x14ac:dyDescent="0.3"/>
    <row r="25381" s="160" customFormat="1" x14ac:dyDescent="0.3"/>
    <row r="25382" s="160" customFormat="1" x14ac:dyDescent="0.3"/>
    <row r="25383" s="160" customFormat="1" x14ac:dyDescent="0.3"/>
    <row r="25384" s="160" customFormat="1" x14ac:dyDescent="0.3"/>
    <row r="25385" s="160" customFormat="1" x14ac:dyDescent="0.3"/>
    <row r="25386" s="160" customFormat="1" x14ac:dyDescent="0.3"/>
    <row r="25387" s="160" customFormat="1" x14ac:dyDescent="0.3"/>
    <row r="25388" s="160" customFormat="1" x14ac:dyDescent="0.3"/>
    <row r="25389" s="160" customFormat="1" x14ac:dyDescent="0.3"/>
    <row r="25390" s="160" customFormat="1" x14ac:dyDescent="0.3"/>
    <row r="25391" s="160" customFormat="1" x14ac:dyDescent="0.3"/>
    <row r="25392" s="160" customFormat="1" x14ac:dyDescent="0.3"/>
    <row r="25393" s="160" customFormat="1" x14ac:dyDescent="0.3"/>
    <row r="25394" s="160" customFormat="1" x14ac:dyDescent="0.3"/>
    <row r="25395" s="160" customFormat="1" x14ac:dyDescent="0.3"/>
    <row r="25396" s="160" customFormat="1" x14ac:dyDescent="0.3"/>
    <row r="25397" s="160" customFormat="1" x14ac:dyDescent="0.3"/>
    <row r="25398" s="160" customFormat="1" x14ac:dyDescent="0.3"/>
    <row r="25399" s="160" customFormat="1" x14ac:dyDescent="0.3"/>
    <row r="25400" s="160" customFormat="1" x14ac:dyDescent="0.3"/>
    <row r="25401" s="160" customFormat="1" x14ac:dyDescent="0.3"/>
    <row r="25402" s="160" customFormat="1" x14ac:dyDescent="0.3"/>
    <row r="25403" s="160" customFormat="1" x14ac:dyDescent="0.3"/>
    <row r="25404" s="160" customFormat="1" x14ac:dyDescent="0.3"/>
    <row r="25405" s="160" customFormat="1" x14ac:dyDescent="0.3"/>
    <row r="25406" s="160" customFormat="1" x14ac:dyDescent="0.3"/>
    <row r="25407" s="160" customFormat="1" x14ac:dyDescent="0.3"/>
    <row r="25408" s="160" customFormat="1" x14ac:dyDescent="0.3"/>
    <row r="25409" s="160" customFormat="1" x14ac:dyDescent="0.3"/>
    <row r="25410" s="160" customFormat="1" x14ac:dyDescent="0.3"/>
    <row r="25411" s="160" customFormat="1" x14ac:dyDescent="0.3"/>
    <row r="25412" s="160" customFormat="1" x14ac:dyDescent="0.3"/>
    <row r="25413" s="160" customFormat="1" x14ac:dyDescent="0.3"/>
    <row r="25414" s="160" customFormat="1" x14ac:dyDescent="0.3"/>
    <row r="25415" s="160" customFormat="1" x14ac:dyDescent="0.3"/>
    <row r="25416" s="160" customFormat="1" x14ac:dyDescent="0.3"/>
    <row r="25417" s="160" customFormat="1" x14ac:dyDescent="0.3"/>
    <row r="25418" s="160" customFormat="1" x14ac:dyDescent="0.3"/>
    <row r="25419" s="160" customFormat="1" x14ac:dyDescent="0.3"/>
    <row r="25420" s="160" customFormat="1" x14ac:dyDescent="0.3"/>
    <row r="25421" s="160" customFormat="1" x14ac:dyDescent="0.3"/>
    <row r="25422" s="160" customFormat="1" x14ac:dyDescent="0.3"/>
    <row r="25423" s="160" customFormat="1" x14ac:dyDescent="0.3"/>
    <row r="25424" s="160" customFormat="1" x14ac:dyDescent="0.3"/>
    <row r="25425" s="160" customFormat="1" x14ac:dyDescent="0.3"/>
    <row r="25426" s="160" customFormat="1" x14ac:dyDescent="0.3"/>
    <row r="25427" s="160" customFormat="1" x14ac:dyDescent="0.3"/>
    <row r="25428" s="160" customFormat="1" x14ac:dyDescent="0.3"/>
    <row r="25429" s="160" customFormat="1" x14ac:dyDescent="0.3"/>
    <row r="25430" s="160" customFormat="1" x14ac:dyDescent="0.3"/>
    <row r="25431" s="160" customFormat="1" x14ac:dyDescent="0.3"/>
    <row r="25432" s="160" customFormat="1" x14ac:dyDescent="0.3"/>
    <row r="25433" s="160" customFormat="1" x14ac:dyDescent="0.3"/>
    <row r="25434" s="160" customFormat="1" x14ac:dyDescent="0.3"/>
    <row r="25435" s="160" customFormat="1" x14ac:dyDescent="0.3"/>
    <row r="25436" s="160" customFormat="1" x14ac:dyDescent="0.3"/>
    <row r="25437" s="160" customFormat="1" x14ac:dyDescent="0.3"/>
    <row r="25438" s="160" customFormat="1" x14ac:dyDescent="0.3"/>
    <row r="25439" s="160" customFormat="1" x14ac:dyDescent="0.3"/>
    <row r="25440" s="160" customFormat="1" x14ac:dyDescent="0.3"/>
    <row r="25441" s="160" customFormat="1" x14ac:dyDescent="0.3"/>
    <row r="25442" s="160" customFormat="1" x14ac:dyDescent="0.3"/>
    <row r="25443" s="160" customFormat="1" x14ac:dyDescent="0.3"/>
    <row r="25444" s="160" customFormat="1" x14ac:dyDescent="0.3"/>
    <row r="25445" s="160" customFormat="1" x14ac:dyDescent="0.3"/>
    <row r="25446" s="160" customFormat="1" x14ac:dyDescent="0.3"/>
    <row r="25447" s="160" customFormat="1" x14ac:dyDescent="0.3"/>
    <row r="25448" s="160" customFormat="1" x14ac:dyDescent="0.3"/>
    <row r="25449" s="160" customFormat="1" x14ac:dyDescent="0.3"/>
    <row r="25450" s="160" customFormat="1" x14ac:dyDescent="0.3"/>
    <row r="25451" s="160" customFormat="1" x14ac:dyDescent="0.3"/>
    <row r="25452" s="160" customFormat="1" x14ac:dyDescent="0.3"/>
    <row r="25453" s="160" customFormat="1" x14ac:dyDescent="0.3"/>
    <row r="25454" s="160" customFormat="1" x14ac:dyDescent="0.3"/>
    <row r="25455" s="160" customFormat="1" x14ac:dyDescent="0.3"/>
    <row r="25456" s="160" customFormat="1" x14ac:dyDescent="0.3"/>
    <row r="25457" s="160" customFormat="1" x14ac:dyDescent="0.3"/>
    <row r="25458" s="160" customFormat="1" x14ac:dyDescent="0.3"/>
    <row r="25459" s="160" customFormat="1" x14ac:dyDescent="0.3"/>
    <row r="25460" s="160" customFormat="1" x14ac:dyDescent="0.3"/>
    <row r="25461" s="160" customFormat="1" x14ac:dyDescent="0.3"/>
    <row r="25462" s="160" customFormat="1" x14ac:dyDescent="0.3"/>
    <row r="25463" s="160" customFormat="1" x14ac:dyDescent="0.3"/>
    <row r="25464" s="160" customFormat="1" x14ac:dyDescent="0.3"/>
    <row r="25465" s="160" customFormat="1" x14ac:dyDescent="0.3"/>
    <row r="25466" s="160" customFormat="1" x14ac:dyDescent="0.3"/>
    <row r="25467" s="160" customFormat="1" x14ac:dyDescent="0.3"/>
    <row r="25468" s="160" customFormat="1" x14ac:dyDescent="0.3"/>
    <row r="25469" s="160" customFormat="1" x14ac:dyDescent="0.3"/>
    <row r="25470" s="160" customFormat="1" x14ac:dyDescent="0.3"/>
    <row r="25471" s="160" customFormat="1" x14ac:dyDescent="0.3"/>
    <row r="25472" s="160" customFormat="1" x14ac:dyDescent="0.3"/>
    <row r="25473" s="160" customFormat="1" x14ac:dyDescent="0.3"/>
    <row r="25474" s="160" customFormat="1" x14ac:dyDescent="0.3"/>
    <row r="25475" s="160" customFormat="1" x14ac:dyDescent="0.3"/>
    <row r="25476" s="160" customFormat="1" x14ac:dyDescent="0.3"/>
    <row r="25477" s="160" customFormat="1" x14ac:dyDescent="0.3"/>
    <row r="25478" s="160" customFormat="1" x14ac:dyDescent="0.3"/>
    <row r="25479" s="160" customFormat="1" x14ac:dyDescent="0.3"/>
    <row r="25480" s="160" customFormat="1" x14ac:dyDescent="0.3"/>
    <row r="25481" s="160" customFormat="1" x14ac:dyDescent="0.3"/>
    <row r="25482" s="160" customFormat="1" x14ac:dyDescent="0.3"/>
    <row r="25483" s="160" customFormat="1" x14ac:dyDescent="0.3"/>
    <row r="25484" s="160" customFormat="1" x14ac:dyDescent="0.3"/>
    <row r="25485" s="160" customFormat="1" x14ac:dyDescent="0.3"/>
    <row r="25486" s="160" customFormat="1" x14ac:dyDescent="0.3"/>
    <row r="25487" s="160" customFormat="1" x14ac:dyDescent="0.3"/>
    <row r="25488" s="160" customFormat="1" x14ac:dyDescent="0.3"/>
    <row r="25489" s="160" customFormat="1" x14ac:dyDescent="0.3"/>
    <row r="25490" s="160" customFormat="1" x14ac:dyDescent="0.3"/>
    <row r="25491" s="160" customFormat="1" x14ac:dyDescent="0.3"/>
    <row r="25492" s="160" customFormat="1" x14ac:dyDescent="0.3"/>
    <row r="25493" s="160" customFormat="1" x14ac:dyDescent="0.3"/>
    <row r="25494" s="160" customFormat="1" x14ac:dyDescent="0.3"/>
    <row r="25495" s="160" customFormat="1" x14ac:dyDescent="0.3"/>
    <row r="25496" s="160" customFormat="1" x14ac:dyDescent="0.3"/>
    <row r="25497" s="160" customFormat="1" x14ac:dyDescent="0.3"/>
    <row r="25498" s="160" customFormat="1" x14ac:dyDescent="0.3"/>
    <row r="25499" s="160" customFormat="1" x14ac:dyDescent="0.3"/>
    <row r="25500" s="160" customFormat="1" x14ac:dyDescent="0.3"/>
    <row r="25501" s="160" customFormat="1" x14ac:dyDescent="0.3"/>
    <row r="25502" s="160" customFormat="1" x14ac:dyDescent="0.3"/>
    <row r="25503" s="160" customFormat="1" x14ac:dyDescent="0.3"/>
    <row r="25504" s="160" customFormat="1" x14ac:dyDescent="0.3"/>
    <row r="25505" s="160" customFormat="1" x14ac:dyDescent="0.3"/>
    <row r="25506" s="160" customFormat="1" x14ac:dyDescent="0.3"/>
    <row r="25507" s="160" customFormat="1" x14ac:dyDescent="0.3"/>
    <row r="25508" s="160" customFormat="1" x14ac:dyDescent="0.3"/>
    <row r="25509" s="160" customFormat="1" x14ac:dyDescent="0.3"/>
    <row r="25510" s="160" customFormat="1" x14ac:dyDescent="0.3"/>
    <row r="25511" s="160" customFormat="1" x14ac:dyDescent="0.3"/>
    <row r="25512" s="160" customFormat="1" x14ac:dyDescent="0.3"/>
    <row r="25513" s="160" customFormat="1" x14ac:dyDescent="0.3"/>
    <row r="25514" s="160" customFormat="1" x14ac:dyDescent="0.3"/>
    <row r="25515" s="160" customFormat="1" x14ac:dyDescent="0.3"/>
    <row r="25516" s="160" customFormat="1" x14ac:dyDescent="0.3"/>
    <row r="25517" s="160" customFormat="1" x14ac:dyDescent="0.3"/>
    <row r="25518" s="160" customFormat="1" x14ac:dyDescent="0.3"/>
    <row r="25519" s="160" customFormat="1" x14ac:dyDescent="0.3"/>
    <row r="25520" s="160" customFormat="1" x14ac:dyDescent="0.3"/>
    <row r="25521" s="160" customFormat="1" x14ac:dyDescent="0.3"/>
    <row r="25522" s="160" customFormat="1" x14ac:dyDescent="0.3"/>
    <row r="25523" s="160" customFormat="1" x14ac:dyDescent="0.3"/>
    <row r="25524" s="160" customFormat="1" x14ac:dyDescent="0.3"/>
    <row r="25525" s="160" customFormat="1" x14ac:dyDescent="0.3"/>
    <row r="25526" s="160" customFormat="1" x14ac:dyDescent="0.3"/>
    <row r="25527" s="160" customFormat="1" x14ac:dyDescent="0.3"/>
    <row r="25528" s="160" customFormat="1" x14ac:dyDescent="0.3"/>
    <row r="25529" s="160" customFormat="1" x14ac:dyDescent="0.3"/>
    <row r="25530" s="160" customFormat="1" x14ac:dyDescent="0.3"/>
    <row r="25531" s="160" customFormat="1" x14ac:dyDescent="0.3"/>
    <row r="25532" s="160" customFormat="1" x14ac:dyDescent="0.3"/>
    <row r="25533" s="160" customFormat="1" x14ac:dyDescent="0.3"/>
    <row r="25534" s="160" customFormat="1" x14ac:dyDescent="0.3"/>
    <row r="25535" s="160" customFormat="1" x14ac:dyDescent="0.3"/>
    <row r="25536" s="160" customFormat="1" x14ac:dyDescent="0.3"/>
    <row r="25537" s="160" customFormat="1" x14ac:dyDescent="0.3"/>
    <row r="25538" s="160" customFormat="1" x14ac:dyDescent="0.3"/>
    <row r="25539" s="160" customFormat="1" x14ac:dyDescent="0.3"/>
    <row r="25540" s="160" customFormat="1" x14ac:dyDescent="0.3"/>
    <row r="25541" s="160" customFormat="1" x14ac:dyDescent="0.3"/>
    <row r="25542" s="160" customFormat="1" x14ac:dyDescent="0.3"/>
    <row r="25543" s="160" customFormat="1" x14ac:dyDescent="0.3"/>
    <row r="25544" s="160" customFormat="1" x14ac:dyDescent="0.3"/>
    <row r="25545" s="160" customFormat="1" x14ac:dyDescent="0.3"/>
    <row r="25546" s="160" customFormat="1" x14ac:dyDescent="0.3"/>
    <row r="25547" s="160" customFormat="1" x14ac:dyDescent="0.3"/>
    <row r="25548" s="160" customFormat="1" x14ac:dyDescent="0.3"/>
    <row r="25549" s="160" customFormat="1" x14ac:dyDescent="0.3"/>
    <row r="25550" s="160" customFormat="1" x14ac:dyDescent="0.3"/>
    <row r="25551" s="160" customFormat="1" x14ac:dyDescent="0.3"/>
    <row r="25552" s="160" customFormat="1" x14ac:dyDescent="0.3"/>
    <row r="25553" s="160" customFormat="1" x14ac:dyDescent="0.3"/>
    <row r="25554" s="160" customFormat="1" x14ac:dyDescent="0.3"/>
    <row r="25555" s="160" customFormat="1" x14ac:dyDescent="0.3"/>
    <row r="25556" s="160" customFormat="1" x14ac:dyDescent="0.3"/>
    <row r="25557" s="160" customFormat="1" x14ac:dyDescent="0.3"/>
    <row r="25558" s="160" customFormat="1" x14ac:dyDescent="0.3"/>
    <row r="25559" s="160" customFormat="1" x14ac:dyDescent="0.3"/>
    <row r="25560" s="160" customFormat="1" x14ac:dyDescent="0.3"/>
    <row r="25561" s="160" customFormat="1" x14ac:dyDescent="0.3"/>
    <row r="25562" s="160" customFormat="1" x14ac:dyDescent="0.3"/>
    <row r="25563" s="160" customFormat="1" x14ac:dyDescent="0.3"/>
    <row r="25564" s="160" customFormat="1" x14ac:dyDescent="0.3"/>
    <row r="25565" s="160" customFormat="1" x14ac:dyDescent="0.3"/>
    <row r="25566" s="160" customFormat="1" x14ac:dyDescent="0.3"/>
    <row r="25567" s="160" customFormat="1" x14ac:dyDescent="0.3"/>
    <row r="25568" s="160" customFormat="1" x14ac:dyDescent="0.3"/>
    <row r="25569" s="160" customFormat="1" x14ac:dyDescent="0.3"/>
    <row r="25570" s="160" customFormat="1" x14ac:dyDescent="0.3"/>
    <row r="25571" s="160" customFormat="1" x14ac:dyDescent="0.3"/>
    <row r="25572" s="160" customFormat="1" x14ac:dyDescent="0.3"/>
    <row r="25573" s="160" customFormat="1" x14ac:dyDescent="0.3"/>
    <row r="25574" s="160" customFormat="1" x14ac:dyDescent="0.3"/>
    <row r="25575" s="160" customFormat="1" x14ac:dyDescent="0.3"/>
    <row r="25576" s="160" customFormat="1" x14ac:dyDescent="0.3"/>
    <row r="25577" s="160" customFormat="1" x14ac:dyDescent="0.3"/>
    <row r="25578" s="160" customFormat="1" x14ac:dyDescent="0.3"/>
    <row r="25579" s="160" customFormat="1" x14ac:dyDescent="0.3"/>
    <row r="25580" s="160" customFormat="1" x14ac:dyDescent="0.3"/>
    <row r="25581" s="160" customFormat="1" x14ac:dyDescent="0.3"/>
    <row r="25582" s="160" customFormat="1" x14ac:dyDescent="0.3"/>
    <row r="25583" s="160" customFormat="1" x14ac:dyDescent="0.3"/>
    <row r="25584" s="160" customFormat="1" x14ac:dyDescent="0.3"/>
    <row r="25585" s="160" customFormat="1" x14ac:dyDescent="0.3"/>
    <row r="25586" s="160" customFormat="1" x14ac:dyDescent="0.3"/>
    <row r="25587" s="160" customFormat="1" x14ac:dyDescent="0.3"/>
    <row r="25588" s="160" customFormat="1" x14ac:dyDescent="0.3"/>
    <row r="25589" s="160" customFormat="1" x14ac:dyDescent="0.3"/>
    <row r="25590" s="160" customFormat="1" x14ac:dyDescent="0.3"/>
    <row r="25591" s="160" customFormat="1" x14ac:dyDescent="0.3"/>
    <row r="25592" s="160" customFormat="1" x14ac:dyDescent="0.3"/>
    <row r="25593" s="160" customFormat="1" x14ac:dyDescent="0.3"/>
    <row r="25594" s="160" customFormat="1" x14ac:dyDescent="0.3"/>
    <row r="25595" s="160" customFormat="1" x14ac:dyDescent="0.3"/>
    <row r="25596" s="160" customFormat="1" x14ac:dyDescent="0.3"/>
    <row r="25597" s="160" customFormat="1" x14ac:dyDescent="0.3"/>
    <row r="25598" s="160" customFormat="1" x14ac:dyDescent="0.3"/>
    <row r="25599" s="160" customFormat="1" x14ac:dyDescent="0.3"/>
    <row r="25600" s="160" customFormat="1" x14ac:dyDescent="0.3"/>
    <row r="25601" s="160" customFormat="1" x14ac:dyDescent="0.3"/>
    <row r="25602" s="160" customFormat="1" x14ac:dyDescent="0.3"/>
    <row r="25603" s="160" customFormat="1" x14ac:dyDescent="0.3"/>
    <row r="25604" s="160" customFormat="1" x14ac:dyDescent="0.3"/>
    <row r="25605" s="160" customFormat="1" x14ac:dyDescent="0.3"/>
    <row r="25606" s="160" customFormat="1" x14ac:dyDescent="0.3"/>
    <row r="25607" s="160" customFormat="1" x14ac:dyDescent="0.3"/>
    <row r="25608" s="160" customFormat="1" x14ac:dyDescent="0.3"/>
    <row r="25609" s="160" customFormat="1" x14ac:dyDescent="0.3"/>
    <row r="25610" s="160" customFormat="1" x14ac:dyDescent="0.3"/>
    <row r="25611" s="160" customFormat="1" x14ac:dyDescent="0.3"/>
    <row r="25612" s="160" customFormat="1" x14ac:dyDescent="0.3"/>
    <row r="25613" s="160" customFormat="1" x14ac:dyDescent="0.3"/>
    <row r="25614" s="160" customFormat="1" x14ac:dyDescent="0.3"/>
    <row r="25615" s="160" customFormat="1" x14ac:dyDescent="0.3"/>
    <row r="25616" s="160" customFormat="1" x14ac:dyDescent="0.3"/>
    <row r="25617" s="160" customFormat="1" x14ac:dyDescent="0.3"/>
    <row r="25618" s="160" customFormat="1" x14ac:dyDescent="0.3"/>
    <row r="25619" s="160" customFormat="1" x14ac:dyDescent="0.3"/>
    <row r="25620" s="160" customFormat="1" x14ac:dyDescent="0.3"/>
    <row r="25621" s="160" customFormat="1" x14ac:dyDescent="0.3"/>
    <row r="25622" s="160" customFormat="1" x14ac:dyDescent="0.3"/>
    <row r="25623" s="160" customFormat="1" x14ac:dyDescent="0.3"/>
    <row r="25624" s="160" customFormat="1" x14ac:dyDescent="0.3"/>
    <row r="25625" s="160" customFormat="1" x14ac:dyDescent="0.3"/>
    <row r="25626" s="160" customFormat="1" x14ac:dyDescent="0.3"/>
    <row r="25627" s="160" customFormat="1" x14ac:dyDescent="0.3"/>
    <row r="25628" s="160" customFormat="1" x14ac:dyDescent="0.3"/>
    <row r="25629" s="160" customFormat="1" x14ac:dyDescent="0.3"/>
    <row r="25630" s="160" customFormat="1" x14ac:dyDescent="0.3"/>
    <row r="25631" s="160" customFormat="1" x14ac:dyDescent="0.3"/>
    <row r="25632" s="160" customFormat="1" x14ac:dyDescent="0.3"/>
    <row r="25633" s="160" customFormat="1" x14ac:dyDescent="0.3"/>
    <row r="25634" s="160" customFormat="1" x14ac:dyDescent="0.3"/>
    <row r="25635" s="160" customFormat="1" x14ac:dyDescent="0.3"/>
    <row r="25636" s="160" customFormat="1" x14ac:dyDescent="0.3"/>
    <row r="25637" s="160" customFormat="1" x14ac:dyDescent="0.3"/>
    <row r="25638" s="160" customFormat="1" x14ac:dyDescent="0.3"/>
    <row r="25639" s="160" customFormat="1" x14ac:dyDescent="0.3"/>
    <row r="25640" s="160" customFormat="1" x14ac:dyDescent="0.3"/>
    <row r="25641" s="160" customFormat="1" x14ac:dyDescent="0.3"/>
    <row r="25642" s="160" customFormat="1" x14ac:dyDescent="0.3"/>
    <row r="25643" s="160" customFormat="1" x14ac:dyDescent="0.3"/>
    <row r="25644" s="160" customFormat="1" x14ac:dyDescent="0.3"/>
    <row r="25645" s="160" customFormat="1" x14ac:dyDescent="0.3"/>
    <row r="25646" s="160" customFormat="1" x14ac:dyDescent="0.3"/>
    <row r="25647" s="160" customFormat="1" x14ac:dyDescent="0.3"/>
    <row r="25648" s="160" customFormat="1" x14ac:dyDescent="0.3"/>
    <row r="25649" s="160" customFormat="1" x14ac:dyDescent="0.3"/>
    <row r="25650" s="160" customFormat="1" x14ac:dyDescent="0.3"/>
    <row r="25651" s="160" customFormat="1" x14ac:dyDescent="0.3"/>
    <row r="25652" s="160" customFormat="1" x14ac:dyDescent="0.3"/>
    <row r="25653" s="160" customFormat="1" x14ac:dyDescent="0.3"/>
    <row r="25654" s="160" customFormat="1" x14ac:dyDescent="0.3"/>
    <row r="25655" s="160" customFormat="1" x14ac:dyDescent="0.3"/>
    <row r="25656" s="160" customFormat="1" x14ac:dyDescent="0.3"/>
    <row r="25657" s="160" customFormat="1" x14ac:dyDescent="0.3"/>
    <row r="25658" s="160" customFormat="1" x14ac:dyDescent="0.3"/>
    <row r="25659" s="160" customFormat="1" x14ac:dyDescent="0.3"/>
    <row r="25660" s="160" customFormat="1" x14ac:dyDescent="0.3"/>
    <row r="25661" s="160" customFormat="1" x14ac:dyDescent="0.3"/>
    <row r="25662" s="160" customFormat="1" x14ac:dyDescent="0.3"/>
    <row r="25663" s="160" customFormat="1" x14ac:dyDescent="0.3"/>
    <row r="25664" s="160" customFormat="1" x14ac:dyDescent="0.3"/>
    <row r="25665" s="160" customFormat="1" x14ac:dyDescent="0.3"/>
    <row r="25666" s="160" customFormat="1" x14ac:dyDescent="0.3"/>
    <row r="25667" s="160" customFormat="1" x14ac:dyDescent="0.3"/>
    <row r="25668" s="160" customFormat="1" x14ac:dyDescent="0.3"/>
    <row r="25669" s="160" customFormat="1" x14ac:dyDescent="0.3"/>
    <row r="25670" s="160" customFormat="1" x14ac:dyDescent="0.3"/>
    <row r="25671" s="160" customFormat="1" x14ac:dyDescent="0.3"/>
    <row r="25672" s="160" customFormat="1" x14ac:dyDescent="0.3"/>
    <row r="25673" s="160" customFormat="1" x14ac:dyDescent="0.3"/>
    <row r="25674" s="160" customFormat="1" x14ac:dyDescent="0.3"/>
    <row r="25675" s="160" customFormat="1" x14ac:dyDescent="0.3"/>
    <row r="25676" s="160" customFormat="1" x14ac:dyDescent="0.3"/>
    <row r="25677" s="160" customFormat="1" x14ac:dyDescent="0.3"/>
    <row r="25678" s="160" customFormat="1" x14ac:dyDescent="0.3"/>
    <row r="25679" s="160" customFormat="1" x14ac:dyDescent="0.3"/>
    <row r="25680" s="160" customFormat="1" x14ac:dyDescent="0.3"/>
    <row r="25681" s="160" customFormat="1" x14ac:dyDescent="0.3"/>
    <row r="25682" s="160" customFormat="1" x14ac:dyDescent="0.3"/>
    <row r="25683" s="160" customFormat="1" x14ac:dyDescent="0.3"/>
    <row r="25684" s="160" customFormat="1" x14ac:dyDescent="0.3"/>
    <row r="25685" s="160" customFormat="1" x14ac:dyDescent="0.3"/>
    <row r="25686" s="160" customFormat="1" x14ac:dyDescent="0.3"/>
    <row r="25687" s="160" customFormat="1" x14ac:dyDescent="0.3"/>
    <row r="25688" s="160" customFormat="1" x14ac:dyDescent="0.3"/>
    <row r="25689" s="160" customFormat="1" x14ac:dyDescent="0.3"/>
    <row r="25690" s="160" customFormat="1" x14ac:dyDescent="0.3"/>
    <row r="25691" s="160" customFormat="1" x14ac:dyDescent="0.3"/>
    <row r="25692" s="160" customFormat="1" x14ac:dyDescent="0.3"/>
    <row r="25693" s="160" customFormat="1" x14ac:dyDescent="0.3"/>
    <row r="25694" s="160" customFormat="1" x14ac:dyDescent="0.3"/>
    <row r="25695" s="160" customFormat="1" x14ac:dyDescent="0.3"/>
    <row r="25696" s="160" customFormat="1" x14ac:dyDescent="0.3"/>
    <row r="25697" s="160" customFormat="1" x14ac:dyDescent="0.3"/>
    <row r="25698" s="160" customFormat="1" x14ac:dyDescent="0.3"/>
    <row r="25699" s="160" customFormat="1" x14ac:dyDescent="0.3"/>
    <row r="25700" s="160" customFormat="1" x14ac:dyDescent="0.3"/>
    <row r="25701" s="160" customFormat="1" x14ac:dyDescent="0.3"/>
    <row r="25702" s="160" customFormat="1" x14ac:dyDescent="0.3"/>
    <row r="25703" s="160" customFormat="1" x14ac:dyDescent="0.3"/>
    <row r="25704" s="160" customFormat="1" x14ac:dyDescent="0.3"/>
    <row r="25705" s="160" customFormat="1" x14ac:dyDescent="0.3"/>
    <row r="25706" s="160" customFormat="1" x14ac:dyDescent="0.3"/>
    <row r="25707" s="160" customFormat="1" x14ac:dyDescent="0.3"/>
    <row r="25708" s="160" customFormat="1" x14ac:dyDescent="0.3"/>
    <row r="25709" s="160" customFormat="1" x14ac:dyDescent="0.3"/>
    <row r="25710" s="160" customFormat="1" x14ac:dyDescent="0.3"/>
    <row r="25711" s="160" customFormat="1" x14ac:dyDescent="0.3"/>
    <row r="25712" s="160" customFormat="1" x14ac:dyDescent="0.3"/>
    <row r="25713" s="160" customFormat="1" x14ac:dyDescent="0.3"/>
    <row r="25714" s="160" customFormat="1" x14ac:dyDescent="0.3"/>
    <row r="25715" s="160" customFormat="1" x14ac:dyDescent="0.3"/>
    <row r="25716" s="160" customFormat="1" x14ac:dyDescent="0.3"/>
    <row r="25717" s="160" customFormat="1" x14ac:dyDescent="0.3"/>
    <row r="25718" s="160" customFormat="1" x14ac:dyDescent="0.3"/>
    <row r="25719" s="160" customFormat="1" x14ac:dyDescent="0.3"/>
    <row r="25720" s="160" customFormat="1" x14ac:dyDescent="0.3"/>
    <row r="25721" s="160" customFormat="1" x14ac:dyDescent="0.3"/>
    <row r="25722" s="160" customFormat="1" x14ac:dyDescent="0.3"/>
    <row r="25723" s="160" customFormat="1" x14ac:dyDescent="0.3"/>
    <row r="25724" s="160" customFormat="1" x14ac:dyDescent="0.3"/>
    <row r="25725" s="160" customFormat="1" x14ac:dyDescent="0.3"/>
    <row r="25726" s="160" customFormat="1" x14ac:dyDescent="0.3"/>
    <row r="25727" s="160" customFormat="1" x14ac:dyDescent="0.3"/>
    <row r="25728" s="160" customFormat="1" x14ac:dyDescent="0.3"/>
    <row r="25729" s="160" customFormat="1" x14ac:dyDescent="0.3"/>
    <row r="25730" s="160" customFormat="1" x14ac:dyDescent="0.3"/>
    <row r="25731" s="160" customFormat="1" x14ac:dyDescent="0.3"/>
    <row r="25732" s="160" customFormat="1" x14ac:dyDescent="0.3"/>
    <row r="25733" s="160" customFormat="1" x14ac:dyDescent="0.3"/>
    <row r="25734" s="160" customFormat="1" x14ac:dyDescent="0.3"/>
    <row r="25735" s="160" customFormat="1" x14ac:dyDescent="0.3"/>
    <row r="25736" s="160" customFormat="1" x14ac:dyDescent="0.3"/>
    <row r="25737" s="160" customFormat="1" x14ac:dyDescent="0.3"/>
    <row r="25738" s="160" customFormat="1" x14ac:dyDescent="0.3"/>
    <row r="25739" s="160" customFormat="1" x14ac:dyDescent="0.3"/>
    <row r="25740" s="160" customFormat="1" x14ac:dyDescent="0.3"/>
    <row r="25741" s="160" customFormat="1" x14ac:dyDescent="0.3"/>
    <row r="25742" s="160" customFormat="1" x14ac:dyDescent="0.3"/>
    <row r="25743" s="160" customFormat="1" x14ac:dyDescent="0.3"/>
    <row r="25744" s="160" customFormat="1" x14ac:dyDescent="0.3"/>
    <row r="25745" s="160" customFormat="1" x14ac:dyDescent="0.3"/>
    <row r="25746" s="160" customFormat="1" x14ac:dyDescent="0.3"/>
    <row r="25747" s="160" customFormat="1" x14ac:dyDescent="0.3"/>
    <row r="25748" s="160" customFormat="1" x14ac:dyDescent="0.3"/>
    <row r="25749" s="160" customFormat="1" x14ac:dyDescent="0.3"/>
    <row r="25750" s="160" customFormat="1" x14ac:dyDescent="0.3"/>
    <row r="25751" s="160" customFormat="1" x14ac:dyDescent="0.3"/>
    <row r="25752" s="160" customFormat="1" x14ac:dyDescent="0.3"/>
    <row r="25753" s="160" customFormat="1" x14ac:dyDescent="0.3"/>
    <row r="25754" s="160" customFormat="1" x14ac:dyDescent="0.3"/>
    <row r="25755" s="160" customFormat="1" x14ac:dyDescent="0.3"/>
    <row r="25756" s="160" customFormat="1" x14ac:dyDescent="0.3"/>
    <row r="25757" s="160" customFormat="1" x14ac:dyDescent="0.3"/>
    <row r="25758" s="160" customFormat="1" x14ac:dyDescent="0.3"/>
    <row r="25759" s="160" customFormat="1" x14ac:dyDescent="0.3"/>
    <row r="25760" s="160" customFormat="1" x14ac:dyDescent="0.3"/>
    <row r="25761" s="160" customFormat="1" x14ac:dyDescent="0.3"/>
    <row r="25762" s="160" customFormat="1" x14ac:dyDescent="0.3"/>
    <row r="25763" s="160" customFormat="1" x14ac:dyDescent="0.3"/>
    <row r="25764" s="160" customFormat="1" x14ac:dyDescent="0.3"/>
    <row r="25765" s="160" customFormat="1" x14ac:dyDescent="0.3"/>
    <row r="25766" s="160" customFormat="1" x14ac:dyDescent="0.3"/>
    <row r="25767" s="160" customFormat="1" x14ac:dyDescent="0.3"/>
    <row r="25768" s="160" customFormat="1" x14ac:dyDescent="0.3"/>
    <row r="25769" s="160" customFormat="1" x14ac:dyDescent="0.3"/>
    <row r="25770" s="160" customFormat="1" x14ac:dyDescent="0.3"/>
    <row r="25771" s="160" customFormat="1" x14ac:dyDescent="0.3"/>
    <row r="25772" s="160" customFormat="1" x14ac:dyDescent="0.3"/>
    <row r="25773" s="160" customFormat="1" x14ac:dyDescent="0.3"/>
    <row r="25774" s="160" customFormat="1" x14ac:dyDescent="0.3"/>
    <row r="25775" s="160" customFormat="1" x14ac:dyDescent="0.3"/>
    <row r="25776" s="160" customFormat="1" x14ac:dyDescent="0.3"/>
    <row r="25777" s="160" customFormat="1" x14ac:dyDescent="0.3"/>
    <row r="25778" s="160" customFormat="1" x14ac:dyDescent="0.3"/>
    <row r="25779" s="160" customFormat="1" x14ac:dyDescent="0.3"/>
    <row r="25780" s="160" customFormat="1" x14ac:dyDescent="0.3"/>
    <row r="25781" s="160" customFormat="1" x14ac:dyDescent="0.3"/>
    <row r="25782" s="160" customFormat="1" x14ac:dyDescent="0.3"/>
    <row r="25783" s="160" customFormat="1" x14ac:dyDescent="0.3"/>
    <row r="25784" s="160" customFormat="1" x14ac:dyDescent="0.3"/>
    <row r="25785" s="160" customFormat="1" x14ac:dyDescent="0.3"/>
    <row r="25786" s="160" customFormat="1" x14ac:dyDescent="0.3"/>
    <row r="25787" s="160" customFormat="1" x14ac:dyDescent="0.3"/>
    <row r="25788" s="160" customFormat="1" x14ac:dyDescent="0.3"/>
    <row r="25789" s="160" customFormat="1" x14ac:dyDescent="0.3"/>
    <row r="25790" s="160" customFormat="1" x14ac:dyDescent="0.3"/>
    <row r="25791" s="160" customFormat="1" x14ac:dyDescent="0.3"/>
    <row r="25792" s="160" customFormat="1" x14ac:dyDescent="0.3"/>
    <row r="25793" s="160" customFormat="1" x14ac:dyDescent="0.3"/>
    <row r="25794" s="160" customFormat="1" x14ac:dyDescent="0.3"/>
    <row r="25795" s="160" customFormat="1" x14ac:dyDescent="0.3"/>
    <row r="25796" s="160" customFormat="1" x14ac:dyDescent="0.3"/>
    <row r="25797" s="160" customFormat="1" x14ac:dyDescent="0.3"/>
    <row r="25798" s="160" customFormat="1" x14ac:dyDescent="0.3"/>
    <row r="25799" s="160" customFormat="1" x14ac:dyDescent="0.3"/>
    <row r="25800" s="160" customFormat="1" x14ac:dyDescent="0.3"/>
    <row r="25801" s="160" customFormat="1" x14ac:dyDescent="0.3"/>
    <row r="25802" s="160" customFormat="1" x14ac:dyDescent="0.3"/>
    <row r="25803" s="160" customFormat="1" x14ac:dyDescent="0.3"/>
    <row r="25804" s="160" customFormat="1" x14ac:dyDescent="0.3"/>
    <row r="25805" s="160" customFormat="1" x14ac:dyDescent="0.3"/>
    <row r="25806" s="160" customFormat="1" x14ac:dyDescent="0.3"/>
    <row r="25807" s="160" customFormat="1" x14ac:dyDescent="0.3"/>
    <row r="25808" s="160" customFormat="1" x14ac:dyDescent="0.3"/>
    <row r="25809" s="160" customFormat="1" x14ac:dyDescent="0.3"/>
    <row r="25810" s="160" customFormat="1" x14ac:dyDescent="0.3"/>
    <row r="25811" s="160" customFormat="1" x14ac:dyDescent="0.3"/>
    <row r="25812" s="160" customFormat="1" x14ac:dyDescent="0.3"/>
    <row r="25813" s="160" customFormat="1" x14ac:dyDescent="0.3"/>
    <row r="25814" s="160" customFormat="1" x14ac:dyDescent="0.3"/>
    <row r="25815" s="160" customFormat="1" x14ac:dyDescent="0.3"/>
    <row r="25816" s="160" customFormat="1" x14ac:dyDescent="0.3"/>
    <row r="25817" s="160" customFormat="1" x14ac:dyDescent="0.3"/>
    <row r="25818" s="160" customFormat="1" x14ac:dyDescent="0.3"/>
    <row r="25819" s="160" customFormat="1" x14ac:dyDescent="0.3"/>
    <row r="25820" s="160" customFormat="1" x14ac:dyDescent="0.3"/>
    <row r="25821" s="160" customFormat="1" x14ac:dyDescent="0.3"/>
    <row r="25822" s="160" customFormat="1" x14ac:dyDescent="0.3"/>
    <row r="25823" s="160" customFormat="1" x14ac:dyDescent="0.3"/>
    <row r="25824" s="160" customFormat="1" x14ac:dyDescent="0.3"/>
    <row r="25825" s="160" customFormat="1" x14ac:dyDescent="0.3"/>
    <row r="25826" s="160" customFormat="1" x14ac:dyDescent="0.3"/>
    <row r="25827" s="160" customFormat="1" x14ac:dyDescent="0.3"/>
    <row r="25828" s="160" customFormat="1" x14ac:dyDescent="0.3"/>
    <row r="25829" s="160" customFormat="1" x14ac:dyDescent="0.3"/>
    <row r="25830" s="160" customFormat="1" x14ac:dyDescent="0.3"/>
    <row r="25831" s="160" customFormat="1" x14ac:dyDescent="0.3"/>
    <row r="25832" s="160" customFormat="1" x14ac:dyDescent="0.3"/>
    <row r="25833" s="160" customFormat="1" x14ac:dyDescent="0.3"/>
    <row r="25834" s="160" customFormat="1" x14ac:dyDescent="0.3"/>
    <row r="25835" s="160" customFormat="1" x14ac:dyDescent="0.3"/>
    <row r="25836" s="160" customFormat="1" x14ac:dyDescent="0.3"/>
    <row r="25837" s="160" customFormat="1" x14ac:dyDescent="0.3"/>
    <row r="25838" s="160" customFormat="1" x14ac:dyDescent="0.3"/>
    <row r="25839" s="160" customFormat="1" x14ac:dyDescent="0.3"/>
    <row r="25840" s="160" customFormat="1" x14ac:dyDescent="0.3"/>
    <row r="25841" s="160" customFormat="1" x14ac:dyDescent="0.3"/>
    <row r="25842" s="160" customFormat="1" x14ac:dyDescent="0.3"/>
    <row r="25843" s="160" customFormat="1" x14ac:dyDescent="0.3"/>
    <row r="25844" s="160" customFormat="1" x14ac:dyDescent="0.3"/>
    <row r="25845" s="160" customFormat="1" x14ac:dyDescent="0.3"/>
    <row r="25846" s="160" customFormat="1" x14ac:dyDescent="0.3"/>
    <row r="25847" s="160" customFormat="1" x14ac:dyDescent="0.3"/>
    <row r="25848" s="160" customFormat="1" x14ac:dyDescent="0.3"/>
    <row r="25849" s="160" customFormat="1" x14ac:dyDescent="0.3"/>
    <row r="25850" s="160" customFormat="1" x14ac:dyDescent="0.3"/>
    <row r="25851" s="160" customFormat="1" x14ac:dyDescent="0.3"/>
    <row r="25852" s="160" customFormat="1" x14ac:dyDescent="0.3"/>
    <row r="25853" s="160" customFormat="1" x14ac:dyDescent="0.3"/>
    <row r="25854" s="160" customFormat="1" x14ac:dyDescent="0.3"/>
    <row r="25855" s="160" customFormat="1" x14ac:dyDescent="0.3"/>
    <row r="25856" s="160" customFormat="1" x14ac:dyDescent="0.3"/>
    <row r="25857" s="160" customFormat="1" x14ac:dyDescent="0.3"/>
    <row r="25858" s="160" customFormat="1" x14ac:dyDescent="0.3"/>
    <row r="25859" s="160" customFormat="1" x14ac:dyDescent="0.3"/>
    <row r="25860" s="160" customFormat="1" x14ac:dyDescent="0.3"/>
    <row r="25861" s="160" customFormat="1" x14ac:dyDescent="0.3"/>
    <row r="25862" s="160" customFormat="1" x14ac:dyDescent="0.3"/>
    <row r="25863" s="160" customFormat="1" x14ac:dyDescent="0.3"/>
    <row r="25864" s="160" customFormat="1" x14ac:dyDescent="0.3"/>
    <row r="25865" s="160" customFormat="1" x14ac:dyDescent="0.3"/>
    <row r="25866" s="160" customFormat="1" x14ac:dyDescent="0.3"/>
    <row r="25867" s="160" customFormat="1" x14ac:dyDescent="0.3"/>
    <row r="25868" s="160" customFormat="1" x14ac:dyDescent="0.3"/>
    <row r="25869" s="160" customFormat="1" x14ac:dyDescent="0.3"/>
    <row r="25870" s="160" customFormat="1" x14ac:dyDescent="0.3"/>
    <row r="25871" s="160" customFormat="1" x14ac:dyDescent="0.3"/>
    <row r="25872" s="160" customFormat="1" x14ac:dyDescent="0.3"/>
    <row r="25873" s="160" customFormat="1" x14ac:dyDescent="0.3"/>
    <row r="25874" s="160" customFormat="1" x14ac:dyDescent="0.3"/>
    <row r="25875" s="160" customFormat="1" x14ac:dyDescent="0.3"/>
    <row r="25876" s="160" customFormat="1" x14ac:dyDescent="0.3"/>
    <row r="25877" s="160" customFormat="1" x14ac:dyDescent="0.3"/>
    <row r="25878" s="160" customFormat="1" x14ac:dyDescent="0.3"/>
    <row r="25879" s="160" customFormat="1" x14ac:dyDescent="0.3"/>
    <row r="25880" s="160" customFormat="1" x14ac:dyDescent="0.3"/>
    <row r="25881" s="160" customFormat="1" x14ac:dyDescent="0.3"/>
    <row r="25882" s="160" customFormat="1" x14ac:dyDescent="0.3"/>
    <row r="25883" s="160" customFormat="1" x14ac:dyDescent="0.3"/>
    <row r="25884" s="160" customFormat="1" x14ac:dyDescent="0.3"/>
    <row r="25885" s="160" customFormat="1" x14ac:dyDescent="0.3"/>
    <row r="25886" s="160" customFormat="1" x14ac:dyDescent="0.3"/>
    <row r="25887" s="160" customFormat="1" x14ac:dyDescent="0.3"/>
    <row r="25888" s="160" customFormat="1" x14ac:dyDescent="0.3"/>
    <row r="25889" s="160" customFormat="1" x14ac:dyDescent="0.3"/>
    <row r="25890" s="160" customFormat="1" x14ac:dyDescent="0.3"/>
    <row r="25891" s="160" customFormat="1" x14ac:dyDescent="0.3"/>
    <row r="25892" s="160" customFormat="1" x14ac:dyDescent="0.3"/>
    <row r="25893" s="160" customFormat="1" x14ac:dyDescent="0.3"/>
    <row r="25894" s="160" customFormat="1" x14ac:dyDescent="0.3"/>
    <row r="25895" s="160" customFormat="1" x14ac:dyDescent="0.3"/>
    <row r="25896" s="160" customFormat="1" x14ac:dyDescent="0.3"/>
    <row r="25897" s="160" customFormat="1" x14ac:dyDescent="0.3"/>
    <row r="25898" s="160" customFormat="1" x14ac:dyDescent="0.3"/>
    <row r="25899" s="160" customFormat="1" x14ac:dyDescent="0.3"/>
    <row r="25900" s="160" customFormat="1" x14ac:dyDescent="0.3"/>
    <row r="25901" s="160" customFormat="1" x14ac:dyDescent="0.3"/>
    <row r="25902" s="160" customFormat="1" x14ac:dyDescent="0.3"/>
    <row r="25903" s="160" customFormat="1" x14ac:dyDescent="0.3"/>
    <row r="25904" s="160" customFormat="1" x14ac:dyDescent="0.3"/>
    <row r="25905" s="160" customFormat="1" x14ac:dyDescent="0.3"/>
    <row r="25906" s="160" customFormat="1" x14ac:dyDescent="0.3"/>
    <row r="25907" s="160" customFormat="1" x14ac:dyDescent="0.3"/>
    <row r="25908" s="160" customFormat="1" x14ac:dyDescent="0.3"/>
    <row r="25909" s="160" customFormat="1" x14ac:dyDescent="0.3"/>
    <row r="25910" s="160" customFormat="1" x14ac:dyDescent="0.3"/>
    <row r="25911" s="160" customFormat="1" x14ac:dyDescent="0.3"/>
    <row r="25912" s="160" customFormat="1" x14ac:dyDescent="0.3"/>
    <row r="25913" s="160" customFormat="1" x14ac:dyDescent="0.3"/>
    <row r="25914" s="160" customFormat="1" x14ac:dyDescent="0.3"/>
    <row r="25915" s="160" customFormat="1" x14ac:dyDescent="0.3"/>
    <row r="25916" s="160" customFormat="1" x14ac:dyDescent="0.3"/>
    <row r="25917" s="160" customFormat="1" x14ac:dyDescent="0.3"/>
    <row r="25918" s="160" customFormat="1" x14ac:dyDescent="0.3"/>
    <row r="25919" s="160" customFormat="1" x14ac:dyDescent="0.3"/>
    <row r="25920" s="160" customFormat="1" x14ac:dyDescent="0.3"/>
    <row r="25921" s="160" customFormat="1" x14ac:dyDescent="0.3"/>
    <row r="25922" s="160" customFormat="1" x14ac:dyDescent="0.3"/>
    <row r="25923" s="160" customFormat="1" x14ac:dyDescent="0.3"/>
    <row r="25924" s="160" customFormat="1" x14ac:dyDescent="0.3"/>
    <row r="25925" s="160" customFormat="1" x14ac:dyDescent="0.3"/>
    <row r="25926" s="160" customFormat="1" x14ac:dyDescent="0.3"/>
    <row r="25927" s="160" customFormat="1" x14ac:dyDescent="0.3"/>
    <row r="25928" s="160" customFormat="1" x14ac:dyDescent="0.3"/>
    <row r="25929" s="160" customFormat="1" x14ac:dyDescent="0.3"/>
    <row r="25930" s="160" customFormat="1" x14ac:dyDescent="0.3"/>
    <row r="25931" s="160" customFormat="1" x14ac:dyDescent="0.3"/>
    <row r="25932" s="160" customFormat="1" x14ac:dyDescent="0.3"/>
    <row r="25933" s="160" customFormat="1" x14ac:dyDescent="0.3"/>
    <row r="25934" s="160" customFormat="1" x14ac:dyDescent="0.3"/>
    <row r="25935" s="160" customFormat="1" x14ac:dyDescent="0.3"/>
    <row r="25936" s="160" customFormat="1" x14ac:dyDescent="0.3"/>
    <row r="25937" s="160" customFormat="1" x14ac:dyDescent="0.3"/>
    <row r="25938" s="160" customFormat="1" x14ac:dyDescent="0.3"/>
    <row r="25939" s="160" customFormat="1" x14ac:dyDescent="0.3"/>
    <row r="25940" s="160" customFormat="1" x14ac:dyDescent="0.3"/>
    <row r="25941" s="160" customFormat="1" x14ac:dyDescent="0.3"/>
    <row r="25942" s="160" customFormat="1" x14ac:dyDescent="0.3"/>
    <row r="25943" s="160" customFormat="1" x14ac:dyDescent="0.3"/>
    <row r="25944" s="160" customFormat="1" x14ac:dyDescent="0.3"/>
    <row r="25945" s="160" customFormat="1" x14ac:dyDescent="0.3"/>
    <row r="25946" s="160" customFormat="1" x14ac:dyDescent="0.3"/>
    <row r="25947" s="160" customFormat="1" x14ac:dyDescent="0.3"/>
    <row r="25948" s="160" customFormat="1" x14ac:dyDescent="0.3"/>
    <row r="25949" s="160" customFormat="1" x14ac:dyDescent="0.3"/>
    <row r="25950" s="160" customFormat="1" x14ac:dyDescent="0.3"/>
    <row r="25951" s="160" customFormat="1" x14ac:dyDescent="0.3"/>
    <row r="25952" s="160" customFormat="1" x14ac:dyDescent="0.3"/>
    <row r="25953" s="160" customFormat="1" x14ac:dyDescent="0.3"/>
    <row r="25954" s="160" customFormat="1" x14ac:dyDescent="0.3"/>
    <row r="25955" s="160" customFormat="1" x14ac:dyDescent="0.3"/>
    <row r="25956" s="160" customFormat="1" x14ac:dyDescent="0.3"/>
    <row r="25957" s="160" customFormat="1" x14ac:dyDescent="0.3"/>
    <row r="25958" s="160" customFormat="1" x14ac:dyDescent="0.3"/>
    <row r="25959" s="160" customFormat="1" x14ac:dyDescent="0.3"/>
    <row r="25960" s="160" customFormat="1" x14ac:dyDescent="0.3"/>
    <row r="25961" s="160" customFormat="1" x14ac:dyDescent="0.3"/>
    <row r="25962" s="160" customFormat="1" x14ac:dyDescent="0.3"/>
    <row r="25963" s="160" customFormat="1" x14ac:dyDescent="0.3"/>
    <row r="25964" s="160" customFormat="1" x14ac:dyDescent="0.3"/>
    <row r="25965" s="160" customFormat="1" x14ac:dyDescent="0.3"/>
    <row r="25966" s="160" customFormat="1" x14ac:dyDescent="0.3"/>
    <row r="25967" s="160" customFormat="1" x14ac:dyDescent="0.3"/>
    <row r="25968" s="160" customFormat="1" x14ac:dyDescent="0.3"/>
    <row r="25969" s="160" customFormat="1" x14ac:dyDescent="0.3"/>
    <row r="25970" s="160" customFormat="1" x14ac:dyDescent="0.3"/>
    <row r="25971" s="160" customFormat="1" x14ac:dyDescent="0.3"/>
    <row r="25972" s="160" customFormat="1" x14ac:dyDescent="0.3"/>
    <row r="25973" s="160" customFormat="1" x14ac:dyDescent="0.3"/>
    <row r="25974" s="160" customFormat="1" x14ac:dyDescent="0.3"/>
    <row r="25975" s="160" customFormat="1" x14ac:dyDescent="0.3"/>
    <row r="25976" s="160" customFormat="1" x14ac:dyDescent="0.3"/>
    <row r="25977" s="160" customFormat="1" x14ac:dyDescent="0.3"/>
    <row r="25978" s="160" customFormat="1" x14ac:dyDescent="0.3"/>
    <row r="25979" s="160" customFormat="1" x14ac:dyDescent="0.3"/>
    <row r="25980" s="160" customFormat="1" x14ac:dyDescent="0.3"/>
    <row r="25981" s="160" customFormat="1" x14ac:dyDescent="0.3"/>
    <row r="25982" s="160" customFormat="1" x14ac:dyDescent="0.3"/>
    <row r="25983" s="160" customFormat="1" x14ac:dyDescent="0.3"/>
    <row r="25984" s="160" customFormat="1" x14ac:dyDescent="0.3"/>
    <row r="25985" s="160" customFormat="1" x14ac:dyDescent="0.3"/>
    <row r="25986" s="160" customFormat="1" x14ac:dyDescent="0.3"/>
    <row r="25987" s="160" customFormat="1" x14ac:dyDescent="0.3"/>
    <row r="25988" s="160" customFormat="1" x14ac:dyDescent="0.3"/>
    <row r="25989" s="160" customFormat="1" x14ac:dyDescent="0.3"/>
    <row r="25990" s="160" customFormat="1" x14ac:dyDescent="0.3"/>
    <row r="25991" s="160" customFormat="1" x14ac:dyDescent="0.3"/>
    <row r="25992" s="160" customFormat="1" x14ac:dyDescent="0.3"/>
    <row r="25993" s="160" customFormat="1" x14ac:dyDescent="0.3"/>
    <row r="25994" s="160" customFormat="1" x14ac:dyDescent="0.3"/>
    <row r="25995" s="160" customFormat="1" x14ac:dyDescent="0.3"/>
    <row r="25996" s="160" customFormat="1" x14ac:dyDescent="0.3"/>
    <row r="25997" s="160" customFormat="1" x14ac:dyDescent="0.3"/>
    <row r="25998" s="160" customFormat="1" x14ac:dyDescent="0.3"/>
    <row r="25999" s="160" customFormat="1" x14ac:dyDescent="0.3"/>
    <row r="26000" s="160" customFormat="1" x14ac:dyDescent="0.3"/>
    <row r="26001" s="160" customFormat="1" x14ac:dyDescent="0.3"/>
    <row r="26002" s="160" customFormat="1" x14ac:dyDescent="0.3"/>
    <row r="26003" s="160" customFormat="1" x14ac:dyDescent="0.3"/>
    <row r="26004" s="160" customFormat="1" x14ac:dyDescent="0.3"/>
    <row r="26005" s="160" customFormat="1" x14ac:dyDescent="0.3"/>
    <row r="26006" s="160" customFormat="1" x14ac:dyDescent="0.3"/>
    <row r="26007" s="160" customFormat="1" x14ac:dyDescent="0.3"/>
    <row r="26008" s="160" customFormat="1" x14ac:dyDescent="0.3"/>
    <row r="26009" s="160" customFormat="1" x14ac:dyDescent="0.3"/>
    <row r="26010" s="160" customFormat="1" x14ac:dyDescent="0.3"/>
    <row r="26011" s="160" customFormat="1" x14ac:dyDescent="0.3"/>
    <row r="26012" s="160" customFormat="1" x14ac:dyDescent="0.3"/>
    <row r="26013" s="160" customFormat="1" x14ac:dyDescent="0.3"/>
    <row r="26014" s="160" customFormat="1" x14ac:dyDescent="0.3"/>
    <row r="26015" s="160" customFormat="1" x14ac:dyDescent="0.3"/>
    <row r="26016" s="160" customFormat="1" x14ac:dyDescent="0.3"/>
    <row r="26017" s="160" customFormat="1" x14ac:dyDescent="0.3"/>
    <row r="26018" s="160" customFormat="1" x14ac:dyDescent="0.3"/>
    <row r="26019" s="160" customFormat="1" x14ac:dyDescent="0.3"/>
    <row r="26020" s="160" customFormat="1" x14ac:dyDescent="0.3"/>
    <row r="26021" s="160" customFormat="1" x14ac:dyDescent="0.3"/>
    <row r="26022" s="160" customFormat="1" x14ac:dyDescent="0.3"/>
    <row r="26023" s="160" customFormat="1" x14ac:dyDescent="0.3"/>
    <row r="26024" s="160" customFormat="1" x14ac:dyDescent="0.3"/>
    <row r="26025" s="160" customFormat="1" x14ac:dyDescent="0.3"/>
    <row r="26026" s="160" customFormat="1" x14ac:dyDescent="0.3"/>
    <row r="26027" s="160" customFormat="1" x14ac:dyDescent="0.3"/>
    <row r="26028" s="160" customFormat="1" x14ac:dyDescent="0.3"/>
    <row r="26029" s="160" customFormat="1" x14ac:dyDescent="0.3"/>
    <row r="26030" s="160" customFormat="1" x14ac:dyDescent="0.3"/>
    <row r="26031" s="160" customFormat="1" x14ac:dyDescent="0.3"/>
    <row r="26032" s="160" customFormat="1" x14ac:dyDescent="0.3"/>
    <row r="26033" s="160" customFormat="1" x14ac:dyDescent="0.3"/>
    <row r="26034" s="160" customFormat="1" x14ac:dyDescent="0.3"/>
    <row r="26035" s="160" customFormat="1" x14ac:dyDescent="0.3"/>
    <row r="26036" s="160" customFormat="1" x14ac:dyDescent="0.3"/>
    <row r="26037" s="160" customFormat="1" x14ac:dyDescent="0.3"/>
    <row r="26038" s="160" customFormat="1" x14ac:dyDescent="0.3"/>
    <row r="26039" s="160" customFormat="1" x14ac:dyDescent="0.3"/>
    <row r="26040" s="160" customFormat="1" x14ac:dyDescent="0.3"/>
    <row r="26041" s="160" customFormat="1" x14ac:dyDescent="0.3"/>
    <row r="26042" s="160" customFormat="1" x14ac:dyDescent="0.3"/>
    <row r="26043" s="160" customFormat="1" x14ac:dyDescent="0.3"/>
    <row r="26044" s="160" customFormat="1" x14ac:dyDescent="0.3"/>
    <row r="26045" s="160" customFormat="1" x14ac:dyDescent="0.3"/>
    <row r="26046" s="160" customFormat="1" x14ac:dyDescent="0.3"/>
    <row r="26047" s="160" customFormat="1" x14ac:dyDescent="0.3"/>
    <row r="26048" s="160" customFormat="1" x14ac:dyDescent="0.3"/>
    <row r="26049" s="160" customFormat="1" x14ac:dyDescent="0.3"/>
    <row r="26050" s="160" customFormat="1" x14ac:dyDescent="0.3"/>
    <row r="26051" s="160" customFormat="1" x14ac:dyDescent="0.3"/>
    <row r="26052" s="160" customFormat="1" x14ac:dyDescent="0.3"/>
    <row r="26053" s="160" customFormat="1" x14ac:dyDescent="0.3"/>
    <row r="26054" s="160" customFormat="1" x14ac:dyDescent="0.3"/>
    <row r="26055" s="160" customFormat="1" x14ac:dyDescent="0.3"/>
    <row r="26056" s="160" customFormat="1" x14ac:dyDescent="0.3"/>
    <row r="26057" s="160" customFormat="1" x14ac:dyDescent="0.3"/>
    <row r="26058" s="160" customFormat="1" x14ac:dyDescent="0.3"/>
    <row r="26059" s="160" customFormat="1" x14ac:dyDescent="0.3"/>
    <row r="26060" s="160" customFormat="1" x14ac:dyDescent="0.3"/>
    <row r="26061" s="160" customFormat="1" x14ac:dyDescent="0.3"/>
    <row r="26062" s="160" customFormat="1" x14ac:dyDescent="0.3"/>
    <row r="26063" s="160" customFormat="1" x14ac:dyDescent="0.3"/>
    <row r="26064" s="160" customFormat="1" x14ac:dyDescent="0.3"/>
    <row r="26065" s="160" customFormat="1" x14ac:dyDescent="0.3"/>
    <row r="26066" s="160" customFormat="1" x14ac:dyDescent="0.3"/>
    <row r="26067" s="160" customFormat="1" x14ac:dyDescent="0.3"/>
    <row r="26068" s="160" customFormat="1" x14ac:dyDescent="0.3"/>
    <row r="26069" s="160" customFormat="1" x14ac:dyDescent="0.3"/>
    <row r="26070" s="160" customFormat="1" x14ac:dyDescent="0.3"/>
    <row r="26071" s="160" customFormat="1" x14ac:dyDescent="0.3"/>
    <row r="26072" s="160" customFormat="1" x14ac:dyDescent="0.3"/>
    <row r="26073" s="160" customFormat="1" x14ac:dyDescent="0.3"/>
    <row r="26074" s="160" customFormat="1" x14ac:dyDescent="0.3"/>
    <row r="26075" s="160" customFormat="1" x14ac:dyDescent="0.3"/>
    <row r="26076" s="160" customFormat="1" x14ac:dyDescent="0.3"/>
    <row r="26077" s="160" customFormat="1" x14ac:dyDescent="0.3"/>
    <row r="26078" s="160" customFormat="1" x14ac:dyDescent="0.3"/>
    <row r="26079" s="160" customFormat="1" x14ac:dyDescent="0.3"/>
    <row r="26080" s="160" customFormat="1" x14ac:dyDescent="0.3"/>
    <row r="26081" s="160" customFormat="1" x14ac:dyDescent="0.3"/>
    <row r="26082" s="160" customFormat="1" x14ac:dyDescent="0.3"/>
    <row r="26083" s="160" customFormat="1" x14ac:dyDescent="0.3"/>
    <row r="26084" s="160" customFormat="1" x14ac:dyDescent="0.3"/>
    <row r="26085" s="160" customFormat="1" x14ac:dyDescent="0.3"/>
    <row r="26086" s="160" customFormat="1" x14ac:dyDescent="0.3"/>
    <row r="26087" s="160" customFormat="1" x14ac:dyDescent="0.3"/>
    <row r="26088" s="160" customFormat="1" x14ac:dyDescent="0.3"/>
    <row r="26089" s="160" customFormat="1" x14ac:dyDescent="0.3"/>
    <row r="26090" s="160" customFormat="1" x14ac:dyDescent="0.3"/>
    <row r="26091" s="160" customFormat="1" x14ac:dyDescent="0.3"/>
    <row r="26092" s="160" customFormat="1" x14ac:dyDescent="0.3"/>
    <row r="26093" s="160" customFormat="1" x14ac:dyDescent="0.3"/>
    <row r="26094" s="160" customFormat="1" x14ac:dyDescent="0.3"/>
    <row r="26095" s="160" customFormat="1" x14ac:dyDescent="0.3"/>
    <row r="26096" s="160" customFormat="1" x14ac:dyDescent="0.3"/>
    <row r="26097" s="160" customFormat="1" x14ac:dyDescent="0.3"/>
    <row r="26098" s="160" customFormat="1" x14ac:dyDescent="0.3"/>
    <row r="26099" s="160" customFormat="1" x14ac:dyDescent="0.3"/>
    <row r="26100" s="160" customFormat="1" x14ac:dyDescent="0.3"/>
    <row r="26101" s="160" customFormat="1" x14ac:dyDescent="0.3"/>
    <row r="26102" s="160" customFormat="1" x14ac:dyDescent="0.3"/>
    <row r="26103" s="160" customFormat="1" x14ac:dyDescent="0.3"/>
    <row r="26104" s="160" customFormat="1" x14ac:dyDescent="0.3"/>
    <row r="26105" s="160" customFormat="1" x14ac:dyDescent="0.3"/>
    <row r="26106" s="160" customFormat="1" x14ac:dyDescent="0.3"/>
    <row r="26107" s="160" customFormat="1" x14ac:dyDescent="0.3"/>
    <row r="26108" s="160" customFormat="1" x14ac:dyDescent="0.3"/>
    <row r="26109" s="160" customFormat="1" x14ac:dyDescent="0.3"/>
    <row r="26110" s="160" customFormat="1" x14ac:dyDescent="0.3"/>
    <row r="26111" s="160" customFormat="1" x14ac:dyDescent="0.3"/>
    <row r="26112" s="160" customFormat="1" x14ac:dyDescent="0.3"/>
    <row r="26113" s="160" customFormat="1" x14ac:dyDescent="0.3"/>
    <row r="26114" s="160" customFormat="1" x14ac:dyDescent="0.3"/>
    <row r="26115" s="160" customFormat="1" x14ac:dyDescent="0.3"/>
    <row r="26116" s="160" customFormat="1" x14ac:dyDescent="0.3"/>
    <row r="26117" s="160" customFormat="1" x14ac:dyDescent="0.3"/>
    <row r="26118" s="160" customFormat="1" x14ac:dyDescent="0.3"/>
    <row r="26119" s="160" customFormat="1" x14ac:dyDescent="0.3"/>
    <row r="26120" s="160" customFormat="1" x14ac:dyDescent="0.3"/>
    <row r="26121" s="160" customFormat="1" x14ac:dyDescent="0.3"/>
    <row r="26122" s="160" customFormat="1" x14ac:dyDescent="0.3"/>
    <row r="26123" s="160" customFormat="1" x14ac:dyDescent="0.3"/>
    <row r="26124" s="160" customFormat="1" x14ac:dyDescent="0.3"/>
    <row r="26125" s="160" customFormat="1" x14ac:dyDescent="0.3"/>
    <row r="26126" s="160" customFormat="1" x14ac:dyDescent="0.3"/>
    <row r="26127" s="160" customFormat="1" x14ac:dyDescent="0.3"/>
    <row r="26128" s="160" customFormat="1" x14ac:dyDescent="0.3"/>
    <row r="26129" s="160" customFormat="1" x14ac:dyDescent="0.3"/>
    <row r="26130" s="160" customFormat="1" x14ac:dyDescent="0.3"/>
    <row r="26131" s="160" customFormat="1" x14ac:dyDescent="0.3"/>
    <row r="26132" s="160" customFormat="1" x14ac:dyDescent="0.3"/>
    <row r="26133" s="160" customFormat="1" x14ac:dyDescent="0.3"/>
    <row r="26134" s="160" customFormat="1" x14ac:dyDescent="0.3"/>
    <row r="26135" s="160" customFormat="1" x14ac:dyDescent="0.3"/>
    <row r="26136" s="160" customFormat="1" x14ac:dyDescent="0.3"/>
    <row r="26137" s="160" customFormat="1" x14ac:dyDescent="0.3"/>
    <row r="26138" s="160" customFormat="1" x14ac:dyDescent="0.3"/>
    <row r="26139" s="160" customFormat="1" x14ac:dyDescent="0.3"/>
    <row r="26140" s="160" customFormat="1" x14ac:dyDescent="0.3"/>
    <row r="26141" s="160" customFormat="1" x14ac:dyDescent="0.3"/>
    <row r="26142" s="160" customFormat="1" x14ac:dyDescent="0.3"/>
    <row r="26143" s="160" customFormat="1" x14ac:dyDescent="0.3"/>
    <row r="26144" s="160" customFormat="1" x14ac:dyDescent="0.3"/>
    <row r="26145" s="160" customFormat="1" x14ac:dyDescent="0.3"/>
    <row r="26146" s="160" customFormat="1" x14ac:dyDescent="0.3"/>
    <row r="26147" s="160" customFormat="1" x14ac:dyDescent="0.3"/>
    <row r="26148" s="160" customFormat="1" x14ac:dyDescent="0.3"/>
    <row r="26149" s="160" customFormat="1" x14ac:dyDescent="0.3"/>
    <row r="26150" s="160" customFormat="1" x14ac:dyDescent="0.3"/>
    <row r="26151" s="160" customFormat="1" x14ac:dyDescent="0.3"/>
    <row r="26152" s="160" customFormat="1" x14ac:dyDescent="0.3"/>
    <row r="26153" s="160" customFormat="1" x14ac:dyDescent="0.3"/>
    <row r="26154" s="160" customFormat="1" x14ac:dyDescent="0.3"/>
    <row r="26155" s="160" customFormat="1" x14ac:dyDescent="0.3"/>
    <row r="26156" s="160" customFormat="1" x14ac:dyDescent="0.3"/>
    <row r="26157" s="160" customFormat="1" x14ac:dyDescent="0.3"/>
    <row r="26158" s="160" customFormat="1" x14ac:dyDescent="0.3"/>
    <row r="26159" s="160" customFormat="1" x14ac:dyDescent="0.3"/>
    <row r="26160" s="160" customFormat="1" x14ac:dyDescent="0.3"/>
    <row r="26161" s="160" customFormat="1" x14ac:dyDescent="0.3"/>
    <row r="26162" s="160" customFormat="1" x14ac:dyDescent="0.3"/>
    <row r="26163" s="160" customFormat="1" x14ac:dyDescent="0.3"/>
    <row r="26164" s="160" customFormat="1" x14ac:dyDescent="0.3"/>
    <row r="26165" s="160" customFormat="1" x14ac:dyDescent="0.3"/>
    <row r="26166" s="160" customFormat="1" x14ac:dyDescent="0.3"/>
    <row r="26167" s="160" customFormat="1" x14ac:dyDescent="0.3"/>
    <row r="26168" s="160" customFormat="1" x14ac:dyDescent="0.3"/>
    <row r="26169" s="160" customFormat="1" x14ac:dyDescent="0.3"/>
    <row r="26170" s="160" customFormat="1" x14ac:dyDescent="0.3"/>
    <row r="26171" s="160" customFormat="1" x14ac:dyDescent="0.3"/>
    <row r="26172" s="160" customFormat="1" x14ac:dyDescent="0.3"/>
    <row r="26173" s="160" customFormat="1" x14ac:dyDescent="0.3"/>
    <row r="26174" s="160" customFormat="1" x14ac:dyDescent="0.3"/>
    <row r="26175" s="160" customFormat="1" x14ac:dyDescent="0.3"/>
    <row r="26176" s="160" customFormat="1" x14ac:dyDescent="0.3"/>
    <row r="26177" s="160" customFormat="1" x14ac:dyDescent="0.3"/>
    <row r="26178" s="160" customFormat="1" x14ac:dyDescent="0.3"/>
    <row r="26179" s="160" customFormat="1" x14ac:dyDescent="0.3"/>
    <row r="26180" s="160" customFormat="1" x14ac:dyDescent="0.3"/>
    <row r="26181" s="160" customFormat="1" x14ac:dyDescent="0.3"/>
    <row r="26182" s="160" customFormat="1" x14ac:dyDescent="0.3"/>
    <row r="26183" s="160" customFormat="1" x14ac:dyDescent="0.3"/>
    <row r="26184" s="160" customFormat="1" x14ac:dyDescent="0.3"/>
    <row r="26185" s="160" customFormat="1" x14ac:dyDescent="0.3"/>
    <row r="26186" s="160" customFormat="1" x14ac:dyDescent="0.3"/>
    <row r="26187" s="160" customFormat="1" x14ac:dyDescent="0.3"/>
    <row r="26188" s="160" customFormat="1" x14ac:dyDescent="0.3"/>
    <row r="26189" s="160" customFormat="1" x14ac:dyDescent="0.3"/>
    <row r="26190" s="160" customFormat="1" x14ac:dyDescent="0.3"/>
    <row r="26191" s="160" customFormat="1" x14ac:dyDescent="0.3"/>
    <row r="26192" s="160" customFormat="1" x14ac:dyDescent="0.3"/>
    <row r="26193" s="160" customFormat="1" x14ac:dyDescent="0.3"/>
    <row r="26194" s="160" customFormat="1" x14ac:dyDescent="0.3"/>
    <row r="26195" s="160" customFormat="1" x14ac:dyDescent="0.3"/>
    <row r="26196" s="160" customFormat="1" x14ac:dyDescent="0.3"/>
    <row r="26197" s="160" customFormat="1" x14ac:dyDescent="0.3"/>
    <row r="26198" s="160" customFormat="1" x14ac:dyDescent="0.3"/>
    <row r="26199" s="160" customFormat="1" x14ac:dyDescent="0.3"/>
    <row r="26200" s="160" customFormat="1" x14ac:dyDescent="0.3"/>
    <row r="26201" s="160" customFormat="1" x14ac:dyDescent="0.3"/>
    <row r="26202" s="160" customFormat="1" x14ac:dyDescent="0.3"/>
    <row r="26203" s="160" customFormat="1" x14ac:dyDescent="0.3"/>
    <row r="26204" s="160" customFormat="1" x14ac:dyDescent="0.3"/>
    <row r="26205" s="160" customFormat="1" x14ac:dyDescent="0.3"/>
    <row r="26206" s="160" customFormat="1" x14ac:dyDescent="0.3"/>
    <row r="26207" s="160" customFormat="1" x14ac:dyDescent="0.3"/>
    <row r="26208" s="160" customFormat="1" x14ac:dyDescent="0.3"/>
    <row r="26209" s="160" customFormat="1" x14ac:dyDescent="0.3"/>
    <row r="26210" s="160" customFormat="1" x14ac:dyDescent="0.3"/>
    <row r="26211" s="160" customFormat="1" x14ac:dyDescent="0.3"/>
    <row r="26212" s="160" customFormat="1" x14ac:dyDescent="0.3"/>
    <row r="26213" s="160" customFormat="1" x14ac:dyDescent="0.3"/>
    <row r="26214" s="160" customFormat="1" x14ac:dyDescent="0.3"/>
    <row r="26215" s="160" customFormat="1" x14ac:dyDescent="0.3"/>
    <row r="26216" s="160" customFormat="1" x14ac:dyDescent="0.3"/>
    <row r="26217" s="160" customFormat="1" x14ac:dyDescent="0.3"/>
    <row r="26218" s="160" customFormat="1" x14ac:dyDescent="0.3"/>
    <row r="26219" s="160" customFormat="1" x14ac:dyDescent="0.3"/>
    <row r="26220" s="160" customFormat="1" x14ac:dyDescent="0.3"/>
    <row r="26221" s="160" customFormat="1" x14ac:dyDescent="0.3"/>
    <row r="26222" s="160" customFormat="1" x14ac:dyDescent="0.3"/>
    <row r="26223" s="160" customFormat="1" x14ac:dyDescent="0.3"/>
    <row r="26224" s="160" customFormat="1" x14ac:dyDescent="0.3"/>
    <row r="26225" s="160" customFormat="1" x14ac:dyDescent="0.3"/>
    <row r="26226" s="160" customFormat="1" x14ac:dyDescent="0.3"/>
    <row r="26227" s="160" customFormat="1" x14ac:dyDescent="0.3"/>
    <row r="26228" s="160" customFormat="1" x14ac:dyDescent="0.3"/>
    <row r="26229" s="160" customFormat="1" x14ac:dyDescent="0.3"/>
    <row r="26230" s="160" customFormat="1" x14ac:dyDescent="0.3"/>
    <row r="26231" s="160" customFormat="1" x14ac:dyDescent="0.3"/>
    <row r="26232" s="160" customFormat="1" x14ac:dyDescent="0.3"/>
    <row r="26233" s="160" customFormat="1" x14ac:dyDescent="0.3"/>
    <row r="26234" s="160" customFormat="1" x14ac:dyDescent="0.3"/>
    <row r="26235" s="160" customFormat="1" x14ac:dyDescent="0.3"/>
    <row r="26236" s="160" customFormat="1" x14ac:dyDescent="0.3"/>
    <row r="26237" s="160" customFormat="1" x14ac:dyDescent="0.3"/>
    <row r="26238" s="160" customFormat="1" x14ac:dyDescent="0.3"/>
    <row r="26239" s="160" customFormat="1" x14ac:dyDescent="0.3"/>
    <row r="26240" s="160" customFormat="1" x14ac:dyDescent="0.3"/>
    <row r="26241" s="160" customFormat="1" x14ac:dyDescent="0.3"/>
    <row r="26242" s="160" customFormat="1" x14ac:dyDescent="0.3"/>
    <row r="26243" s="160" customFormat="1" x14ac:dyDescent="0.3"/>
    <row r="26244" s="160" customFormat="1" x14ac:dyDescent="0.3"/>
    <row r="26245" s="160" customFormat="1" x14ac:dyDescent="0.3"/>
    <row r="26246" s="160" customFormat="1" x14ac:dyDescent="0.3"/>
    <row r="26247" s="160" customFormat="1" x14ac:dyDescent="0.3"/>
    <row r="26248" s="160" customFormat="1" x14ac:dyDescent="0.3"/>
    <row r="26249" s="160" customFormat="1" x14ac:dyDescent="0.3"/>
    <row r="26250" s="160" customFormat="1" x14ac:dyDescent="0.3"/>
    <row r="26251" s="160" customFormat="1" x14ac:dyDescent="0.3"/>
    <row r="26252" s="160" customFormat="1" x14ac:dyDescent="0.3"/>
    <row r="26253" s="160" customFormat="1" x14ac:dyDescent="0.3"/>
    <row r="26254" s="160" customFormat="1" x14ac:dyDescent="0.3"/>
    <row r="26255" s="160" customFormat="1" x14ac:dyDescent="0.3"/>
    <row r="26256" s="160" customFormat="1" x14ac:dyDescent="0.3"/>
    <row r="26257" s="160" customFormat="1" x14ac:dyDescent="0.3"/>
    <row r="26258" s="160" customFormat="1" x14ac:dyDescent="0.3"/>
    <row r="26259" s="160" customFormat="1" x14ac:dyDescent="0.3"/>
    <row r="26260" s="160" customFormat="1" x14ac:dyDescent="0.3"/>
    <row r="26261" s="160" customFormat="1" x14ac:dyDescent="0.3"/>
    <row r="26262" s="160" customFormat="1" x14ac:dyDescent="0.3"/>
    <row r="26263" s="160" customFormat="1" x14ac:dyDescent="0.3"/>
    <row r="26264" s="160" customFormat="1" x14ac:dyDescent="0.3"/>
    <row r="26265" s="160" customFormat="1" x14ac:dyDescent="0.3"/>
    <row r="26266" s="160" customFormat="1" x14ac:dyDescent="0.3"/>
    <row r="26267" s="160" customFormat="1" x14ac:dyDescent="0.3"/>
    <row r="26268" s="160" customFormat="1" x14ac:dyDescent="0.3"/>
    <row r="26269" s="160" customFormat="1" x14ac:dyDescent="0.3"/>
    <row r="26270" s="160" customFormat="1" x14ac:dyDescent="0.3"/>
    <row r="26271" s="160" customFormat="1" x14ac:dyDescent="0.3"/>
    <row r="26272" s="160" customFormat="1" x14ac:dyDescent="0.3"/>
    <row r="26273" s="160" customFormat="1" x14ac:dyDescent="0.3"/>
    <row r="26274" s="160" customFormat="1" x14ac:dyDescent="0.3"/>
    <row r="26275" s="160" customFormat="1" x14ac:dyDescent="0.3"/>
    <row r="26276" s="160" customFormat="1" x14ac:dyDescent="0.3"/>
    <row r="26277" s="160" customFormat="1" x14ac:dyDescent="0.3"/>
    <row r="26278" s="160" customFormat="1" x14ac:dyDescent="0.3"/>
    <row r="26279" s="160" customFormat="1" x14ac:dyDescent="0.3"/>
    <row r="26280" s="160" customFormat="1" x14ac:dyDescent="0.3"/>
    <row r="26281" s="160" customFormat="1" x14ac:dyDescent="0.3"/>
    <row r="26282" s="160" customFormat="1" x14ac:dyDescent="0.3"/>
    <row r="26283" s="160" customFormat="1" x14ac:dyDescent="0.3"/>
    <row r="26284" s="160" customFormat="1" x14ac:dyDescent="0.3"/>
    <row r="26285" s="160" customFormat="1" x14ac:dyDescent="0.3"/>
    <row r="26286" s="160" customFormat="1" x14ac:dyDescent="0.3"/>
    <row r="26287" s="160" customFormat="1" x14ac:dyDescent="0.3"/>
    <row r="26288" s="160" customFormat="1" x14ac:dyDescent="0.3"/>
    <row r="26289" s="160" customFormat="1" x14ac:dyDescent="0.3"/>
    <row r="26290" s="160" customFormat="1" x14ac:dyDescent="0.3"/>
    <row r="26291" s="160" customFormat="1" x14ac:dyDescent="0.3"/>
    <row r="26292" s="160" customFormat="1" x14ac:dyDescent="0.3"/>
    <row r="26293" s="160" customFormat="1" x14ac:dyDescent="0.3"/>
    <row r="26294" s="160" customFormat="1" x14ac:dyDescent="0.3"/>
    <row r="26295" s="160" customFormat="1" x14ac:dyDescent="0.3"/>
    <row r="26296" s="160" customFormat="1" x14ac:dyDescent="0.3"/>
    <row r="26297" s="160" customFormat="1" x14ac:dyDescent="0.3"/>
    <row r="26298" s="160" customFormat="1" x14ac:dyDescent="0.3"/>
    <row r="26299" s="160" customFormat="1" x14ac:dyDescent="0.3"/>
    <row r="26300" s="160" customFormat="1" x14ac:dyDescent="0.3"/>
    <row r="26301" s="160" customFormat="1" x14ac:dyDescent="0.3"/>
    <row r="26302" s="160" customFormat="1" x14ac:dyDescent="0.3"/>
    <row r="26303" s="160" customFormat="1" x14ac:dyDescent="0.3"/>
    <row r="26304" s="160" customFormat="1" x14ac:dyDescent="0.3"/>
    <row r="26305" s="160" customFormat="1" x14ac:dyDescent="0.3"/>
    <row r="26306" s="160" customFormat="1" x14ac:dyDescent="0.3"/>
    <row r="26307" s="160" customFormat="1" x14ac:dyDescent="0.3"/>
    <row r="26308" s="160" customFormat="1" x14ac:dyDescent="0.3"/>
    <row r="26309" s="160" customFormat="1" x14ac:dyDescent="0.3"/>
    <row r="26310" s="160" customFormat="1" x14ac:dyDescent="0.3"/>
    <row r="26311" s="160" customFormat="1" x14ac:dyDescent="0.3"/>
    <row r="26312" s="160" customFormat="1" x14ac:dyDescent="0.3"/>
    <row r="26313" s="160" customFormat="1" x14ac:dyDescent="0.3"/>
    <row r="26314" s="160" customFormat="1" x14ac:dyDescent="0.3"/>
    <row r="26315" s="160" customFormat="1" x14ac:dyDescent="0.3"/>
    <row r="26316" s="160" customFormat="1" x14ac:dyDescent="0.3"/>
    <row r="26317" s="160" customFormat="1" x14ac:dyDescent="0.3"/>
    <row r="26318" s="160" customFormat="1" x14ac:dyDescent="0.3"/>
    <row r="26319" s="160" customFormat="1" x14ac:dyDescent="0.3"/>
    <row r="26320" s="160" customFormat="1" x14ac:dyDescent="0.3"/>
    <row r="26321" s="160" customFormat="1" x14ac:dyDescent="0.3"/>
    <row r="26322" s="160" customFormat="1" x14ac:dyDescent="0.3"/>
    <row r="26323" s="160" customFormat="1" x14ac:dyDescent="0.3"/>
    <row r="26324" s="160" customFormat="1" x14ac:dyDescent="0.3"/>
    <row r="26325" s="160" customFormat="1" x14ac:dyDescent="0.3"/>
    <row r="26326" s="160" customFormat="1" x14ac:dyDescent="0.3"/>
    <row r="26327" s="160" customFormat="1" x14ac:dyDescent="0.3"/>
    <row r="26328" s="160" customFormat="1" x14ac:dyDescent="0.3"/>
    <row r="26329" s="160" customFormat="1" x14ac:dyDescent="0.3"/>
    <row r="26330" s="160" customFormat="1" x14ac:dyDescent="0.3"/>
    <row r="26331" s="160" customFormat="1" x14ac:dyDescent="0.3"/>
    <row r="26332" s="160" customFormat="1" x14ac:dyDescent="0.3"/>
    <row r="26333" s="160" customFormat="1" x14ac:dyDescent="0.3"/>
    <row r="26334" s="160" customFormat="1" x14ac:dyDescent="0.3"/>
    <row r="26335" s="160" customFormat="1" x14ac:dyDescent="0.3"/>
    <row r="26336" s="160" customFormat="1" x14ac:dyDescent="0.3"/>
    <row r="26337" s="160" customFormat="1" x14ac:dyDescent="0.3"/>
    <row r="26338" s="160" customFormat="1" x14ac:dyDescent="0.3"/>
    <row r="26339" s="160" customFormat="1" x14ac:dyDescent="0.3"/>
    <row r="26340" s="160" customFormat="1" x14ac:dyDescent="0.3"/>
    <row r="26341" s="160" customFormat="1" x14ac:dyDescent="0.3"/>
    <row r="26342" s="160" customFormat="1" x14ac:dyDescent="0.3"/>
    <row r="26343" s="160" customFormat="1" x14ac:dyDescent="0.3"/>
    <row r="26344" s="160" customFormat="1" x14ac:dyDescent="0.3"/>
    <row r="26345" s="160" customFormat="1" x14ac:dyDescent="0.3"/>
    <row r="26346" s="160" customFormat="1" x14ac:dyDescent="0.3"/>
    <row r="26347" s="160" customFormat="1" x14ac:dyDescent="0.3"/>
    <row r="26348" s="160" customFormat="1" x14ac:dyDescent="0.3"/>
    <row r="26349" s="160" customFormat="1" x14ac:dyDescent="0.3"/>
    <row r="26350" s="160" customFormat="1" x14ac:dyDescent="0.3"/>
    <row r="26351" s="160" customFormat="1" x14ac:dyDescent="0.3"/>
    <row r="26352" s="160" customFormat="1" x14ac:dyDescent="0.3"/>
    <row r="26353" s="160" customFormat="1" x14ac:dyDescent="0.3"/>
    <row r="26354" s="160" customFormat="1" x14ac:dyDescent="0.3"/>
    <row r="26355" s="160" customFormat="1" x14ac:dyDescent="0.3"/>
    <row r="26356" s="160" customFormat="1" x14ac:dyDescent="0.3"/>
    <row r="26357" s="160" customFormat="1" x14ac:dyDescent="0.3"/>
    <row r="26358" s="160" customFormat="1" x14ac:dyDescent="0.3"/>
    <row r="26359" s="160" customFormat="1" x14ac:dyDescent="0.3"/>
    <row r="26360" s="160" customFormat="1" x14ac:dyDescent="0.3"/>
    <row r="26361" s="160" customFormat="1" x14ac:dyDescent="0.3"/>
    <row r="26362" s="160" customFormat="1" x14ac:dyDescent="0.3"/>
    <row r="26363" s="160" customFormat="1" x14ac:dyDescent="0.3"/>
    <row r="26364" s="160" customFormat="1" x14ac:dyDescent="0.3"/>
    <row r="26365" s="160" customFormat="1" x14ac:dyDescent="0.3"/>
    <row r="26366" s="160" customFormat="1" x14ac:dyDescent="0.3"/>
    <row r="26367" s="160" customFormat="1" x14ac:dyDescent="0.3"/>
    <row r="26368" s="160" customFormat="1" x14ac:dyDescent="0.3"/>
    <row r="26369" s="160" customFormat="1" x14ac:dyDescent="0.3"/>
    <row r="26370" s="160" customFormat="1" x14ac:dyDescent="0.3"/>
    <row r="26371" s="160" customFormat="1" x14ac:dyDescent="0.3"/>
    <row r="26372" s="160" customFormat="1" x14ac:dyDescent="0.3"/>
    <row r="26373" s="160" customFormat="1" x14ac:dyDescent="0.3"/>
    <row r="26374" s="160" customFormat="1" x14ac:dyDescent="0.3"/>
    <row r="26375" s="160" customFormat="1" x14ac:dyDescent="0.3"/>
    <row r="26376" s="160" customFormat="1" x14ac:dyDescent="0.3"/>
    <row r="26377" s="160" customFormat="1" x14ac:dyDescent="0.3"/>
    <row r="26378" s="160" customFormat="1" x14ac:dyDescent="0.3"/>
    <row r="26379" s="160" customFormat="1" x14ac:dyDescent="0.3"/>
    <row r="26380" s="160" customFormat="1" x14ac:dyDescent="0.3"/>
    <row r="26381" s="160" customFormat="1" x14ac:dyDescent="0.3"/>
    <row r="26382" s="160" customFormat="1" x14ac:dyDescent="0.3"/>
    <row r="26383" s="160" customFormat="1" x14ac:dyDescent="0.3"/>
    <row r="26384" s="160" customFormat="1" x14ac:dyDescent="0.3"/>
    <row r="26385" s="160" customFormat="1" x14ac:dyDescent="0.3"/>
    <row r="26386" s="160" customFormat="1" x14ac:dyDescent="0.3"/>
    <row r="26387" s="160" customFormat="1" x14ac:dyDescent="0.3"/>
    <row r="26388" s="160" customFormat="1" x14ac:dyDescent="0.3"/>
    <row r="26389" s="160" customFormat="1" x14ac:dyDescent="0.3"/>
    <row r="26390" s="160" customFormat="1" x14ac:dyDescent="0.3"/>
    <row r="26391" s="160" customFormat="1" x14ac:dyDescent="0.3"/>
    <row r="26392" s="160" customFormat="1" x14ac:dyDescent="0.3"/>
    <row r="26393" s="160" customFormat="1" x14ac:dyDescent="0.3"/>
    <row r="26394" s="160" customFormat="1" x14ac:dyDescent="0.3"/>
    <row r="26395" s="160" customFormat="1" x14ac:dyDescent="0.3"/>
    <row r="26396" s="160" customFormat="1" x14ac:dyDescent="0.3"/>
    <row r="26397" s="160" customFormat="1" x14ac:dyDescent="0.3"/>
    <row r="26398" s="160" customFormat="1" x14ac:dyDescent="0.3"/>
    <row r="26399" s="160" customFormat="1" x14ac:dyDescent="0.3"/>
    <row r="26400" s="160" customFormat="1" x14ac:dyDescent="0.3"/>
    <row r="26401" s="160" customFormat="1" x14ac:dyDescent="0.3"/>
    <row r="26402" s="160" customFormat="1" x14ac:dyDescent="0.3"/>
    <row r="26403" s="160" customFormat="1" x14ac:dyDescent="0.3"/>
    <row r="26404" s="160" customFormat="1" x14ac:dyDescent="0.3"/>
    <row r="26405" s="160" customFormat="1" x14ac:dyDescent="0.3"/>
    <row r="26406" s="160" customFormat="1" x14ac:dyDescent="0.3"/>
    <row r="26407" s="160" customFormat="1" x14ac:dyDescent="0.3"/>
    <row r="26408" s="160" customFormat="1" x14ac:dyDescent="0.3"/>
    <row r="26409" s="160" customFormat="1" x14ac:dyDescent="0.3"/>
    <row r="26410" s="160" customFormat="1" x14ac:dyDescent="0.3"/>
    <row r="26411" s="160" customFormat="1" x14ac:dyDescent="0.3"/>
    <row r="26412" s="160" customFormat="1" x14ac:dyDescent="0.3"/>
    <row r="26413" s="160" customFormat="1" x14ac:dyDescent="0.3"/>
    <row r="26414" s="160" customFormat="1" x14ac:dyDescent="0.3"/>
    <row r="26415" s="160" customFormat="1" x14ac:dyDescent="0.3"/>
    <row r="26416" s="160" customFormat="1" x14ac:dyDescent="0.3"/>
    <row r="26417" s="160" customFormat="1" x14ac:dyDescent="0.3"/>
    <row r="26418" s="160" customFormat="1" x14ac:dyDescent="0.3"/>
    <row r="26419" s="160" customFormat="1" x14ac:dyDescent="0.3"/>
    <row r="26420" s="160" customFormat="1" x14ac:dyDescent="0.3"/>
    <row r="26421" s="160" customFormat="1" x14ac:dyDescent="0.3"/>
    <row r="26422" s="160" customFormat="1" x14ac:dyDescent="0.3"/>
    <row r="26423" s="160" customFormat="1" x14ac:dyDescent="0.3"/>
    <row r="26424" s="160" customFormat="1" x14ac:dyDescent="0.3"/>
    <row r="26425" s="160" customFormat="1" x14ac:dyDescent="0.3"/>
    <row r="26426" s="160" customFormat="1" x14ac:dyDescent="0.3"/>
    <row r="26427" s="160" customFormat="1" x14ac:dyDescent="0.3"/>
    <row r="26428" s="160" customFormat="1" x14ac:dyDescent="0.3"/>
    <row r="26429" s="160" customFormat="1" x14ac:dyDescent="0.3"/>
    <row r="26430" s="160" customFormat="1" x14ac:dyDescent="0.3"/>
    <row r="26431" s="160" customFormat="1" x14ac:dyDescent="0.3"/>
    <row r="26432" s="160" customFormat="1" x14ac:dyDescent="0.3"/>
    <row r="26433" s="160" customFormat="1" x14ac:dyDescent="0.3"/>
    <row r="26434" s="160" customFormat="1" x14ac:dyDescent="0.3"/>
    <row r="26435" s="160" customFormat="1" x14ac:dyDescent="0.3"/>
    <row r="26436" s="160" customFormat="1" x14ac:dyDescent="0.3"/>
    <row r="26437" s="160" customFormat="1" x14ac:dyDescent="0.3"/>
    <row r="26438" s="160" customFormat="1" x14ac:dyDescent="0.3"/>
    <row r="26439" s="160" customFormat="1" x14ac:dyDescent="0.3"/>
    <row r="26440" s="160" customFormat="1" x14ac:dyDescent="0.3"/>
    <row r="26441" s="160" customFormat="1" x14ac:dyDescent="0.3"/>
    <row r="26442" s="160" customFormat="1" x14ac:dyDescent="0.3"/>
    <row r="26443" s="160" customFormat="1" x14ac:dyDescent="0.3"/>
    <row r="26444" s="160" customFormat="1" x14ac:dyDescent="0.3"/>
    <row r="26445" s="160" customFormat="1" x14ac:dyDescent="0.3"/>
    <row r="26446" s="160" customFormat="1" x14ac:dyDescent="0.3"/>
    <row r="26447" s="160" customFormat="1" x14ac:dyDescent="0.3"/>
    <row r="26448" s="160" customFormat="1" x14ac:dyDescent="0.3"/>
    <row r="26449" s="160" customFormat="1" x14ac:dyDescent="0.3"/>
    <row r="26450" s="160" customFormat="1" x14ac:dyDescent="0.3"/>
    <row r="26451" s="160" customFormat="1" x14ac:dyDescent="0.3"/>
    <row r="26452" s="160" customFormat="1" x14ac:dyDescent="0.3"/>
    <row r="26453" s="160" customFormat="1" x14ac:dyDescent="0.3"/>
    <row r="26454" s="160" customFormat="1" x14ac:dyDescent="0.3"/>
    <row r="26455" s="160" customFormat="1" x14ac:dyDescent="0.3"/>
    <row r="26456" s="160" customFormat="1" x14ac:dyDescent="0.3"/>
    <row r="26457" s="160" customFormat="1" x14ac:dyDescent="0.3"/>
    <row r="26458" s="160" customFormat="1" x14ac:dyDescent="0.3"/>
    <row r="26459" s="160" customFormat="1" x14ac:dyDescent="0.3"/>
    <row r="26460" s="160" customFormat="1" x14ac:dyDescent="0.3"/>
    <row r="26461" s="160" customFormat="1" x14ac:dyDescent="0.3"/>
    <row r="26462" s="160" customFormat="1" x14ac:dyDescent="0.3"/>
    <row r="26463" s="160" customFormat="1" x14ac:dyDescent="0.3"/>
    <row r="26464" s="160" customFormat="1" x14ac:dyDescent="0.3"/>
    <row r="26465" s="160" customFormat="1" x14ac:dyDescent="0.3"/>
    <row r="26466" s="160" customFormat="1" x14ac:dyDescent="0.3"/>
    <row r="26467" s="160" customFormat="1" x14ac:dyDescent="0.3"/>
    <row r="26468" s="160" customFormat="1" x14ac:dyDescent="0.3"/>
    <row r="26469" s="160" customFormat="1" x14ac:dyDescent="0.3"/>
    <row r="26470" s="160" customFormat="1" x14ac:dyDescent="0.3"/>
    <row r="26471" s="160" customFormat="1" x14ac:dyDescent="0.3"/>
    <row r="26472" s="160" customFormat="1" x14ac:dyDescent="0.3"/>
    <row r="26473" s="160" customFormat="1" x14ac:dyDescent="0.3"/>
    <row r="26474" s="160" customFormat="1" x14ac:dyDescent="0.3"/>
    <row r="26475" s="160" customFormat="1" x14ac:dyDescent="0.3"/>
    <row r="26476" s="160" customFormat="1" x14ac:dyDescent="0.3"/>
    <row r="26477" s="160" customFormat="1" x14ac:dyDescent="0.3"/>
    <row r="26478" s="160" customFormat="1" x14ac:dyDescent="0.3"/>
    <row r="26479" s="160" customFormat="1" x14ac:dyDescent="0.3"/>
    <row r="26480" s="160" customFormat="1" x14ac:dyDescent="0.3"/>
    <row r="26481" s="160" customFormat="1" x14ac:dyDescent="0.3"/>
    <row r="26482" s="160" customFormat="1" x14ac:dyDescent="0.3"/>
    <row r="26483" s="160" customFormat="1" x14ac:dyDescent="0.3"/>
    <row r="26484" s="160" customFormat="1" x14ac:dyDescent="0.3"/>
    <row r="26485" s="160" customFormat="1" x14ac:dyDescent="0.3"/>
    <row r="26486" s="160" customFormat="1" x14ac:dyDescent="0.3"/>
    <row r="26487" s="160" customFormat="1" x14ac:dyDescent="0.3"/>
    <row r="26488" s="160" customFormat="1" x14ac:dyDescent="0.3"/>
    <row r="26489" s="160" customFormat="1" x14ac:dyDescent="0.3"/>
    <row r="26490" s="160" customFormat="1" x14ac:dyDescent="0.3"/>
    <row r="26491" s="160" customFormat="1" x14ac:dyDescent="0.3"/>
    <row r="26492" s="160" customFormat="1" x14ac:dyDescent="0.3"/>
    <row r="26493" s="160" customFormat="1" x14ac:dyDescent="0.3"/>
    <row r="26494" s="160" customFormat="1" x14ac:dyDescent="0.3"/>
    <row r="26495" s="160" customFormat="1" x14ac:dyDescent="0.3"/>
    <row r="26496" s="160" customFormat="1" x14ac:dyDescent="0.3"/>
    <row r="26497" s="160" customFormat="1" x14ac:dyDescent="0.3"/>
    <row r="26498" s="160" customFormat="1" x14ac:dyDescent="0.3"/>
    <row r="26499" s="160" customFormat="1" x14ac:dyDescent="0.3"/>
    <row r="26500" s="160" customFormat="1" x14ac:dyDescent="0.3"/>
    <row r="26501" s="160" customFormat="1" x14ac:dyDescent="0.3"/>
    <row r="26502" s="160" customFormat="1" x14ac:dyDescent="0.3"/>
    <row r="26503" s="160" customFormat="1" x14ac:dyDescent="0.3"/>
    <row r="26504" s="160" customFormat="1" x14ac:dyDescent="0.3"/>
    <row r="26505" s="160" customFormat="1" x14ac:dyDescent="0.3"/>
    <row r="26506" s="160" customFormat="1" x14ac:dyDescent="0.3"/>
    <row r="26507" s="160" customFormat="1" x14ac:dyDescent="0.3"/>
    <row r="26508" s="160" customFormat="1" x14ac:dyDescent="0.3"/>
    <row r="26509" s="160" customFormat="1" x14ac:dyDescent="0.3"/>
    <row r="26510" s="160" customFormat="1" x14ac:dyDescent="0.3"/>
    <row r="26511" s="160" customFormat="1" x14ac:dyDescent="0.3"/>
    <row r="26512" s="160" customFormat="1" x14ac:dyDescent="0.3"/>
    <row r="26513" s="160" customFormat="1" x14ac:dyDescent="0.3"/>
    <row r="26514" s="160" customFormat="1" x14ac:dyDescent="0.3"/>
    <row r="26515" s="160" customFormat="1" x14ac:dyDescent="0.3"/>
    <row r="26516" s="160" customFormat="1" x14ac:dyDescent="0.3"/>
    <row r="26517" s="160" customFormat="1" x14ac:dyDescent="0.3"/>
    <row r="26518" s="160" customFormat="1" x14ac:dyDescent="0.3"/>
    <row r="26519" s="160" customFormat="1" x14ac:dyDescent="0.3"/>
    <row r="26520" s="160" customFormat="1" x14ac:dyDescent="0.3"/>
    <row r="26521" s="160" customFormat="1" x14ac:dyDescent="0.3"/>
    <row r="26522" s="160" customFormat="1" x14ac:dyDescent="0.3"/>
    <row r="26523" s="160" customFormat="1" x14ac:dyDescent="0.3"/>
    <row r="26524" s="160" customFormat="1" x14ac:dyDescent="0.3"/>
    <row r="26525" s="160" customFormat="1" x14ac:dyDescent="0.3"/>
    <row r="26526" s="160" customFormat="1" x14ac:dyDescent="0.3"/>
    <row r="26527" s="160" customFormat="1" x14ac:dyDescent="0.3"/>
    <row r="26528" s="160" customFormat="1" x14ac:dyDescent="0.3"/>
    <row r="26529" s="160" customFormat="1" x14ac:dyDescent="0.3"/>
    <row r="26530" s="160" customFormat="1" x14ac:dyDescent="0.3"/>
    <row r="26531" s="160" customFormat="1" x14ac:dyDescent="0.3"/>
    <row r="26532" s="160" customFormat="1" x14ac:dyDescent="0.3"/>
    <row r="26533" s="160" customFormat="1" x14ac:dyDescent="0.3"/>
    <row r="26534" s="160" customFormat="1" x14ac:dyDescent="0.3"/>
    <row r="26535" s="160" customFormat="1" x14ac:dyDescent="0.3"/>
    <row r="26536" s="160" customFormat="1" x14ac:dyDescent="0.3"/>
    <row r="26537" s="160" customFormat="1" x14ac:dyDescent="0.3"/>
    <row r="26538" s="160" customFormat="1" x14ac:dyDescent="0.3"/>
    <row r="26539" s="160" customFormat="1" x14ac:dyDescent="0.3"/>
    <row r="26540" s="160" customFormat="1" x14ac:dyDescent="0.3"/>
    <row r="26541" s="160" customFormat="1" x14ac:dyDescent="0.3"/>
    <row r="26542" s="160" customFormat="1" x14ac:dyDescent="0.3"/>
    <row r="26543" s="160" customFormat="1" x14ac:dyDescent="0.3"/>
    <row r="26544" s="160" customFormat="1" x14ac:dyDescent="0.3"/>
    <row r="26545" s="160" customFormat="1" x14ac:dyDescent="0.3"/>
    <row r="26546" s="160" customFormat="1" x14ac:dyDescent="0.3"/>
    <row r="26547" s="160" customFormat="1" x14ac:dyDescent="0.3"/>
    <row r="26548" s="160" customFormat="1" x14ac:dyDescent="0.3"/>
    <row r="26549" s="160" customFormat="1" x14ac:dyDescent="0.3"/>
    <row r="26550" s="160" customFormat="1" x14ac:dyDescent="0.3"/>
    <row r="26551" s="160" customFormat="1" x14ac:dyDescent="0.3"/>
    <row r="26552" s="160" customFormat="1" x14ac:dyDescent="0.3"/>
    <row r="26553" s="160" customFormat="1" x14ac:dyDescent="0.3"/>
    <row r="26554" s="160" customFormat="1" x14ac:dyDescent="0.3"/>
    <row r="26555" s="160" customFormat="1" x14ac:dyDescent="0.3"/>
    <row r="26556" s="160" customFormat="1" x14ac:dyDescent="0.3"/>
    <row r="26557" s="160" customFormat="1" x14ac:dyDescent="0.3"/>
    <row r="26558" s="160" customFormat="1" x14ac:dyDescent="0.3"/>
    <row r="26559" s="160" customFormat="1" x14ac:dyDescent="0.3"/>
    <row r="26560" s="160" customFormat="1" x14ac:dyDescent="0.3"/>
    <row r="26561" s="160" customFormat="1" x14ac:dyDescent="0.3"/>
    <row r="26562" s="160" customFormat="1" x14ac:dyDescent="0.3"/>
    <row r="26563" s="160" customFormat="1" x14ac:dyDescent="0.3"/>
    <row r="26564" s="160" customFormat="1" x14ac:dyDescent="0.3"/>
    <row r="26565" s="160" customFormat="1" x14ac:dyDescent="0.3"/>
    <row r="26566" s="160" customFormat="1" x14ac:dyDescent="0.3"/>
    <row r="26567" s="160" customFormat="1" x14ac:dyDescent="0.3"/>
    <row r="26568" s="160" customFormat="1" x14ac:dyDescent="0.3"/>
    <row r="26569" s="160" customFormat="1" x14ac:dyDescent="0.3"/>
    <row r="26570" s="160" customFormat="1" x14ac:dyDescent="0.3"/>
    <row r="26571" s="160" customFormat="1" x14ac:dyDescent="0.3"/>
    <row r="26572" s="160" customFormat="1" x14ac:dyDescent="0.3"/>
    <row r="26573" s="160" customFormat="1" x14ac:dyDescent="0.3"/>
    <row r="26574" s="160" customFormat="1" x14ac:dyDescent="0.3"/>
    <row r="26575" s="160" customFormat="1" x14ac:dyDescent="0.3"/>
    <row r="26576" s="160" customFormat="1" x14ac:dyDescent="0.3"/>
    <row r="26577" s="160" customFormat="1" x14ac:dyDescent="0.3"/>
    <row r="26578" s="160" customFormat="1" x14ac:dyDescent="0.3"/>
    <row r="26579" s="160" customFormat="1" x14ac:dyDescent="0.3"/>
    <row r="26580" s="160" customFormat="1" x14ac:dyDescent="0.3"/>
    <row r="26581" s="160" customFormat="1" x14ac:dyDescent="0.3"/>
    <row r="26582" s="160" customFormat="1" x14ac:dyDescent="0.3"/>
    <row r="26583" s="160" customFormat="1" x14ac:dyDescent="0.3"/>
    <row r="26584" s="160" customFormat="1" x14ac:dyDescent="0.3"/>
    <row r="26585" s="160" customFormat="1" x14ac:dyDescent="0.3"/>
    <row r="26586" s="160" customFormat="1" x14ac:dyDescent="0.3"/>
    <row r="26587" s="160" customFormat="1" x14ac:dyDescent="0.3"/>
    <row r="26588" s="160" customFormat="1" x14ac:dyDescent="0.3"/>
    <row r="26589" s="160" customFormat="1" x14ac:dyDescent="0.3"/>
    <row r="26590" s="160" customFormat="1" x14ac:dyDescent="0.3"/>
    <row r="26591" s="160" customFormat="1" x14ac:dyDescent="0.3"/>
    <row r="26592" s="160" customFormat="1" x14ac:dyDescent="0.3"/>
    <row r="26593" s="160" customFormat="1" x14ac:dyDescent="0.3"/>
    <row r="26594" s="160" customFormat="1" x14ac:dyDescent="0.3"/>
    <row r="26595" s="160" customFormat="1" x14ac:dyDescent="0.3"/>
    <row r="26596" s="160" customFormat="1" x14ac:dyDescent="0.3"/>
    <row r="26597" s="160" customFormat="1" x14ac:dyDescent="0.3"/>
    <row r="26598" s="160" customFormat="1" x14ac:dyDescent="0.3"/>
    <row r="26599" s="160" customFormat="1" x14ac:dyDescent="0.3"/>
    <row r="26600" s="160" customFormat="1" x14ac:dyDescent="0.3"/>
    <row r="26601" s="160" customFormat="1" x14ac:dyDescent="0.3"/>
    <row r="26602" s="160" customFormat="1" x14ac:dyDescent="0.3"/>
    <row r="26603" s="160" customFormat="1" x14ac:dyDescent="0.3"/>
    <row r="26604" s="160" customFormat="1" x14ac:dyDescent="0.3"/>
    <row r="26605" s="160" customFormat="1" x14ac:dyDescent="0.3"/>
    <row r="26606" s="160" customFormat="1" x14ac:dyDescent="0.3"/>
    <row r="26607" s="160" customFormat="1" x14ac:dyDescent="0.3"/>
    <row r="26608" s="160" customFormat="1" x14ac:dyDescent="0.3"/>
    <row r="26609" s="160" customFormat="1" x14ac:dyDescent="0.3"/>
    <row r="26610" s="160" customFormat="1" x14ac:dyDescent="0.3"/>
    <row r="26611" s="160" customFormat="1" x14ac:dyDescent="0.3"/>
    <row r="26612" s="160" customFormat="1" x14ac:dyDescent="0.3"/>
    <row r="26613" s="160" customFormat="1" x14ac:dyDescent="0.3"/>
    <row r="26614" s="160" customFormat="1" x14ac:dyDescent="0.3"/>
    <row r="26615" s="160" customFormat="1" x14ac:dyDescent="0.3"/>
    <row r="26616" s="160" customFormat="1" x14ac:dyDescent="0.3"/>
    <row r="26617" s="160" customFormat="1" x14ac:dyDescent="0.3"/>
    <row r="26618" s="160" customFormat="1" x14ac:dyDescent="0.3"/>
    <row r="26619" s="160" customFormat="1" x14ac:dyDescent="0.3"/>
    <row r="26620" s="160" customFormat="1" x14ac:dyDescent="0.3"/>
    <row r="26621" s="160" customFormat="1" x14ac:dyDescent="0.3"/>
    <row r="26622" s="160" customFormat="1" x14ac:dyDescent="0.3"/>
    <row r="26623" s="160" customFormat="1" x14ac:dyDescent="0.3"/>
    <row r="26624" s="160" customFormat="1" x14ac:dyDescent="0.3"/>
    <row r="26625" s="160" customFormat="1" x14ac:dyDescent="0.3"/>
    <row r="26626" s="160" customFormat="1" x14ac:dyDescent="0.3"/>
    <row r="26627" s="160" customFormat="1" x14ac:dyDescent="0.3"/>
    <row r="26628" s="160" customFormat="1" x14ac:dyDescent="0.3"/>
    <row r="26629" s="160" customFormat="1" x14ac:dyDescent="0.3"/>
    <row r="26630" s="160" customFormat="1" x14ac:dyDescent="0.3"/>
    <row r="26631" s="160" customFormat="1" x14ac:dyDescent="0.3"/>
    <row r="26632" s="160" customFormat="1" x14ac:dyDescent="0.3"/>
    <row r="26633" s="160" customFormat="1" x14ac:dyDescent="0.3"/>
    <row r="26634" s="160" customFormat="1" x14ac:dyDescent="0.3"/>
    <row r="26635" s="160" customFormat="1" x14ac:dyDescent="0.3"/>
    <row r="26636" s="160" customFormat="1" x14ac:dyDescent="0.3"/>
    <row r="26637" s="160" customFormat="1" x14ac:dyDescent="0.3"/>
    <row r="26638" s="160" customFormat="1" x14ac:dyDescent="0.3"/>
    <row r="26639" s="160" customFormat="1" x14ac:dyDescent="0.3"/>
    <row r="26640" s="160" customFormat="1" x14ac:dyDescent="0.3"/>
    <row r="26641" s="160" customFormat="1" x14ac:dyDescent="0.3"/>
    <row r="26642" s="160" customFormat="1" x14ac:dyDescent="0.3"/>
    <row r="26643" s="160" customFormat="1" x14ac:dyDescent="0.3"/>
    <row r="26644" s="160" customFormat="1" x14ac:dyDescent="0.3"/>
    <row r="26645" s="160" customFormat="1" x14ac:dyDescent="0.3"/>
    <row r="26646" s="160" customFormat="1" x14ac:dyDescent="0.3"/>
    <row r="26647" s="160" customFormat="1" x14ac:dyDescent="0.3"/>
    <row r="26648" s="160" customFormat="1" x14ac:dyDescent="0.3"/>
    <row r="26649" s="160" customFormat="1" x14ac:dyDescent="0.3"/>
    <row r="26650" s="160" customFormat="1" x14ac:dyDescent="0.3"/>
    <row r="26651" s="160" customFormat="1" x14ac:dyDescent="0.3"/>
    <row r="26652" s="160" customFormat="1" x14ac:dyDescent="0.3"/>
    <row r="26653" s="160" customFormat="1" x14ac:dyDescent="0.3"/>
    <row r="26654" s="160" customFormat="1" x14ac:dyDescent="0.3"/>
    <row r="26655" s="160" customFormat="1" x14ac:dyDescent="0.3"/>
    <row r="26656" s="160" customFormat="1" x14ac:dyDescent="0.3"/>
    <row r="26657" s="160" customFormat="1" x14ac:dyDescent="0.3"/>
    <row r="26658" s="160" customFormat="1" x14ac:dyDescent="0.3"/>
    <row r="26659" s="160" customFormat="1" x14ac:dyDescent="0.3"/>
    <row r="26660" s="160" customFormat="1" x14ac:dyDescent="0.3"/>
    <row r="26661" s="160" customFormat="1" x14ac:dyDescent="0.3"/>
    <row r="26662" s="160" customFormat="1" x14ac:dyDescent="0.3"/>
    <row r="26663" s="160" customFormat="1" x14ac:dyDescent="0.3"/>
    <row r="26664" s="160" customFormat="1" x14ac:dyDescent="0.3"/>
    <row r="26665" s="160" customFormat="1" x14ac:dyDescent="0.3"/>
    <row r="26666" s="160" customFormat="1" x14ac:dyDescent="0.3"/>
    <row r="26667" s="160" customFormat="1" x14ac:dyDescent="0.3"/>
    <row r="26668" s="160" customFormat="1" x14ac:dyDescent="0.3"/>
    <row r="26669" s="160" customFormat="1" x14ac:dyDescent="0.3"/>
    <row r="26670" s="160" customFormat="1" x14ac:dyDescent="0.3"/>
    <row r="26671" s="160" customFormat="1" x14ac:dyDescent="0.3"/>
    <row r="26672" s="160" customFormat="1" x14ac:dyDescent="0.3"/>
    <row r="26673" s="160" customFormat="1" x14ac:dyDescent="0.3"/>
    <row r="26674" s="160" customFormat="1" x14ac:dyDescent="0.3"/>
    <row r="26675" s="160" customFormat="1" x14ac:dyDescent="0.3"/>
    <row r="26676" s="160" customFormat="1" x14ac:dyDescent="0.3"/>
    <row r="26677" s="160" customFormat="1" x14ac:dyDescent="0.3"/>
    <row r="26678" s="160" customFormat="1" x14ac:dyDescent="0.3"/>
    <row r="26679" s="160" customFormat="1" x14ac:dyDescent="0.3"/>
    <row r="26680" s="160" customFormat="1" x14ac:dyDescent="0.3"/>
    <row r="26681" s="160" customFormat="1" x14ac:dyDescent="0.3"/>
    <row r="26682" s="160" customFormat="1" x14ac:dyDescent="0.3"/>
    <row r="26683" s="160" customFormat="1" x14ac:dyDescent="0.3"/>
    <row r="26684" s="160" customFormat="1" x14ac:dyDescent="0.3"/>
    <row r="26685" s="160" customFormat="1" x14ac:dyDescent="0.3"/>
    <row r="26686" s="160" customFormat="1" x14ac:dyDescent="0.3"/>
    <row r="26687" s="160" customFormat="1" x14ac:dyDescent="0.3"/>
    <row r="26688" s="160" customFormat="1" x14ac:dyDescent="0.3"/>
    <row r="26689" s="160" customFormat="1" x14ac:dyDescent="0.3"/>
    <row r="26690" s="160" customFormat="1" x14ac:dyDescent="0.3"/>
    <row r="26691" s="160" customFormat="1" x14ac:dyDescent="0.3"/>
    <row r="26692" s="160" customFormat="1" x14ac:dyDescent="0.3"/>
    <row r="26693" s="160" customFormat="1" x14ac:dyDescent="0.3"/>
    <row r="26694" s="160" customFormat="1" x14ac:dyDescent="0.3"/>
    <row r="26695" s="160" customFormat="1" x14ac:dyDescent="0.3"/>
    <row r="26696" s="160" customFormat="1" x14ac:dyDescent="0.3"/>
    <row r="26697" s="160" customFormat="1" x14ac:dyDescent="0.3"/>
    <row r="26698" s="160" customFormat="1" x14ac:dyDescent="0.3"/>
    <row r="26699" s="160" customFormat="1" x14ac:dyDescent="0.3"/>
    <row r="26700" s="160" customFormat="1" x14ac:dyDescent="0.3"/>
    <row r="26701" s="160" customFormat="1" x14ac:dyDescent="0.3"/>
    <row r="26702" s="160" customFormat="1" x14ac:dyDescent="0.3"/>
    <row r="26703" s="160" customFormat="1" x14ac:dyDescent="0.3"/>
    <row r="26704" s="160" customFormat="1" x14ac:dyDescent="0.3"/>
    <row r="26705" s="160" customFormat="1" x14ac:dyDescent="0.3"/>
    <row r="26706" s="160" customFormat="1" x14ac:dyDescent="0.3"/>
    <row r="26707" s="160" customFormat="1" x14ac:dyDescent="0.3"/>
    <row r="26708" s="160" customFormat="1" x14ac:dyDescent="0.3"/>
    <row r="26709" s="160" customFormat="1" x14ac:dyDescent="0.3"/>
    <row r="26710" s="160" customFormat="1" x14ac:dyDescent="0.3"/>
    <row r="26711" s="160" customFormat="1" x14ac:dyDescent="0.3"/>
    <row r="26712" s="160" customFormat="1" x14ac:dyDescent="0.3"/>
    <row r="26713" s="160" customFormat="1" x14ac:dyDescent="0.3"/>
    <row r="26714" s="160" customFormat="1" x14ac:dyDescent="0.3"/>
    <row r="26715" s="160" customFormat="1" x14ac:dyDescent="0.3"/>
    <row r="26716" s="160" customFormat="1" x14ac:dyDescent="0.3"/>
    <row r="26717" s="160" customFormat="1" x14ac:dyDescent="0.3"/>
    <row r="26718" s="160" customFormat="1" x14ac:dyDescent="0.3"/>
    <row r="26719" s="160" customFormat="1" x14ac:dyDescent="0.3"/>
    <row r="26720" s="160" customFormat="1" x14ac:dyDescent="0.3"/>
    <row r="26721" s="160" customFormat="1" x14ac:dyDescent="0.3"/>
    <row r="26722" s="160" customFormat="1" x14ac:dyDescent="0.3"/>
    <row r="26723" s="160" customFormat="1" x14ac:dyDescent="0.3"/>
    <row r="26724" s="160" customFormat="1" x14ac:dyDescent="0.3"/>
    <row r="26725" s="160" customFormat="1" x14ac:dyDescent="0.3"/>
    <row r="26726" s="160" customFormat="1" x14ac:dyDescent="0.3"/>
    <row r="26727" s="160" customFormat="1" x14ac:dyDescent="0.3"/>
    <row r="26728" s="160" customFormat="1" x14ac:dyDescent="0.3"/>
    <row r="26729" s="160" customFormat="1" x14ac:dyDescent="0.3"/>
    <row r="26730" s="160" customFormat="1" x14ac:dyDescent="0.3"/>
    <row r="26731" s="160" customFormat="1" x14ac:dyDescent="0.3"/>
    <row r="26732" s="160" customFormat="1" x14ac:dyDescent="0.3"/>
    <row r="26733" s="160" customFormat="1" x14ac:dyDescent="0.3"/>
    <row r="26734" s="160" customFormat="1" x14ac:dyDescent="0.3"/>
    <row r="26735" s="160" customFormat="1" x14ac:dyDescent="0.3"/>
    <row r="26736" s="160" customFormat="1" x14ac:dyDescent="0.3"/>
    <row r="26737" s="160" customFormat="1" x14ac:dyDescent="0.3"/>
    <row r="26738" s="160" customFormat="1" x14ac:dyDescent="0.3"/>
    <row r="26739" s="160" customFormat="1" x14ac:dyDescent="0.3"/>
    <row r="26740" s="160" customFormat="1" x14ac:dyDescent="0.3"/>
    <row r="26741" s="160" customFormat="1" x14ac:dyDescent="0.3"/>
    <row r="26742" s="160" customFormat="1" x14ac:dyDescent="0.3"/>
    <row r="26743" s="160" customFormat="1" x14ac:dyDescent="0.3"/>
    <row r="26744" s="160" customFormat="1" x14ac:dyDescent="0.3"/>
    <row r="26745" s="160" customFormat="1" x14ac:dyDescent="0.3"/>
    <row r="26746" s="160" customFormat="1" x14ac:dyDescent="0.3"/>
    <row r="26747" s="160" customFormat="1" x14ac:dyDescent="0.3"/>
    <row r="26748" s="160" customFormat="1" x14ac:dyDescent="0.3"/>
    <row r="26749" s="160" customFormat="1" x14ac:dyDescent="0.3"/>
    <row r="26750" s="160" customFormat="1" x14ac:dyDescent="0.3"/>
    <row r="26751" s="160" customFormat="1" x14ac:dyDescent="0.3"/>
    <row r="26752" s="160" customFormat="1" x14ac:dyDescent="0.3"/>
    <row r="26753" s="160" customFormat="1" x14ac:dyDescent="0.3"/>
    <row r="26754" s="160" customFormat="1" x14ac:dyDescent="0.3"/>
    <row r="26755" s="160" customFormat="1" x14ac:dyDescent="0.3"/>
    <row r="26756" s="160" customFormat="1" x14ac:dyDescent="0.3"/>
    <row r="26757" s="160" customFormat="1" x14ac:dyDescent="0.3"/>
    <row r="26758" s="160" customFormat="1" x14ac:dyDescent="0.3"/>
    <row r="26759" s="160" customFormat="1" x14ac:dyDescent="0.3"/>
    <row r="26760" s="160" customFormat="1" x14ac:dyDescent="0.3"/>
    <row r="26761" s="160" customFormat="1" x14ac:dyDescent="0.3"/>
    <row r="26762" s="160" customFormat="1" x14ac:dyDescent="0.3"/>
    <row r="26763" s="160" customFormat="1" x14ac:dyDescent="0.3"/>
    <row r="26764" s="160" customFormat="1" x14ac:dyDescent="0.3"/>
    <row r="26765" s="160" customFormat="1" x14ac:dyDescent="0.3"/>
    <row r="26766" s="160" customFormat="1" x14ac:dyDescent="0.3"/>
    <row r="26767" s="160" customFormat="1" x14ac:dyDescent="0.3"/>
    <row r="26768" s="160" customFormat="1" x14ac:dyDescent="0.3"/>
    <row r="26769" s="160" customFormat="1" x14ac:dyDescent="0.3"/>
    <row r="26770" s="160" customFormat="1" x14ac:dyDescent="0.3"/>
    <row r="26771" s="160" customFormat="1" x14ac:dyDescent="0.3"/>
    <row r="26772" s="160" customFormat="1" x14ac:dyDescent="0.3"/>
    <row r="26773" s="160" customFormat="1" x14ac:dyDescent="0.3"/>
    <row r="26774" s="160" customFormat="1" x14ac:dyDescent="0.3"/>
    <row r="26775" s="160" customFormat="1" x14ac:dyDescent="0.3"/>
    <row r="26776" s="160" customFormat="1" x14ac:dyDescent="0.3"/>
    <row r="26777" s="160" customFormat="1" x14ac:dyDescent="0.3"/>
    <row r="26778" s="160" customFormat="1" x14ac:dyDescent="0.3"/>
    <row r="26779" s="160" customFormat="1" x14ac:dyDescent="0.3"/>
    <row r="26780" s="160" customFormat="1" x14ac:dyDescent="0.3"/>
    <row r="26781" s="160" customFormat="1" x14ac:dyDescent="0.3"/>
    <row r="26782" s="160" customFormat="1" x14ac:dyDescent="0.3"/>
    <row r="26783" s="160" customFormat="1" x14ac:dyDescent="0.3"/>
    <row r="26784" s="160" customFormat="1" x14ac:dyDescent="0.3"/>
    <row r="26785" s="160" customFormat="1" x14ac:dyDescent="0.3"/>
    <row r="26786" s="160" customFormat="1" x14ac:dyDescent="0.3"/>
    <row r="26787" s="160" customFormat="1" x14ac:dyDescent="0.3"/>
    <row r="26788" s="160" customFormat="1" x14ac:dyDescent="0.3"/>
    <row r="26789" s="160" customFormat="1" x14ac:dyDescent="0.3"/>
    <row r="26790" s="160" customFormat="1" x14ac:dyDescent="0.3"/>
    <row r="26791" s="160" customFormat="1" x14ac:dyDescent="0.3"/>
    <row r="26792" s="160" customFormat="1" x14ac:dyDescent="0.3"/>
    <row r="26793" s="160" customFormat="1" x14ac:dyDescent="0.3"/>
    <row r="26794" s="160" customFormat="1" x14ac:dyDescent="0.3"/>
    <row r="26795" s="160" customFormat="1" x14ac:dyDescent="0.3"/>
    <row r="26796" s="160" customFormat="1" x14ac:dyDescent="0.3"/>
    <row r="26797" s="160" customFormat="1" x14ac:dyDescent="0.3"/>
    <row r="26798" s="160" customFormat="1" x14ac:dyDescent="0.3"/>
    <row r="26799" s="160" customFormat="1" x14ac:dyDescent="0.3"/>
    <row r="26800" s="160" customFormat="1" x14ac:dyDescent="0.3"/>
    <row r="26801" s="160" customFormat="1" x14ac:dyDescent="0.3"/>
    <row r="26802" s="160" customFormat="1" x14ac:dyDescent="0.3"/>
    <row r="26803" s="160" customFormat="1" x14ac:dyDescent="0.3"/>
    <row r="26804" s="160" customFormat="1" x14ac:dyDescent="0.3"/>
    <row r="26805" s="160" customFormat="1" x14ac:dyDescent="0.3"/>
    <row r="26806" s="160" customFormat="1" x14ac:dyDescent="0.3"/>
    <row r="26807" s="160" customFormat="1" x14ac:dyDescent="0.3"/>
    <row r="26808" s="160" customFormat="1" x14ac:dyDescent="0.3"/>
    <row r="26809" s="160" customFormat="1" x14ac:dyDescent="0.3"/>
    <row r="26810" s="160" customFormat="1" x14ac:dyDescent="0.3"/>
    <row r="26811" s="160" customFormat="1" x14ac:dyDescent="0.3"/>
    <row r="26812" s="160" customFormat="1" x14ac:dyDescent="0.3"/>
    <row r="26813" s="160" customFormat="1" x14ac:dyDescent="0.3"/>
    <row r="26814" s="160" customFormat="1" x14ac:dyDescent="0.3"/>
    <row r="26815" s="160" customFormat="1" x14ac:dyDescent="0.3"/>
    <row r="26816" s="160" customFormat="1" x14ac:dyDescent="0.3"/>
    <row r="26817" s="160" customFormat="1" x14ac:dyDescent="0.3"/>
    <row r="26818" s="160" customFormat="1" x14ac:dyDescent="0.3"/>
    <row r="26819" s="160" customFormat="1" x14ac:dyDescent="0.3"/>
    <row r="26820" s="160" customFormat="1" x14ac:dyDescent="0.3"/>
    <row r="26821" s="160" customFormat="1" x14ac:dyDescent="0.3"/>
    <row r="26822" s="160" customFormat="1" x14ac:dyDescent="0.3"/>
    <row r="26823" s="160" customFormat="1" x14ac:dyDescent="0.3"/>
    <row r="26824" s="160" customFormat="1" x14ac:dyDescent="0.3"/>
    <row r="26825" s="160" customFormat="1" x14ac:dyDescent="0.3"/>
    <row r="26826" s="160" customFormat="1" x14ac:dyDescent="0.3"/>
    <row r="26827" s="160" customFormat="1" x14ac:dyDescent="0.3"/>
    <row r="26828" s="160" customFormat="1" x14ac:dyDescent="0.3"/>
    <row r="26829" s="160" customFormat="1" x14ac:dyDescent="0.3"/>
    <row r="26830" s="160" customFormat="1" x14ac:dyDescent="0.3"/>
    <row r="26831" s="160" customFormat="1" x14ac:dyDescent="0.3"/>
    <row r="26832" s="160" customFormat="1" x14ac:dyDescent="0.3"/>
    <row r="26833" s="160" customFormat="1" x14ac:dyDescent="0.3"/>
    <row r="26834" s="160" customFormat="1" x14ac:dyDescent="0.3"/>
    <row r="26835" s="160" customFormat="1" x14ac:dyDescent="0.3"/>
    <row r="26836" s="160" customFormat="1" x14ac:dyDescent="0.3"/>
    <row r="26837" s="160" customFormat="1" x14ac:dyDescent="0.3"/>
    <row r="26838" s="160" customFormat="1" x14ac:dyDescent="0.3"/>
    <row r="26839" s="160" customFormat="1" x14ac:dyDescent="0.3"/>
    <row r="26840" s="160" customFormat="1" x14ac:dyDescent="0.3"/>
    <row r="26841" s="160" customFormat="1" x14ac:dyDescent="0.3"/>
    <row r="26842" s="160" customFormat="1" x14ac:dyDescent="0.3"/>
    <row r="26843" s="160" customFormat="1" x14ac:dyDescent="0.3"/>
    <row r="26844" s="160" customFormat="1" x14ac:dyDescent="0.3"/>
    <row r="26845" s="160" customFormat="1" x14ac:dyDescent="0.3"/>
    <row r="26846" s="160" customFormat="1" x14ac:dyDescent="0.3"/>
    <row r="26847" s="160" customFormat="1" x14ac:dyDescent="0.3"/>
    <row r="26848" s="160" customFormat="1" x14ac:dyDescent="0.3"/>
    <row r="26849" s="160" customFormat="1" x14ac:dyDescent="0.3"/>
    <row r="26850" s="160" customFormat="1" x14ac:dyDescent="0.3"/>
    <row r="26851" s="160" customFormat="1" x14ac:dyDescent="0.3"/>
    <row r="26852" s="160" customFormat="1" x14ac:dyDescent="0.3"/>
    <row r="26853" s="160" customFormat="1" x14ac:dyDescent="0.3"/>
    <row r="26854" s="160" customFormat="1" x14ac:dyDescent="0.3"/>
    <row r="26855" s="160" customFormat="1" x14ac:dyDescent="0.3"/>
    <row r="26856" s="160" customFormat="1" x14ac:dyDescent="0.3"/>
    <row r="26857" s="160" customFormat="1" x14ac:dyDescent="0.3"/>
    <row r="26858" s="160" customFormat="1" x14ac:dyDescent="0.3"/>
    <row r="26859" s="160" customFormat="1" x14ac:dyDescent="0.3"/>
    <row r="26860" s="160" customFormat="1" x14ac:dyDescent="0.3"/>
    <row r="26861" s="160" customFormat="1" x14ac:dyDescent="0.3"/>
    <row r="26862" s="160" customFormat="1" x14ac:dyDescent="0.3"/>
    <row r="26863" s="160" customFormat="1" x14ac:dyDescent="0.3"/>
    <row r="26864" s="160" customFormat="1" x14ac:dyDescent="0.3"/>
    <row r="26865" s="160" customFormat="1" x14ac:dyDescent="0.3"/>
    <row r="26866" s="160" customFormat="1" x14ac:dyDescent="0.3"/>
    <row r="26867" s="160" customFormat="1" x14ac:dyDescent="0.3"/>
    <row r="26868" s="160" customFormat="1" x14ac:dyDescent="0.3"/>
    <row r="26869" s="160" customFormat="1" x14ac:dyDescent="0.3"/>
    <row r="26870" s="160" customFormat="1" x14ac:dyDescent="0.3"/>
    <row r="26871" s="160" customFormat="1" x14ac:dyDescent="0.3"/>
    <row r="26872" s="160" customFormat="1" x14ac:dyDescent="0.3"/>
    <row r="26873" s="160" customFormat="1" x14ac:dyDescent="0.3"/>
    <row r="26874" s="160" customFormat="1" x14ac:dyDescent="0.3"/>
    <row r="26875" s="160" customFormat="1" x14ac:dyDescent="0.3"/>
    <row r="26876" s="160" customFormat="1" x14ac:dyDescent="0.3"/>
    <row r="26877" s="160" customFormat="1" x14ac:dyDescent="0.3"/>
    <row r="26878" s="160" customFormat="1" x14ac:dyDescent="0.3"/>
    <row r="26879" s="160" customFormat="1" x14ac:dyDescent="0.3"/>
    <row r="26880" s="160" customFormat="1" x14ac:dyDescent="0.3"/>
    <row r="26881" s="160" customFormat="1" x14ac:dyDescent="0.3"/>
    <row r="26882" s="160" customFormat="1" x14ac:dyDescent="0.3"/>
    <row r="26883" s="160" customFormat="1" x14ac:dyDescent="0.3"/>
    <row r="26884" s="160" customFormat="1" x14ac:dyDescent="0.3"/>
    <row r="26885" s="160" customFormat="1" x14ac:dyDescent="0.3"/>
    <row r="26886" s="160" customFormat="1" x14ac:dyDescent="0.3"/>
    <row r="26887" s="160" customFormat="1" x14ac:dyDescent="0.3"/>
    <row r="26888" s="160" customFormat="1" x14ac:dyDescent="0.3"/>
    <row r="26889" s="160" customFormat="1" x14ac:dyDescent="0.3"/>
    <row r="26890" s="160" customFormat="1" x14ac:dyDescent="0.3"/>
    <row r="26891" s="160" customFormat="1" x14ac:dyDescent="0.3"/>
    <row r="26892" s="160" customFormat="1" x14ac:dyDescent="0.3"/>
    <row r="26893" s="160" customFormat="1" x14ac:dyDescent="0.3"/>
    <row r="26894" s="160" customFormat="1" x14ac:dyDescent="0.3"/>
    <row r="26895" s="160" customFormat="1" x14ac:dyDescent="0.3"/>
    <row r="26896" s="160" customFormat="1" x14ac:dyDescent="0.3"/>
    <row r="26897" s="160" customFormat="1" x14ac:dyDescent="0.3"/>
    <row r="26898" s="160" customFormat="1" x14ac:dyDescent="0.3"/>
    <row r="26899" s="160" customFormat="1" x14ac:dyDescent="0.3"/>
    <row r="26900" s="160" customFormat="1" x14ac:dyDescent="0.3"/>
    <row r="26901" s="160" customFormat="1" x14ac:dyDescent="0.3"/>
    <row r="26902" s="160" customFormat="1" x14ac:dyDescent="0.3"/>
    <row r="26903" s="160" customFormat="1" x14ac:dyDescent="0.3"/>
    <row r="26904" s="160" customFormat="1" x14ac:dyDescent="0.3"/>
    <row r="26905" s="160" customFormat="1" x14ac:dyDescent="0.3"/>
    <row r="26906" s="160" customFormat="1" x14ac:dyDescent="0.3"/>
    <row r="26907" s="160" customFormat="1" x14ac:dyDescent="0.3"/>
    <row r="26908" s="160" customFormat="1" x14ac:dyDescent="0.3"/>
    <row r="26909" s="160" customFormat="1" x14ac:dyDescent="0.3"/>
    <row r="26910" s="160" customFormat="1" x14ac:dyDescent="0.3"/>
    <row r="26911" s="160" customFormat="1" x14ac:dyDescent="0.3"/>
    <row r="26912" s="160" customFormat="1" x14ac:dyDescent="0.3"/>
    <row r="26913" s="160" customFormat="1" x14ac:dyDescent="0.3"/>
    <row r="26914" s="160" customFormat="1" x14ac:dyDescent="0.3"/>
    <row r="26915" s="160" customFormat="1" x14ac:dyDescent="0.3"/>
    <row r="26916" s="160" customFormat="1" x14ac:dyDescent="0.3"/>
    <row r="26917" s="160" customFormat="1" x14ac:dyDescent="0.3"/>
    <row r="26918" s="160" customFormat="1" x14ac:dyDescent="0.3"/>
    <row r="26919" s="160" customFormat="1" x14ac:dyDescent="0.3"/>
    <row r="26920" s="160" customFormat="1" x14ac:dyDescent="0.3"/>
    <row r="26921" s="160" customFormat="1" x14ac:dyDescent="0.3"/>
    <row r="26922" s="160" customFormat="1" x14ac:dyDescent="0.3"/>
    <row r="26923" s="160" customFormat="1" x14ac:dyDescent="0.3"/>
    <row r="26924" s="160" customFormat="1" x14ac:dyDescent="0.3"/>
    <row r="26925" s="160" customFormat="1" x14ac:dyDescent="0.3"/>
    <row r="26926" s="160" customFormat="1" x14ac:dyDescent="0.3"/>
    <row r="26927" s="160" customFormat="1" x14ac:dyDescent="0.3"/>
    <row r="26928" s="160" customFormat="1" x14ac:dyDescent="0.3"/>
    <row r="26929" s="160" customFormat="1" x14ac:dyDescent="0.3"/>
    <row r="26930" s="160" customFormat="1" x14ac:dyDescent="0.3"/>
    <row r="26931" s="160" customFormat="1" x14ac:dyDescent="0.3"/>
    <row r="26932" s="160" customFormat="1" x14ac:dyDescent="0.3"/>
    <row r="26933" s="160" customFormat="1" x14ac:dyDescent="0.3"/>
    <row r="26934" s="160" customFormat="1" x14ac:dyDescent="0.3"/>
    <row r="26935" s="160" customFormat="1" x14ac:dyDescent="0.3"/>
    <row r="26936" s="160" customFormat="1" x14ac:dyDescent="0.3"/>
    <row r="26937" s="160" customFormat="1" x14ac:dyDescent="0.3"/>
    <row r="26938" s="160" customFormat="1" x14ac:dyDescent="0.3"/>
    <row r="26939" s="160" customFormat="1" x14ac:dyDescent="0.3"/>
    <row r="26940" s="160" customFormat="1" x14ac:dyDescent="0.3"/>
    <row r="26941" s="160" customFormat="1" x14ac:dyDescent="0.3"/>
    <row r="26942" s="160" customFormat="1" x14ac:dyDescent="0.3"/>
    <row r="26943" s="160" customFormat="1" x14ac:dyDescent="0.3"/>
    <row r="26944" s="160" customFormat="1" x14ac:dyDescent="0.3"/>
    <row r="26945" s="160" customFormat="1" x14ac:dyDescent="0.3"/>
    <row r="26946" s="160" customFormat="1" x14ac:dyDescent="0.3"/>
    <row r="26947" s="160" customFormat="1" x14ac:dyDescent="0.3"/>
    <row r="26948" s="160" customFormat="1" x14ac:dyDescent="0.3"/>
    <row r="26949" s="160" customFormat="1" x14ac:dyDescent="0.3"/>
    <row r="26950" s="160" customFormat="1" x14ac:dyDescent="0.3"/>
    <row r="26951" s="160" customFormat="1" x14ac:dyDescent="0.3"/>
    <row r="26952" s="160" customFormat="1" x14ac:dyDescent="0.3"/>
    <row r="26953" s="160" customFormat="1" x14ac:dyDescent="0.3"/>
    <row r="26954" s="160" customFormat="1" x14ac:dyDescent="0.3"/>
    <row r="26955" s="160" customFormat="1" x14ac:dyDescent="0.3"/>
    <row r="26956" s="160" customFormat="1" x14ac:dyDescent="0.3"/>
    <row r="26957" s="160" customFormat="1" x14ac:dyDescent="0.3"/>
    <row r="26958" s="160" customFormat="1" x14ac:dyDescent="0.3"/>
    <row r="26959" s="160" customFormat="1" x14ac:dyDescent="0.3"/>
    <row r="26960" s="160" customFormat="1" x14ac:dyDescent="0.3"/>
    <row r="26961" s="160" customFormat="1" x14ac:dyDescent="0.3"/>
    <row r="26962" s="160" customFormat="1" x14ac:dyDescent="0.3"/>
    <row r="26963" s="160" customFormat="1" x14ac:dyDescent="0.3"/>
    <row r="26964" s="160" customFormat="1" x14ac:dyDescent="0.3"/>
    <row r="26965" s="160" customFormat="1" x14ac:dyDescent="0.3"/>
    <row r="26966" s="160" customFormat="1" x14ac:dyDescent="0.3"/>
    <row r="26967" s="160" customFormat="1" x14ac:dyDescent="0.3"/>
    <row r="26968" s="160" customFormat="1" x14ac:dyDescent="0.3"/>
    <row r="26969" s="160" customFormat="1" x14ac:dyDescent="0.3"/>
    <row r="26970" s="160" customFormat="1" x14ac:dyDescent="0.3"/>
    <row r="26971" s="160" customFormat="1" x14ac:dyDescent="0.3"/>
    <row r="26972" s="160" customFormat="1" x14ac:dyDescent="0.3"/>
    <row r="26973" s="160" customFormat="1" x14ac:dyDescent="0.3"/>
    <row r="26974" s="160" customFormat="1" x14ac:dyDescent="0.3"/>
    <row r="26975" s="160" customFormat="1" x14ac:dyDescent="0.3"/>
    <row r="26976" s="160" customFormat="1" x14ac:dyDescent="0.3"/>
    <row r="26977" s="160" customFormat="1" x14ac:dyDescent="0.3"/>
    <row r="26978" s="160" customFormat="1" x14ac:dyDescent="0.3"/>
    <row r="26979" s="160" customFormat="1" x14ac:dyDescent="0.3"/>
    <row r="26980" s="160" customFormat="1" x14ac:dyDescent="0.3"/>
    <row r="26981" s="160" customFormat="1" x14ac:dyDescent="0.3"/>
    <row r="26982" s="160" customFormat="1" x14ac:dyDescent="0.3"/>
    <row r="26983" s="160" customFormat="1" x14ac:dyDescent="0.3"/>
    <row r="26984" s="160" customFormat="1" x14ac:dyDescent="0.3"/>
    <row r="26985" s="160" customFormat="1" x14ac:dyDescent="0.3"/>
    <row r="26986" s="160" customFormat="1" x14ac:dyDescent="0.3"/>
    <row r="26987" s="160" customFormat="1" x14ac:dyDescent="0.3"/>
    <row r="26988" s="160" customFormat="1" x14ac:dyDescent="0.3"/>
    <row r="26989" s="160" customFormat="1" x14ac:dyDescent="0.3"/>
    <row r="26990" s="160" customFormat="1" x14ac:dyDescent="0.3"/>
    <row r="26991" s="160" customFormat="1" x14ac:dyDescent="0.3"/>
    <row r="26992" s="160" customFormat="1" x14ac:dyDescent="0.3"/>
    <row r="26993" s="160" customFormat="1" x14ac:dyDescent="0.3"/>
    <row r="26994" s="160" customFormat="1" x14ac:dyDescent="0.3"/>
    <row r="26995" s="160" customFormat="1" x14ac:dyDescent="0.3"/>
    <row r="26996" s="160" customFormat="1" x14ac:dyDescent="0.3"/>
    <row r="26997" s="160" customFormat="1" x14ac:dyDescent="0.3"/>
    <row r="26998" s="160" customFormat="1" x14ac:dyDescent="0.3"/>
    <row r="26999" s="160" customFormat="1" x14ac:dyDescent="0.3"/>
    <row r="27000" s="160" customFormat="1" x14ac:dyDescent="0.3"/>
    <row r="27001" s="160" customFormat="1" x14ac:dyDescent="0.3"/>
    <row r="27002" s="160" customFormat="1" x14ac:dyDescent="0.3"/>
    <row r="27003" s="160" customFormat="1" x14ac:dyDescent="0.3"/>
    <row r="27004" s="160" customFormat="1" x14ac:dyDescent="0.3"/>
    <row r="27005" s="160" customFormat="1" x14ac:dyDescent="0.3"/>
    <row r="27006" s="160" customFormat="1" x14ac:dyDescent="0.3"/>
    <row r="27007" s="160" customFormat="1" x14ac:dyDescent="0.3"/>
    <row r="27008" s="160" customFormat="1" x14ac:dyDescent="0.3"/>
    <row r="27009" s="160" customFormat="1" x14ac:dyDescent="0.3"/>
    <row r="27010" s="160" customFormat="1" x14ac:dyDescent="0.3"/>
    <row r="27011" s="160" customFormat="1" x14ac:dyDescent="0.3"/>
    <row r="27012" s="160" customFormat="1" x14ac:dyDescent="0.3"/>
    <row r="27013" s="160" customFormat="1" x14ac:dyDescent="0.3"/>
    <row r="27014" s="160" customFormat="1" x14ac:dyDescent="0.3"/>
    <row r="27015" s="160" customFormat="1" x14ac:dyDescent="0.3"/>
    <row r="27016" s="160" customFormat="1" x14ac:dyDescent="0.3"/>
    <row r="27017" s="160" customFormat="1" x14ac:dyDescent="0.3"/>
    <row r="27018" s="160" customFormat="1" x14ac:dyDescent="0.3"/>
    <row r="27019" s="160" customFormat="1" x14ac:dyDescent="0.3"/>
    <row r="27020" s="160" customFormat="1" x14ac:dyDescent="0.3"/>
    <row r="27021" s="160" customFormat="1" x14ac:dyDescent="0.3"/>
    <row r="27022" s="160" customFormat="1" x14ac:dyDescent="0.3"/>
    <row r="27023" s="160" customFormat="1" x14ac:dyDescent="0.3"/>
    <row r="27024" s="160" customFormat="1" x14ac:dyDescent="0.3"/>
    <row r="27025" s="160" customFormat="1" x14ac:dyDescent="0.3"/>
    <row r="27026" s="160" customFormat="1" x14ac:dyDescent="0.3"/>
    <row r="27027" s="160" customFormat="1" x14ac:dyDescent="0.3"/>
    <row r="27028" s="160" customFormat="1" x14ac:dyDescent="0.3"/>
    <row r="27029" s="160" customFormat="1" x14ac:dyDescent="0.3"/>
    <row r="27030" s="160" customFormat="1" x14ac:dyDescent="0.3"/>
    <row r="27031" s="160" customFormat="1" x14ac:dyDescent="0.3"/>
    <row r="27032" s="160" customFormat="1" x14ac:dyDescent="0.3"/>
    <row r="27033" s="160" customFormat="1" x14ac:dyDescent="0.3"/>
    <row r="27034" s="160" customFormat="1" x14ac:dyDescent="0.3"/>
    <row r="27035" s="160" customFormat="1" x14ac:dyDescent="0.3"/>
    <row r="27036" s="160" customFormat="1" x14ac:dyDescent="0.3"/>
    <row r="27037" s="160" customFormat="1" x14ac:dyDescent="0.3"/>
    <row r="27038" s="160" customFormat="1" x14ac:dyDescent="0.3"/>
    <row r="27039" s="160" customFormat="1" x14ac:dyDescent="0.3"/>
    <row r="27040" s="160" customFormat="1" x14ac:dyDescent="0.3"/>
    <row r="27041" s="160" customFormat="1" x14ac:dyDescent="0.3"/>
    <row r="27042" s="160" customFormat="1" x14ac:dyDescent="0.3"/>
    <row r="27043" s="160" customFormat="1" x14ac:dyDescent="0.3"/>
    <row r="27044" s="160" customFormat="1" x14ac:dyDescent="0.3"/>
    <row r="27045" s="160" customFormat="1" x14ac:dyDescent="0.3"/>
    <row r="27046" s="160" customFormat="1" x14ac:dyDescent="0.3"/>
    <row r="27047" s="160" customFormat="1" x14ac:dyDescent="0.3"/>
    <row r="27048" s="160" customFormat="1" x14ac:dyDescent="0.3"/>
    <row r="27049" s="160" customFormat="1" x14ac:dyDescent="0.3"/>
    <row r="27050" s="160" customFormat="1" x14ac:dyDescent="0.3"/>
    <row r="27051" s="160" customFormat="1" x14ac:dyDescent="0.3"/>
    <row r="27052" s="160" customFormat="1" x14ac:dyDescent="0.3"/>
    <row r="27053" s="160" customFormat="1" x14ac:dyDescent="0.3"/>
    <row r="27054" s="160" customFormat="1" x14ac:dyDescent="0.3"/>
    <row r="27055" s="160" customFormat="1" x14ac:dyDescent="0.3"/>
    <row r="27056" s="160" customFormat="1" x14ac:dyDescent="0.3"/>
    <row r="27057" s="160" customFormat="1" x14ac:dyDescent="0.3"/>
    <row r="27058" s="160" customFormat="1" x14ac:dyDescent="0.3"/>
    <row r="27059" s="160" customFormat="1" x14ac:dyDescent="0.3"/>
    <row r="27060" s="160" customFormat="1" x14ac:dyDescent="0.3"/>
    <row r="27061" s="160" customFormat="1" x14ac:dyDescent="0.3"/>
    <row r="27062" s="160" customFormat="1" x14ac:dyDescent="0.3"/>
    <row r="27063" s="160" customFormat="1" x14ac:dyDescent="0.3"/>
    <row r="27064" s="160" customFormat="1" x14ac:dyDescent="0.3"/>
    <row r="27065" s="160" customFormat="1" x14ac:dyDescent="0.3"/>
    <row r="27066" s="160" customFormat="1" x14ac:dyDescent="0.3"/>
    <row r="27067" s="160" customFormat="1" x14ac:dyDescent="0.3"/>
    <row r="27068" s="160" customFormat="1" x14ac:dyDescent="0.3"/>
    <row r="27069" s="160" customFormat="1" x14ac:dyDescent="0.3"/>
    <row r="27070" s="160" customFormat="1" x14ac:dyDescent="0.3"/>
    <row r="27071" s="160" customFormat="1" x14ac:dyDescent="0.3"/>
    <row r="27072" s="160" customFormat="1" x14ac:dyDescent="0.3"/>
    <row r="27073" s="160" customFormat="1" x14ac:dyDescent="0.3"/>
    <row r="27074" s="160" customFormat="1" x14ac:dyDescent="0.3"/>
    <row r="27075" s="160" customFormat="1" x14ac:dyDescent="0.3"/>
    <row r="27076" s="160" customFormat="1" x14ac:dyDescent="0.3"/>
    <row r="27077" s="160" customFormat="1" x14ac:dyDescent="0.3"/>
    <row r="27078" s="160" customFormat="1" x14ac:dyDescent="0.3"/>
    <row r="27079" s="160" customFormat="1" x14ac:dyDescent="0.3"/>
    <row r="27080" s="160" customFormat="1" x14ac:dyDescent="0.3"/>
    <row r="27081" s="160" customFormat="1" x14ac:dyDescent="0.3"/>
    <row r="27082" s="160" customFormat="1" x14ac:dyDescent="0.3"/>
    <row r="27083" s="160" customFormat="1" x14ac:dyDescent="0.3"/>
    <row r="27084" s="160" customFormat="1" x14ac:dyDescent="0.3"/>
    <row r="27085" s="160" customFormat="1" x14ac:dyDescent="0.3"/>
    <row r="27086" s="160" customFormat="1" x14ac:dyDescent="0.3"/>
    <row r="27087" s="160" customFormat="1" x14ac:dyDescent="0.3"/>
    <row r="27088" s="160" customFormat="1" x14ac:dyDescent="0.3"/>
    <row r="27089" s="160" customFormat="1" x14ac:dyDescent="0.3"/>
    <row r="27090" s="160" customFormat="1" x14ac:dyDescent="0.3"/>
    <row r="27091" s="160" customFormat="1" x14ac:dyDescent="0.3"/>
    <row r="27092" s="160" customFormat="1" x14ac:dyDescent="0.3"/>
    <row r="27093" s="160" customFormat="1" x14ac:dyDescent="0.3"/>
    <row r="27094" s="160" customFormat="1" x14ac:dyDescent="0.3"/>
    <row r="27095" s="160" customFormat="1" x14ac:dyDescent="0.3"/>
    <row r="27096" s="160" customFormat="1" x14ac:dyDescent="0.3"/>
    <row r="27097" s="160" customFormat="1" x14ac:dyDescent="0.3"/>
    <row r="27098" s="160" customFormat="1" x14ac:dyDescent="0.3"/>
    <row r="27099" s="160" customFormat="1" x14ac:dyDescent="0.3"/>
    <row r="27100" s="160" customFormat="1" x14ac:dyDescent="0.3"/>
    <row r="27101" s="160" customFormat="1" x14ac:dyDescent="0.3"/>
    <row r="27102" s="160" customFormat="1" x14ac:dyDescent="0.3"/>
    <row r="27103" s="160" customFormat="1" x14ac:dyDescent="0.3"/>
    <row r="27104" s="160" customFormat="1" x14ac:dyDescent="0.3"/>
    <row r="27105" s="160" customFormat="1" x14ac:dyDescent="0.3"/>
    <row r="27106" s="160" customFormat="1" x14ac:dyDescent="0.3"/>
    <row r="27107" s="160" customFormat="1" x14ac:dyDescent="0.3"/>
    <row r="27108" s="160" customFormat="1" x14ac:dyDescent="0.3"/>
    <row r="27109" s="160" customFormat="1" x14ac:dyDescent="0.3"/>
    <row r="27110" s="160" customFormat="1" x14ac:dyDescent="0.3"/>
    <row r="27111" s="160" customFormat="1" x14ac:dyDescent="0.3"/>
    <row r="27112" s="160" customFormat="1" x14ac:dyDescent="0.3"/>
    <row r="27113" s="160" customFormat="1" x14ac:dyDescent="0.3"/>
    <row r="27114" s="160" customFormat="1" x14ac:dyDescent="0.3"/>
    <row r="27115" s="160" customFormat="1" x14ac:dyDescent="0.3"/>
    <row r="27116" s="160" customFormat="1" x14ac:dyDescent="0.3"/>
    <row r="27117" s="160" customFormat="1" x14ac:dyDescent="0.3"/>
    <row r="27118" s="160" customFormat="1" x14ac:dyDescent="0.3"/>
    <row r="27119" s="160" customFormat="1" x14ac:dyDescent="0.3"/>
    <row r="27120" s="160" customFormat="1" x14ac:dyDescent="0.3"/>
    <row r="27121" s="160" customFormat="1" x14ac:dyDescent="0.3"/>
    <row r="27122" s="160" customFormat="1" x14ac:dyDescent="0.3"/>
    <row r="27123" s="160" customFormat="1" x14ac:dyDescent="0.3"/>
    <row r="27124" s="160" customFormat="1" x14ac:dyDescent="0.3"/>
    <row r="27125" s="160" customFormat="1" x14ac:dyDescent="0.3"/>
    <row r="27126" s="160" customFormat="1" x14ac:dyDescent="0.3"/>
    <row r="27127" s="160" customFormat="1" x14ac:dyDescent="0.3"/>
    <row r="27128" s="160" customFormat="1" x14ac:dyDescent="0.3"/>
    <row r="27129" s="160" customFormat="1" x14ac:dyDescent="0.3"/>
    <row r="27130" s="160" customFormat="1" x14ac:dyDescent="0.3"/>
    <row r="27131" s="160" customFormat="1" x14ac:dyDescent="0.3"/>
    <row r="27132" s="160" customFormat="1" x14ac:dyDescent="0.3"/>
    <row r="27133" s="160" customFormat="1" x14ac:dyDescent="0.3"/>
    <row r="27134" s="160" customFormat="1" x14ac:dyDescent="0.3"/>
    <row r="27135" s="160" customFormat="1" x14ac:dyDescent="0.3"/>
    <row r="27136" s="160" customFormat="1" x14ac:dyDescent="0.3"/>
    <row r="27137" s="160" customFormat="1" x14ac:dyDescent="0.3"/>
    <row r="27138" s="160" customFormat="1" x14ac:dyDescent="0.3"/>
    <row r="27139" s="160" customFormat="1" x14ac:dyDescent="0.3"/>
    <row r="27140" s="160" customFormat="1" x14ac:dyDescent="0.3"/>
    <row r="27141" s="160" customFormat="1" x14ac:dyDescent="0.3"/>
    <row r="27142" s="160" customFormat="1" x14ac:dyDescent="0.3"/>
    <row r="27143" s="160" customFormat="1" x14ac:dyDescent="0.3"/>
    <row r="27144" s="160" customFormat="1" x14ac:dyDescent="0.3"/>
    <row r="27145" s="160" customFormat="1" x14ac:dyDescent="0.3"/>
    <row r="27146" s="160" customFormat="1" x14ac:dyDescent="0.3"/>
    <row r="27147" s="160" customFormat="1" x14ac:dyDescent="0.3"/>
    <row r="27148" s="160" customFormat="1" x14ac:dyDescent="0.3"/>
    <row r="27149" s="160" customFormat="1" x14ac:dyDescent="0.3"/>
    <row r="27150" s="160" customFormat="1" x14ac:dyDescent="0.3"/>
    <row r="27151" s="160" customFormat="1" x14ac:dyDescent="0.3"/>
    <row r="27152" s="160" customFormat="1" x14ac:dyDescent="0.3"/>
    <row r="27153" s="160" customFormat="1" x14ac:dyDescent="0.3"/>
    <row r="27154" s="160" customFormat="1" x14ac:dyDescent="0.3"/>
    <row r="27155" s="160" customFormat="1" x14ac:dyDescent="0.3"/>
    <row r="27156" s="160" customFormat="1" x14ac:dyDescent="0.3"/>
    <row r="27157" s="160" customFormat="1" x14ac:dyDescent="0.3"/>
    <row r="27158" s="160" customFormat="1" x14ac:dyDescent="0.3"/>
    <row r="27159" s="160" customFormat="1" x14ac:dyDescent="0.3"/>
    <row r="27160" s="160" customFormat="1" x14ac:dyDescent="0.3"/>
    <row r="27161" s="160" customFormat="1" x14ac:dyDescent="0.3"/>
    <row r="27162" s="160" customFormat="1" x14ac:dyDescent="0.3"/>
    <row r="27163" s="160" customFormat="1" x14ac:dyDescent="0.3"/>
    <row r="27164" s="160" customFormat="1" x14ac:dyDescent="0.3"/>
    <row r="27165" s="160" customFormat="1" x14ac:dyDescent="0.3"/>
    <row r="27166" s="160" customFormat="1" x14ac:dyDescent="0.3"/>
    <row r="27167" s="160" customFormat="1" x14ac:dyDescent="0.3"/>
    <row r="27168" s="160" customFormat="1" x14ac:dyDescent="0.3"/>
    <row r="27169" s="160" customFormat="1" x14ac:dyDescent="0.3"/>
    <row r="27170" s="160" customFormat="1" x14ac:dyDescent="0.3"/>
    <row r="27171" s="160" customFormat="1" x14ac:dyDescent="0.3"/>
    <row r="27172" s="160" customFormat="1" x14ac:dyDescent="0.3"/>
    <row r="27173" s="160" customFormat="1" x14ac:dyDescent="0.3"/>
    <row r="27174" s="160" customFormat="1" x14ac:dyDescent="0.3"/>
    <row r="27175" s="160" customFormat="1" x14ac:dyDescent="0.3"/>
    <row r="27176" s="160" customFormat="1" x14ac:dyDescent="0.3"/>
    <row r="27177" s="160" customFormat="1" x14ac:dyDescent="0.3"/>
    <row r="27178" s="160" customFormat="1" x14ac:dyDescent="0.3"/>
    <row r="27179" s="160" customFormat="1" x14ac:dyDescent="0.3"/>
    <row r="27180" s="160" customFormat="1" x14ac:dyDescent="0.3"/>
    <row r="27181" s="160" customFormat="1" x14ac:dyDescent="0.3"/>
    <row r="27182" s="160" customFormat="1" x14ac:dyDescent="0.3"/>
    <row r="27183" s="160" customFormat="1" x14ac:dyDescent="0.3"/>
    <row r="27184" s="160" customFormat="1" x14ac:dyDescent="0.3"/>
    <row r="27185" s="160" customFormat="1" x14ac:dyDescent="0.3"/>
    <row r="27186" s="160" customFormat="1" x14ac:dyDescent="0.3"/>
    <row r="27187" s="160" customFormat="1" x14ac:dyDescent="0.3"/>
    <row r="27188" s="160" customFormat="1" x14ac:dyDescent="0.3"/>
    <row r="27189" s="160" customFormat="1" x14ac:dyDescent="0.3"/>
    <row r="27190" s="160" customFormat="1" x14ac:dyDescent="0.3"/>
    <row r="27191" s="160" customFormat="1" x14ac:dyDescent="0.3"/>
    <row r="27192" s="160" customFormat="1" x14ac:dyDescent="0.3"/>
    <row r="27193" s="160" customFormat="1" x14ac:dyDescent="0.3"/>
    <row r="27194" s="160" customFormat="1" x14ac:dyDescent="0.3"/>
    <row r="27195" s="160" customFormat="1" x14ac:dyDescent="0.3"/>
    <row r="27196" s="160" customFormat="1" x14ac:dyDescent="0.3"/>
    <row r="27197" s="160" customFormat="1" x14ac:dyDescent="0.3"/>
    <row r="27198" s="160" customFormat="1" x14ac:dyDescent="0.3"/>
    <row r="27199" s="160" customFormat="1" x14ac:dyDescent="0.3"/>
    <row r="27200" s="160" customFormat="1" x14ac:dyDescent="0.3"/>
    <row r="27201" s="160" customFormat="1" x14ac:dyDescent="0.3"/>
    <row r="27202" s="160" customFormat="1" x14ac:dyDescent="0.3"/>
    <row r="27203" s="160" customFormat="1" x14ac:dyDescent="0.3"/>
    <row r="27204" s="160" customFormat="1" x14ac:dyDescent="0.3"/>
    <row r="27205" s="160" customFormat="1" x14ac:dyDescent="0.3"/>
    <row r="27206" s="160" customFormat="1" x14ac:dyDescent="0.3"/>
    <row r="27207" s="160" customFormat="1" x14ac:dyDescent="0.3"/>
    <row r="27208" s="160" customFormat="1" x14ac:dyDescent="0.3"/>
    <row r="27209" s="160" customFormat="1" x14ac:dyDescent="0.3"/>
    <row r="27210" s="160" customFormat="1" x14ac:dyDescent="0.3"/>
    <row r="27211" s="160" customFormat="1" x14ac:dyDescent="0.3"/>
    <row r="27212" s="160" customFormat="1" x14ac:dyDescent="0.3"/>
    <row r="27213" s="160" customFormat="1" x14ac:dyDescent="0.3"/>
    <row r="27214" s="160" customFormat="1" x14ac:dyDescent="0.3"/>
    <row r="27215" s="160" customFormat="1" x14ac:dyDescent="0.3"/>
    <row r="27216" s="160" customFormat="1" x14ac:dyDescent="0.3"/>
    <row r="27217" s="160" customFormat="1" x14ac:dyDescent="0.3"/>
    <row r="27218" s="160" customFormat="1" x14ac:dyDescent="0.3"/>
    <row r="27219" s="160" customFormat="1" x14ac:dyDescent="0.3"/>
    <row r="27220" s="160" customFormat="1" x14ac:dyDescent="0.3"/>
    <row r="27221" s="160" customFormat="1" x14ac:dyDescent="0.3"/>
    <row r="27222" s="160" customFormat="1" x14ac:dyDescent="0.3"/>
    <row r="27223" s="160" customFormat="1" x14ac:dyDescent="0.3"/>
    <row r="27224" s="160" customFormat="1" x14ac:dyDescent="0.3"/>
    <row r="27225" s="160" customFormat="1" x14ac:dyDescent="0.3"/>
    <row r="27226" s="160" customFormat="1" x14ac:dyDescent="0.3"/>
    <row r="27227" s="160" customFormat="1" x14ac:dyDescent="0.3"/>
    <row r="27228" s="160" customFormat="1" x14ac:dyDescent="0.3"/>
    <row r="27229" s="160" customFormat="1" x14ac:dyDescent="0.3"/>
    <row r="27230" s="160" customFormat="1" x14ac:dyDescent="0.3"/>
    <row r="27231" s="160" customFormat="1" x14ac:dyDescent="0.3"/>
    <row r="27232" s="160" customFormat="1" x14ac:dyDescent="0.3"/>
    <row r="27233" s="160" customFormat="1" x14ac:dyDescent="0.3"/>
    <row r="27234" s="160" customFormat="1" x14ac:dyDescent="0.3"/>
    <row r="27235" s="160" customFormat="1" x14ac:dyDescent="0.3"/>
    <row r="27236" s="160" customFormat="1" x14ac:dyDescent="0.3"/>
    <row r="27237" s="160" customFormat="1" x14ac:dyDescent="0.3"/>
    <row r="27238" s="160" customFormat="1" x14ac:dyDescent="0.3"/>
    <row r="27239" s="160" customFormat="1" x14ac:dyDescent="0.3"/>
    <row r="27240" s="160" customFormat="1" x14ac:dyDescent="0.3"/>
    <row r="27241" s="160" customFormat="1" x14ac:dyDescent="0.3"/>
    <row r="27242" s="160" customFormat="1" x14ac:dyDescent="0.3"/>
    <row r="27243" s="160" customFormat="1" x14ac:dyDescent="0.3"/>
    <row r="27244" s="160" customFormat="1" x14ac:dyDescent="0.3"/>
    <row r="27245" s="160" customFormat="1" x14ac:dyDescent="0.3"/>
    <row r="27246" s="160" customFormat="1" x14ac:dyDescent="0.3"/>
    <row r="27247" s="160" customFormat="1" x14ac:dyDescent="0.3"/>
    <row r="27248" s="160" customFormat="1" x14ac:dyDescent="0.3"/>
    <row r="27249" s="160" customFormat="1" x14ac:dyDescent="0.3"/>
    <row r="27250" s="160" customFormat="1" x14ac:dyDescent="0.3"/>
    <row r="27251" s="160" customFormat="1" x14ac:dyDescent="0.3"/>
    <row r="27252" s="160" customFormat="1" x14ac:dyDescent="0.3"/>
    <row r="27253" s="160" customFormat="1" x14ac:dyDescent="0.3"/>
    <row r="27254" s="160" customFormat="1" x14ac:dyDescent="0.3"/>
    <row r="27255" s="160" customFormat="1" x14ac:dyDescent="0.3"/>
    <row r="27256" s="160" customFormat="1" x14ac:dyDescent="0.3"/>
    <row r="27257" s="160" customFormat="1" x14ac:dyDescent="0.3"/>
    <row r="27258" s="160" customFormat="1" x14ac:dyDescent="0.3"/>
    <row r="27259" s="160" customFormat="1" x14ac:dyDescent="0.3"/>
    <row r="27260" s="160" customFormat="1" x14ac:dyDescent="0.3"/>
    <row r="27261" s="160" customFormat="1" x14ac:dyDescent="0.3"/>
    <row r="27262" s="160" customFormat="1" x14ac:dyDescent="0.3"/>
    <row r="27263" s="160" customFormat="1" x14ac:dyDescent="0.3"/>
    <row r="27264" s="160" customFormat="1" x14ac:dyDescent="0.3"/>
    <row r="27265" s="160" customFormat="1" x14ac:dyDescent="0.3"/>
    <row r="27266" s="160" customFormat="1" x14ac:dyDescent="0.3"/>
    <row r="27267" s="160" customFormat="1" x14ac:dyDescent="0.3"/>
    <row r="27268" s="160" customFormat="1" x14ac:dyDescent="0.3"/>
    <row r="27269" s="160" customFormat="1" x14ac:dyDescent="0.3"/>
    <row r="27270" s="160" customFormat="1" x14ac:dyDescent="0.3"/>
    <row r="27271" s="160" customFormat="1" x14ac:dyDescent="0.3"/>
    <row r="27272" s="160" customFormat="1" x14ac:dyDescent="0.3"/>
    <row r="27273" s="160" customFormat="1" x14ac:dyDescent="0.3"/>
    <row r="27274" s="160" customFormat="1" x14ac:dyDescent="0.3"/>
    <row r="27275" s="160" customFormat="1" x14ac:dyDescent="0.3"/>
    <row r="27276" s="160" customFormat="1" x14ac:dyDescent="0.3"/>
    <row r="27277" s="160" customFormat="1" x14ac:dyDescent="0.3"/>
    <row r="27278" s="160" customFormat="1" x14ac:dyDescent="0.3"/>
    <row r="27279" s="160" customFormat="1" x14ac:dyDescent="0.3"/>
    <row r="27280" s="160" customFormat="1" x14ac:dyDescent="0.3"/>
    <row r="27281" s="160" customFormat="1" x14ac:dyDescent="0.3"/>
    <row r="27282" s="160" customFormat="1" x14ac:dyDescent="0.3"/>
    <row r="27283" s="160" customFormat="1" x14ac:dyDescent="0.3"/>
    <row r="27284" s="160" customFormat="1" x14ac:dyDescent="0.3"/>
    <row r="27285" s="160" customFormat="1" x14ac:dyDescent="0.3"/>
    <row r="27286" s="160" customFormat="1" x14ac:dyDescent="0.3"/>
    <row r="27287" s="160" customFormat="1" x14ac:dyDescent="0.3"/>
    <row r="27288" s="160" customFormat="1" x14ac:dyDescent="0.3"/>
    <row r="27289" s="160" customFormat="1" x14ac:dyDescent="0.3"/>
    <row r="27290" s="160" customFormat="1" x14ac:dyDescent="0.3"/>
    <row r="27291" s="160" customFormat="1" x14ac:dyDescent="0.3"/>
    <row r="27292" s="160" customFormat="1" x14ac:dyDescent="0.3"/>
    <row r="27293" s="160" customFormat="1" x14ac:dyDescent="0.3"/>
    <row r="27294" s="160" customFormat="1" x14ac:dyDescent="0.3"/>
    <row r="27295" s="160" customFormat="1" x14ac:dyDescent="0.3"/>
    <row r="27296" s="160" customFormat="1" x14ac:dyDescent="0.3"/>
    <row r="27297" s="160" customFormat="1" x14ac:dyDescent="0.3"/>
    <row r="27298" s="160" customFormat="1" x14ac:dyDescent="0.3"/>
    <row r="27299" s="160" customFormat="1" x14ac:dyDescent="0.3"/>
    <row r="27300" s="160" customFormat="1" x14ac:dyDescent="0.3"/>
    <row r="27301" s="160" customFormat="1" x14ac:dyDescent="0.3"/>
    <row r="27302" s="160" customFormat="1" x14ac:dyDescent="0.3"/>
    <row r="27303" s="160" customFormat="1" x14ac:dyDescent="0.3"/>
    <row r="27304" s="160" customFormat="1" x14ac:dyDescent="0.3"/>
    <row r="27305" s="160" customFormat="1" x14ac:dyDescent="0.3"/>
    <row r="27306" s="160" customFormat="1" x14ac:dyDescent="0.3"/>
    <row r="27307" s="160" customFormat="1" x14ac:dyDescent="0.3"/>
    <row r="27308" s="160" customFormat="1" x14ac:dyDescent="0.3"/>
    <row r="27309" s="160" customFormat="1" x14ac:dyDescent="0.3"/>
    <row r="27310" s="160" customFormat="1" x14ac:dyDescent="0.3"/>
    <row r="27311" s="160" customFormat="1" x14ac:dyDescent="0.3"/>
    <row r="27312" s="160" customFormat="1" x14ac:dyDescent="0.3"/>
    <row r="27313" s="160" customFormat="1" x14ac:dyDescent="0.3"/>
    <row r="27314" s="160" customFormat="1" x14ac:dyDescent="0.3"/>
    <row r="27315" s="160" customFormat="1" x14ac:dyDescent="0.3"/>
    <row r="27316" s="160" customFormat="1" x14ac:dyDescent="0.3"/>
    <row r="27317" s="160" customFormat="1" x14ac:dyDescent="0.3"/>
    <row r="27318" s="160" customFormat="1" x14ac:dyDescent="0.3"/>
    <row r="27319" s="160" customFormat="1" x14ac:dyDescent="0.3"/>
    <row r="27320" s="160" customFormat="1" x14ac:dyDescent="0.3"/>
    <row r="27321" s="160" customFormat="1" x14ac:dyDescent="0.3"/>
    <row r="27322" s="160" customFormat="1" x14ac:dyDescent="0.3"/>
    <row r="27323" s="160" customFormat="1" x14ac:dyDescent="0.3"/>
    <row r="27324" s="160" customFormat="1" x14ac:dyDescent="0.3"/>
    <row r="27325" s="160" customFormat="1" x14ac:dyDescent="0.3"/>
    <row r="27326" s="160" customFormat="1" x14ac:dyDescent="0.3"/>
    <row r="27327" s="160" customFormat="1" x14ac:dyDescent="0.3"/>
    <row r="27328" s="160" customFormat="1" x14ac:dyDescent="0.3"/>
    <row r="27329" s="160" customFormat="1" x14ac:dyDescent="0.3"/>
    <row r="27330" s="160" customFormat="1" x14ac:dyDescent="0.3"/>
    <row r="27331" s="160" customFormat="1" x14ac:dyDescent="0.3"/>
    <row r="27332" s="160" customFormat="1" x14ac:dyDescent="0.3"/>
    <row r="27333" s="160" customFormat="1" x14ac:dyDescent="0.3"/>
    <row r="27334" s="160" customFormat="1" x14ac:dyDescent="0.3"/>
    <row r="27335" s="160" customFormat="1" x14ac:dyDescent="0.3"/>
    <row r="27336" s="160" customFormat="1" x14ac:dyDescent="0.3"/>
    <row r="27337" s="160" customFormat="1" x14ac:dyDescent="0.3"/>
    <row r="27338" s="160" customFormat="1" x14ac:dyDescent="0.3"/>
    <row r="27339" s="160" customFormat="1" x14ac:dyDescent="0.3"/>
    <row r="27340" s="160" customFormat="1" x14ac:dyDescent="0.3"/>
    <row r="27341" s="160" customFormat="1" x14ac:dyDescent="0.3"/>
    <row r="27342" s="160" customFormat="1" x14ac:dyDescent="0.3"/>
    <row r="27343" s="160" customFormat="1" x14ac:dyDescent="0.3"/>
    <row r="27344" s="160" customFormat="1" x14ac:dyDescent="0.3"/>
    <row r="27345" s="160" customFormat="1" x14ac:dyDescent="0.3"/>
    <row r="27346" s="160" customFormat="1" x14ac:dyDescent="0.3"/>
    <row r="27347" s="160" customFormat="1" x14ac:dyDescent="0.3"/>
    <row r="27348" s="160" customFormat="1" x14ac:dyDescent="0.3"/>
    <row r="27349" s="160" customFormat="1" x14ac:dyDescent="0.3"/>
    <row r="27350" s="160" customFormat="1" x14ac:dyDescent="0.3"/>
    <row r="27351" s="160" customFormat="1" x14ac:dyDescent="0.3"/>
    <row r="27352" s="160" customFormat="1" x14ac:dyDescent="0.3"/>
    <row r="27353" s="160" customFormat="1" x14ac:dyDescent="0.3"/>
    <row r="27354" s="160" customFormat="1" x14ac:dyDescent="0.3"/>
    <row r="27355" s="160" customFormat="1" x14ac:dyDescent="0.3"/>
    <row r="27356" s="160" customFormat="1" x14ac:dyDescent="0.3"/>
    <row r="27357" s="160" customFormat="1" x14ac:dyDescent="0.3"/>
    <row r="27358" s="160" customFormat="1" x14ac:dyDescent="0.3"/>
    <row r="27359" s="160" customFormat="1" x14ac:dyDescent="0.3"/>
    <row r="27360" s="160" customFormat="1" x14ac:dyDescent="0.3"/>
    <row r="27361" s="160" customFormat="1" x14ac:dyDescent="0.3"/>
    <row r="27362" s="160" customFormat="1" x14ac:dyDescent="0.3"/>
    <row r="27363" s="160" customFormat="1" x14ac:dyDescent="0.3"/>
    <row r="27364" s="160" customFormat="1" x14ac:dyDescent="0.3"/>
    <row r="27365" s="160" customFormat="1" x14ac:dyDescent="0.3"/>
    <row r="27366" s="160" customFormat="1" x14ac:dyDescent="0.3"/>
    <row r="27367" s="160" customFormat="1" x14ac:dyDescent="0.3"/>
    <row r="27368" s="160" customFormat="1" x14ac:dyDescent="0.3"/>
    <row r="27369" s="160" customFormat="1" x14ac:dyDescent="0.3"/>
    <row r="27370" s="160" customFormat="1" x14ac:dyDescent="0.3"/>
    <row r="27371" s="160" customFormat="1" x14ac:dyDescent="0.3"/>
    <row r="27372" s="160" customFormat="1" x14ac:dyDescent="0.3"/>
    <row r="27373" s="160" customFormat="1" x14ac:dyDescent="0.3"/>
    <row r="27374" s="160" customFormat="1" x14ac:dyDescent="0.3"/>
    <row r="27375" s="160" customFormat="1" x14ac:dyDescent="0.3"/>
    <row r="27376" s="160" customFormat="1" x14ac:dyDescent="0.3"/>
    <row r="27377" s="160" customFormat="1" x14ac:dyDescent="0.3"/>
    <row r="27378" s="160" customFormat="1" x14ac:dyDescent="0.3"/>
    <row r="27379" s="160" customFormat="1" x14ac:dyDescent="0.3"/>
    <row r="27380" s="160" customFormat="1" x14ac:dyDescent="0.3"/>
    <row r="27381" s="160" customFormat="1" x14ac:dyDescent="0.3"/>
    <row r="27382" s="160" customFormat="1" x14ac:dyDescent="0.3"/>
    <row r="27383" s="160" customFormat="1" x14ac:dyDescent="0.3"/>
    <row r="27384" s="160" customFormat="1" x14ac:dyDescent="0.3"/>
    <row r="27385" s="160" customFormat="1" x14ac:dyDescent="0.3"/>
    <row r="27386" s="160" customFormat="1" x14ac:dyDescent="0.3"/>
    <row r="27387" s="160" customFormat="1" x14ac:dyDescent="0.3"/>
    <row r="27388" s="160" customFormat="1" x14ac:dyDescent="0.3"/>
    <row r="27389" s="160" customFormat="1" x14ac:dyDescent="0.3"/>
    <row r="27390" s="160" customFormat="1" x14ac:dyDescent="0.3"/>
    <row r="27391" s="160" customFormat="1" x14ac:dyDescent="0.3"/>
    <row r="27392" s="160" customFormat="1" x14ac:dyDescent="0.3"/>
    <row r="27393" s="160" customFormat="1" x14ac:dyDescent="0.3"/>
    <row r="27394" s="160" customFormat="1" x14ac:dyDescent="0.3"/>
    <row r="27395" s="160" customFormat="1" x14ac:dyDescent="0.3"/>
    <row r="27396" s="160" customFormat="1" x14ac:dyDescent="0.3"/>
    <row r="27397" s="160" customFormat="1" x14ac:dyDescent="0.3"/>
    <row r="27398" s="160" customFormat="1" x14ac:dyDescent="0.3"/>
    <row r="27399" s="160" customFormat="1" x14ac:dyDescent="0.3"/>
    <row r="27400" s="160" customFormat="1" x14ac:dyDescent="0.3"/>
    <row r="27401" s="160" customFormat="1" x14ac:dyDescent="0.3"/>
    <row r="27402" s="160" customFormat="1" x14ac:dyDescent="0.3"/>
    <row r="27403" s="160" customFormat="1" x14ac:dyDescent="0.3"/>
    <row r="27404" s="160" customFormat="1" x14ac:dyDescent="0.3"/>
    <row r="27405" s="160" customFormat="1" x14ac:dyDescent="0.3"/>
    <row r="27406" s="160" customFormat="1" x14ac:dyDescent="0.3"/>
    <row r="27407" s="160" customFormat="1" x14ac:dyDescent="0.3"/>
    <row r="27408" s="160" customFormat="1" x14ac:dyDescent="0.3"/>
    <row r="27409" s="160" customFormat="1" x14ac:dyDescent="0.3"/>
    <row r="27410" s="160" customFormat="1" x14ac:dyDescent="0.3"/>
    <row r="27411" s="160" customFormat="1" x14ac:dyDescent="0.3"/>
    <row r="27412" s="160" customFormat="1" x14ac:dyDescent="0.3"/>
    <row r="27413" s="160" customFormat="1" x14ac:dyDescent="0.3"/>
    <row r="27414" s="160" customFormat="1" x14ac:dyDescent="0.3"/>
    <row r="27415" s="160" customFormat="1" x14ac:dyDescent="0.3"/>
    <row r="27416" s="160" customFormat="1" x14ac:dyDescent="0.3"/>
    <row r="27417" s="160" customFormat="1" x14ac:dyDescent="0.3"/>
    <row r="27418" s="160" customFormat="1" x14ac:dyDescent="0.3"/>
    <row r="27419" s="160" customFormat="1" x14ac:dyDescent="0.3"/>
    <row r="27420" s="160" customFormat="1" x14ac:dyDescent="0.3"/>
    <row r="27421" s="160" customFormat="1" x14ac:dyDescent="0.3"/>
    <row r="27422" s="160" customFormat="1" x14ac:dyDescent="0.3"/>
    <row r="27423" s="160" customFormat="1" x14ac:dyDescent="0.3"/>
    <row r="27424" s="160" customFormat="1" x14ac:dyDescent="0.3"/>
    <row r="27425" s="160" customFormat="1" x14ac:dyDescent="0.3"/>
    <row r="27426" s="160" customFormat="1" x14ac:dyDescent="0.3"/>
    <row r="27427" s="160" customFormat="1" x14ac:dyDescent="0.3"/>
    <row r="27428" s="160" customFormat="1" x14ac:dyDescent="0.3"/>
    <row r="27429" s="160" customFormat="1" x14ac:dyDescent="0.3"/>
    <row r="27430" s="160" customFormat="1" x14ac:dyDescent="0.3"/>
    <row r="27431" s="160" customFormat="1" x14ac:dyDescent="0.3"/>
    <row r="27432" s="160" customFormat="1" x14ac:dyDescent="0.3"/>
    <row r="27433" s="160" customFormat="1" x14ac:dyDescent="0.3"/>
    <row r="27434" s="160" customFormat="1" x14ac:dyDescent="0.3"/>
    <row r="27435" s="160" customFormat="1" x14ac:dyDescent="0.3"/>
    <row r="27436" s="160" customFormat="1" x14ac:dyDescent="0.3"/>
    <row r="27437" s="160" customFormat="1" x14ac:dyDescent="0.3"/>
    <row r="27438" s="160" customFormat="1" x14ac:dyDescent="0.3"/>
    <row r="27439" s="160" customFormat="1" x14ac:dyDescent="0.3"/>
    <row r="27440" s="160" customFormat="1" x14ac:dyDescent="0.3"/>
    <row r="27441" s="160" customFormat="1" x14ac:dyDescent="0.3"/>
    <row r="27442" s="160" customFormat="1" x14ac:dyDescent="0.3"/>
    <row r="27443" s="160" customFormat="1" x14ac:dyDescent="0.3"/>
    <row r="27444" s="160" customFormat="1" x14ac:dyDescent="0.3"/>
    <row r="27445" s="160" customFormat="1" x14ac:dyDescent="0.3"/>
    <row r="27446" s="160" customFormat="1" x14ac:dyDescent="0.3"/>
    <row r="27447" s="160" customFormat="1" x14ac:dyDescent="0.3"/>
    <row r="27448" s="160" customFormat="1" x14ac:dyDescent="0.3"/>
    <row r="27449" s="160" customFormat="1" x14ac:dyDescent="0.3"/>
    <row r="27450" s="160" customFormat="1" x14ac:dyDescent="0.3"/>
    <row r="27451" s="160" customFormat="1" x14ac:dyDescent="0.3"/>
    <row r="27452" s="160" customFormat="1" x14ac:dyDescent="0.3"/>
    <row r="27453" s="160" customFormat="1" x14ac:dyDescent="0.3"/>
    <row r="27454" s="160" customFormat="1" x14ac:dyDescent="0.3"/>
    <row r="27455" s="160" customFormat="1" x14ac:dyDescent="0.3"/>
    <row r="27456" s="160" customFormat="1" x14ac:dyDescent="0.3"/>
    <row r="27457" s="160" customFormat="1" x14ac:dyDescent="0.3"/>
    <row r="27458" s="160" customFormat="1" x14ac:dyDescent="0.3"/>
    <row r="27459" s="160" customFormat="1" x14ac:dyDescent="0.3"/>
    <row r="27460" s="160" customFormat="1" x14ac:dyDescent="0.3"/>
    <row r="27461" s="160" customFormat="1" x14ac:dyDescent="0.3"/>
    <row r="27462" s="160" customFormat="1" x14ac:dyDescent="0.3"/>
    <row r="27463" s="160" customFormat="1" x14ac:dyDescent="0.3"/>
    <row r="27464" s="160" customFormat="1" x14ac:dyDescent="0.3"/>
    <row r="27465" s="160" customFormat="1" x14ac:dyDescent="0.3"/>
    <row r="27466" s="160" customFormat="1" x14ac:dyDescent="0.3"/>
    <row r="27467" s="160" customFormat="1" x14ac:dyDescent="0.3"/>
    <row r="27468" s="160" customFormat="1" x14ac:dyDescent="0.3"/>
    <row r="27469" s="160" customFormat="1" x14ac:dyDescent="0.3"/>
    <row r="27470" s="160" customFormat="1" x14ac:dyDescent="0.3"/>
    <row r="27471" s="160" customFormat="1" x14ac:dyDescent="0.3"/>
    <row r="27472" s="160" customFormat="1" x14ac:dyDescent="0.3"/>
    <row r="27473" s="160" customFormat="1" x14ac:dyDescent="0.3"/>
    <row r="27474" s="160" customFormat="1" x14ac:dyDescent="0.3"/>
    <row r="27475" s="160" customFormat="1" x14ac:dyDescent="0.3"/>
    <row r="27476" s="160" customFormat="1" x14ac:dyDescent="0.3"/>
    <row r="27477" s="160" customFormat="1" x14ac:dyDescent="0.3"/>
    <row r="27478" s="160" customFormat="1" x14ac:dyDescent="0.3"/>
    <row r="27479" s="160" customFormat="1" x14ac:dyDescent="0.3"/>
    <row r="27480" s="160" customFormat="1" x14ac:dyDescent="0.3"/>
    <row r="27481" s="160" customFormat="1" x14ac:dyDescent="0.3"/>
    <row r="27482" s="160" customFormat="1" x14ac:dyDescent="0.3"/>
    <row r="27483" s="160" customFormat="1" x14ac:dyDescent="0.3"/>
    <row r="27484" s="160" customFormat="1" x14ac:dyDescent="0.3"/>
    <row r="27485" s="160" customFormat="1" x14ac:dyDescent="0.3"/>
    <row r="27486" s="160" customFormat="1" x14ac:dyDescent="0.3"/>
    <row r="27487" s="160" customFormat="1" x14ac:dyDescent="0.3"/>
    <row r="27488" s="160" customFormat="1" x14ac:dyDescent="0.3"/>
    <row r="27489" s="160" customFormat="1" x14ac:dyDescent="0.3"/>
    <row r="27490" s="160" customFormat="1" x14ac:dyDescent="0.3"/>
    <row r="27491" s="160" customFormat="1" x14ac:dyDescent="0.3"/>
    <row r="27492" s="160" customFormat="1" x14ac:dyDescent="0.3"/>
    <row r="27493" s="160" customFormat="1" x14ac:dyDescent="0.3"/>
    <row r="27494" s="160" customFormat="1" x14ac:dyDescent="0.3"/>
    <row r="27495" s="160" customFormat="1" x14ac:dyDescent="0.3"/>
    <row r="27496" s="160" customFormat="1" x14ac:dyDescent="0.3"/>
    <row r="27497" s="160" customFormat="1" x14ac:dyDescent="0.3"/>
    <row r="27498" s="160" customFormat="1" x14ac:dyDescent="0.3"/>
    <row r="27499" s="160" customFormat="1" x14ac:dyDescent="0.3"/>
    <row r="27500" s="160" customFormat="1" x14ac:dyDescent="0.3"/>
    <row r="27501" s="160" customFormat="1" x14ac:dyDescent="0.3"/>
    <row r="27502" s="160" customFormat="1" x14ac:dyDescent="0.3"/>
    <row r="27503" s="160" customFormat="1" x14ac:dyDescent="0.3"/>
    <row r="27504" s="160" customFormat="1" x14ac:dyDescent="0.3"/>
    <row r="27505" s="160" customFormat="1" x14ac:dyDescent="0.3"/>
    <row r="27506" s="160" customFormat="1" x14ac:dyDescent="0.3"/>
    <row r="27507" s="160" customFormat="1" x14ac:dyDescent="0.3"/>
    <row r="27508" s="160" customFormat="1" x14ac:dyDescent="0.3"/>
    <row r="27509" s="160" customFormat="1" x14ac:dyDescent="0.3"/>
    <row r="27510" s="160" customFormat="1" x14ac:dyDescent="0.3"/>
    <row r="27511" s="160" customFormat="1" x14ac:dyDescent="0.3"/>
    <row r="27512" s="160" customFormat="1" x14ac:dyDescent="0.3"/>
    <row r="27513" s="160" customFormat="1" x14ac:dyDescent="0.3"/>
    <row r="27514" s="160" customFormat="1" x14ac:dyDescent="0.3"/>
    <row r="27515" s="160" customFormat="1" x14ac:dyDescent="0.3"/>
    <row r="27516" s="160" customFormat="1" x14ac:dyDescent="0.3"/>
    <row r="27517" s="160" customFormat="1" x14ac:dyDescent="0.3"/>
    <row r="27518" s="160" customFormat="1" x14ac:dyDescent="0.3"/>
    <row r="27519" s="160" customFormat="1" x14ac:dyDescent="0.3"/>
    <row r="27520" s="160" customFormat="1" x14ac:dyDescent="0.3"/>
    <row r="27521" s="160" customFormat="1" x14ac:dyDescent="0.3"/>
    <row r="27522" s="160" customFormat="1" x14ac:dyDescent="0.3"/>
    <row r="27523" s="160" customFormat="1" x14ac:dyDescent="0.3"/>
    <row r="27524" s="160" customFormat="1" x14ac:dyDescent="0.3"/>
    <row r="27525" s="160" customFormat="1" x14ac:dyDescent="0.3"/>
    <row r="27526" s="160" customFormat="1" x14ac:dyDescent="0.3"/>
    <row r="27527" s="160" customFormat="1" x14ac:dyDescent="0.3"/>
    <row r="27528" s="160" customFormat="1" x14ac:dyDescent="0.3"/>
    <row r="27529" s="160" customFormat="1" x14ac:dyDescent="0.3"/>
    <row r="27530" s="160" customFormat="1" x14ac:dyDescent="0.3"/>
    <row r="27531" s="160" customFormat="1" x14ac:dyDescent="0.3"/>
    <row r="27532" s="160" customFormat="1" x14ac:dyDescent="0.3"/>
    <row r="27533" s="160" customFormat="1" x14ac:dyDescent="0.3"/>
    <row r="27534" s="160" customFormat="1" x14ac:dyDescent="0.3"/>
    <row r="27535" s="160" customFormat="1" x14ac:dyDescent="0.3"/>
    <row r="27536" s="160" customFormat="1" x14ac:dyDescent="0.3"/>
    <row r="27537" s="160" customFormat="1" x14ac:dyDescent="0.3"/>
    <row r="27538" s="160" customFormat="1" x14ac:dyDescent="0.3"/>
    <row r="27539" s="160" customFormat="1" x14ac:dyDescent="0.3"/>
    <row r="27540" s="160" customFormat="1" x14ac:dyDescent="0.3"/>
    <row r="27541" s="160" customFormat="1" x14ac:dyDescent="0.3"/>
    <row r="27542" s="160" customFormat="1" x14ac:dyDescent="0.3"/>
    <row r="27543" s="160" customFormat="1" x14ac:dyDescent="0.3"/>
    <row r="27544" s="160" customFormat="1" x14ac:dyDescent="0.3"/>
    <row r="27545" s="160" customFormat="1" x14ac:dyDescent="0.3"/>
    <row r="27546" s="160" customFormat="1" x14ac:dyDescent="0.3"/>
    <row r="27547" s="160" customFormat="1" x14ac:dyDescent="0.3"/>
    <row r="27548" s="160" customFormat="1" x14ac:dyDescent="0.3"/>
    <row r="27549" s="160" customFormat="1" x14ac:dyDescent="0.3"/>
    <row r="27550" s="160" customFormat="1" x14ac:dyDescent="0.3"/>
    <row r="27551" s="160" customFormat="1" x14ac:dyDescent="0.3"/>
    <row r="27552" s="160" customFormat="1" x14ac:dyDescent="0.3"/>
    <row r="27553" s="160" customFormat="1" x14ac:dyDescent="0.3"/>
    <row r="27554" s="160" customFormat="1" x14ac:dyDescent="0.3"/>
    <row r="27555" s="160" customFormat="1" x14ac:dyDescent="0.3"/>
    <row r="27556" s="160" customFormat="1" x14ac:dyDescent="0.3"/>
    <row r="27557" s="160" customFormat="1" x14ac:dyDescent="0.3"/>
    <row r="27558" s="160" customFormat="1" x14ac:dyDescent="0.3"/>
    <row r="27559" s="160" customFormat="1" x14ac:dyDescent="0.3"/>
    <row r="27560" s="160" customFormat="1" x14ac:dyDescent="0.3"/>
    <row r="27561" s="160" customFormat="1" x14ac:dyDescent="0.3"/>
    <row r="27562" s="160" customFormat="1" x14ac:dyDescent="0.3"/>
    <row r="27563" s="160" customFormat="1" x14ac:dyDescent="0.3"/>
    <row r="27564" s="160" customFormat="1" x14ac:dyDescent="0.3"/>
    <row r="27565" s="160" customFormat="1" x14ac:dyDescent="0.3"/>
    <row r="27566" s="160" customFormat="1" x14ac:dyDescent="0.3"/>
    <row r="27567" s="160" customFormat="1" x14ac:dyDescent="0.3"/>
    <row r="27568" s="160" customFormat="1" x14ac:dyDescent="0.3"/>
    <row r="27569" s="160" customFormat="1" x14ac:dyDescent="0.3"/>
    <row r="27570" s="160" customFormat="1" x14ac:dyDescent="0.3"/>
    <row r="27571" s="160" customFormat="1" x14ac:dyDescent="0.3"/>
    <row r="27572" s="160" customFormat="1" x14ac:dyDescent="0.3"/>
    <row r="27573" s="160" customFormat="1" x14ac:dyDescent="0.3"/>
    <row r="27574" s="160" customFormat="1" x14ac:dyDescent="0.3"/>
    <row r="27575" s="160" customFormat="1" x14ac:dyDescent="0.3"/>
    <row r="27576" s="160" customFormat="1" x14ac:dyDescent="0.3"/>
    <row r="27577" s="160" customFormat="1" x14ac:dyDescent="0.3"/>
    <row r="27578" s="160" customFormat="1" x14ac:dyDescent="0.3"/>
    <row r="27579" s="160" customFormat="1" x14ac:dyDescent="0.3"/>
    <row r="27580" s="160" customFormat="1" x14ac:dyDescent="0.3"/>
    <row r="27581" s="160" customFormat="1" x14ac:dyDescent="0.3"/>
    <row r="27582" s="160" customFormat="1" x14ac:dyDescent="0.3"/>
    <row r="27583" s="160" customFormat="1" x14ac:dyDescent="0.3"/>
    <row r="27584" s="160" customFormat="1" x14ac:dyDescent="0.3"/>
    <row r="27585" s="160" customFormat="1" x14ac:dyDescent="0.3"/>
    <row r="27586" s="160" customFormat="1" x14ac:dyDescent="0.3"/>
    <row r="27587" s="160" customFormat="1" x14ac:dyDescent="0.3"/>
    <row r="27588" s="160" customFormat="1" x14ac:dyDescent="0.3"/>
    <row r="27589" s="160" customFormat="1" x14ac:dyDescent="0.3"/>
    <row r="27590" s="160" customFormat="1" x14ac:dyDescent="0.3"/>
    <row r="27591" s="160" customFormat="1" x14ac:dyDescent="0.3"/>
    <row r="27592" s="160" customFormat="1" x14ac:dyDescent="0.3"/>
    <row r="27593" s="160" customFormat="1" x14ac:dyDescent="0.3"/>
    <row r="27594" s="160" customFormat="1" x14ac:dyDescent="0.3"/>
    <row r="27595" s="160" customFormat="1" x14ac:dyDescent="0.3"/>
    <row r="27596" s="160" customFormat="1" x14ac:dyDescent="0.3"/>
    <row r="27597" s="160" customFormat="1" x14ac:dyDescent="0.3"/>
    <row r="27598" s="160" customFormat="1" x14ac:dyDescent="0.3"/>
    <row r="27599" s="160" customFormat="1" x14ac:dyDescent="0.3"/>
    <row r="27600" s="160" customFormat="1" x14ac:dyDescent="0.3"/>
    <row r="27601" s="160" customFormat="1" x14ac:dyDescent="0.3"/>
    <row r="27602" s="160" customFormat="1" x14ac:dyDescent="0.3"/>
    <row r="27603" s="160" customFormat="1" x14ac:dyDescent="0.3"/>
    <row r="27604" s="160" customFormat="1" x14ac:dyDescent="0.3"/>
    <row r="27605" s="160" customFormat="1" x14ac:dyDescent="0.3"/>
    <row r="27606" s="160" customFormat="1" x14ac:dyDescent="0.3"/>
    <row r="27607" s="160" customFormat="1" x14ac:dyDescent="0.3"/>
    <row r="27608" s="160" customFormat="1" x14ac:dyDescent="0.3"/>
    <row r="27609" s="160" customFormat="1" x14ac:dyDescent="0.3"/>
    <row r="27610" s="160" customFormat="1" x14ac:dyDescent="0.3"/>
    <row r="27611" s="160" customFormat="1" x14ac:dyDescent="0.3"/>
    <row r="27612" s="160" customFormat="1" x14ac:dyDescent="0.3"/>
    <row r="27613" s="160" customFormat="1" x14ac:dyDescent="0.3"/>
    <row r="27614" s="160" customFormat="1" x14ac:dyDescent="0.3"/>
    <row r="27615" s="160" customFormat="1" x14ac:dyDescent="0.3"/>
    <row r="27616" s="160" customFormat="1" x14ac:dyDescent="0.3"/>
    <row r="27617" s="160" customFormat="1" x14ac:dyDescent="0.3"/>
    <row r="27618" s="160" customFormat="1" x14ac:dyDescent="0.3"/>
    <row r="27619" s="160" customFormat="1" x14ac:dyDescent="0.3"/>
    <row r="27620" s="160" customFormat="1" x14ac:dyDescent="0.3"/>
    <row r="27621" s="160" customFormat="1" x14ac:dyDescent="0.3"/>
    <row r="27622" s="160" customFormat="1" x14ac:dyDescent="0.3"/>
    <row r="27623" s="160" customFormat="1" x14ac:dyDescent="0.3"/>
    <row r="27624" s="160" customFormat="1" x14ac:dyDescent="0.3"/>
    <row r="27625" s="160" customFormat="1" x14ac:dyDescent="0.3"/>
    <row r="27626" s="160" customFormat="1" x14ac:dyDescent="0.3"/>
    <row r="27627" s="160" customFormat="1" x14ac:dyDescent="0.3"/>
    <row r="27628" s="160" customFormat="1" x14ac:dyDescent="0.3"/>
    <row r="27629" s="160" customFormat="1" x14ac:dyDescent="0.3"/>
    <row r="27630" s="160" customFormat="1" x14ac:dyDescent="0.3"/>
    <row r="27631" s="160" customFormat="1" x14ac:dyDescent="0.3"/>
    <row r="27632" s="160" customFormat="1" x14ac:dyDescent="0.3"/>
    <row r="27633" s="160" customFormat="1" x14ac:dyDescent="0.3"/>
    <row r="27634" s="160" customFormat="1" x14ac:dyDescent="0.3"/>
    <row r="27635" s="160" customFormat="1" x14ac:dyDescent="0.3"/>
    <row r="27636" s="160" customFormat="1" x14ac:dyDescent="0.3"/>
    <row r="27637" s="160" customFormat="1" x14ac:dyDescent="0.3"/>
    <row r="27638" s="160" customFormat="1" x14ac:dyDescent="0.3"/>
    <row r="27639" s="160" customFormat="1" x14ac:dyDescent="0.3"/>
    <row r="27640" s="160" customFormat="1" x14ac:dyDescent="0.3"/>
    <row r="27641" s="160" customFormat="1" x14ac:dyDescent="0.3"/>
    <row r="27642" s="160" customFormat="1" x14ac:dyDescent="0.3"/>
    <row r="27643" s="160" customFormat="1" x14ac:dyDescent="0.3"/>
    <row r="27644" s="160" customFormat="1" x14ac:dyDescent="0.3"/>
    <row r="27645" s="160" customFormat="1" x14ac:dyDescent="0.3"/>
    <row r="27646" s="160" customFormat="1" x14ac:dyDescent="0.3"/>
    <row r="27647" s="160" customFormat="1" x14ac:dyDescent="0.3"/>
    <row r="27648" s="160" customFormat="1" x14ac:dyDescent="0.3"/>
    <row r="27649" s="160" customFormat="1" x14ac:dyDescent="0.3"/>
    <row r="27650" s="160" customFormat="1" x14ac:dyDescent="0.3"/>
    <row r="27651" s="160" customFormat="1" x14ac:dyDescent="0.3"/>
    <row r="27652" s="160" customFormat="1" x14ac:dyDescent="0.3"/>
    <row r="27653" s="160" customFormat="1" x14ac:dyDescent="0.3"/>
    <row r="27654" s="160" customFormat="1" x14ac:dyDescent="0.3"/>
    <row r="27655" s="160" customFormat="1" x14ac:dyDescent="0.3"/>
    <row r="27656" s="160" customFormat="1" x14ac:dyDescent="0.3"/>
    <row r="27657" s="160" customFormat="1" x14ac:dyDescent="0.3"/>
    <row r="27658" s="160" customFormat="1" x14ac:dyDescent="0.3"/>
    <row r="27659" s="160" customFormat="1" x14ac:dyDescent="0.3"/>
    <row r="27660" s="160" customFormat="1" x14ac:dyDescent="0.3"/>
    <row r="27661" s="160" customFormat="1" x14ac:dyDescent="0.3"/>
    <row r="27662" s="160" customFormat="1" x14ac:dyDescent="0.3"/>
    <row r="27663" s="160" customFormat="1" x14ac:dyDescent="0.3"/>
    <row r="27664" s="160" customFormat="1" x14ac:dyDescent="0.3"/>
    <row r="27665" s="160" customFormat="1" x14ac:dyDescent="0.3"/>
    <row r="27666" s="160" customFormat="1" x14ac:dyDescent="0.3"/>
    <row r="27667" s="160" customFormat="1" x14ac:dyDescent="0.3"/>
    <row r="27668" s="160" customFormat="1" x14ac:dyDescent="0.3"/>
    <row r="27669" s="160" customFormat="1" x14ac:dyDescent="0.3"/>
    <row r="27670" s="160" customFormat="1" x14ac:dyDescent="0.3"/>
    <row r="27671" s="160" customFormat="1" x14ac:dyDescent="0.3"/>
    <row r="27672" s="160" customFormat="1" x14ac:dyDescent="0.3"/>
    <row r="27673" s="160" customFormat="1" x14ac:dyDescent="0.3"/>
    <row r="27674" s="160" customFormat="1" x14ac:dyDescent="0.3"/>
    <row r="27675" s="160" customFormat="1" x14ac:dyDescent="0.3"/>
    <row r="27676" s="160" customFormat="1" x14ac:dyDescent="0.3"/>
    <row r="27677" s="160" customFormat="1" x14ac:dyDescent="0.3"/>
    <row r="27678" s="160" customFormat="1" x14ac:dyDescent="0.3"/>
    <row r="27679" s="160" customFormat="1" x14ac:dyDescent="0.3"/>
    <row r="27680" s="160" customFormat="1" x14ac:dyDescent="0.3"/>
    <row r="27681" s="160" customFormat="1" x14ac:dyDescent="0.3"/>
    <row r="27682" s="160" customFormat="1" x14ac:dyDescent="0.3"/>
    <row r="27683" s="160" customFormat="1" x14ac:dyDescent="0.3"/>
    <row r="27684" s="160" customFormat="1" x14ac:dyDescent="0.3"/>
    <row r="27685" s="160" customFormat="1" x14ac:dyDescent="0.3"/>
    <row r="27686" s="160" customFormat="1" x14ac:dyDescent="0.3"/>
    <row r="27687" s="160" customFormat="1" x14ac:dyDescent="0.3"/>
    <row r="27688" s="160" customFormat="1" x14ac:dyDescent="0.3"/>
    <row r="27689" s="160" customFormat="1" x14ac:dyDescent="0.3"/>
    <row r="27690" s="160" customFormat="1" x14ac:dyDescent="0.3"/>
    <row r="27691" s="160" customFormat="1" x14ac:dyDescent="0.3"/>
    <row r="27692" s="160" customFormat="1" x14ac:dyDescent="0.3"/>
    <row r="27693" s="160" customFormat="1" x14ac:dyDescent="0.3"/>
    <row r="27694" s="160" customFormat="1" x14ac:dyDescent="0.3"/>
    <row r="27695" s="160" customFormat="1" x14ac:dyDescent="0.3"/>
    <row r="27696" s="160" customFormat="1" x14ac:dyDescent="0.3"/>
    <row r="27697" s="160" customFormat="1" x14ac:dyDescent="0.3"/>
    <row r="27698" s="160" customFormat="1" x14ac:dyDescent="0.3"/>
    <row r="27699" s="160" customFormat="1" x14ac:dyDescent="0.3"/>
    <row r="27700" s="160" customFormat="1" x14ac:dyDescent="0.3"/>
    <row r="27701" s="160" customFormat="1" x14ac:dyDescent="0.3"/>
    <row r="27702" s="160" customFormat="1" x14ac:dyDescent="0.3"/>
    <row r="27703" s="160" customFormat="1" x14ac:dyDescent="0.3"/>
    <row r="27704" s="160" customFormat="1" x14ac:dyDescent="0.3"/>
    <row r="27705" s="160" customFormat="1" x14ac:dyDescent="0.3"/>
    <row r="27706" s="160" customFormat="1" x14ac:dyDescent="0.3"/>
    <row r="27707" s="160" customFormat="1" x14ac:dyDescent="0.3"/>
    <row r="27708" s="160" customFormat="1" x14ac:dyDescent="0.3"/>
    <row r="27709" s="160" customFormat="1" x14ac:dyDescent="0.3"/>
    <row r="27710" s="160" customFormat="1" x14ac:dyDescent="0.3"/>
    <row r="27711" s="160" customFormat="1" x14ac:dyDescent="0.3"/>
    <row r="27712" s="160" customFormat="1" x14ac:dyDescent="0.3"/>
    <row r="27713" s="160" customFormat="1" x14ac:dyDescent="0.3"/>
    <row r="27714" s="160" customFormat="1" x14ac:dyDescent="0.3"/>
    <row r="27715" s="160" customFormat="1" x14ac:dyDescent="0.3"/>
    <row r="27716" s="160" customFormat="1" x14ac:dyDescent="0.3"/>
    <row r="27717" s="160" customFormat="1" x14ac:dyDescent="0.3"/>
    <row r="27718" s="160" customFormat="1" x14ac:dyDescent="0.3"/>
    <row r="27719" s="160" customFormat="1" x14ac:dyDescent="0.3"/>
    <row r="27720" s="160" customFormat="1" x14ac:dyDescent="0.3"/>
    <row r="27721" s="160" customFormat="1" x14ac:dyDescent="0.3"/>
    <row r="27722" s="160" customFormat="1" x14ac:dyDescent="0.3"/>
    <row r="27723" s="160" customFormat="1" x14ac:dyDescent="0.3"/>
    <row r="27724" s="160" customFormat="1" x14ac:dyDescent="0.3"/>
    <row r="27725" s="160" customFormat="1" x14ac:dyDescent="0.3"/>
    <row r="27726" s="160" customFormat="1" x14ac:dyDescent="0.3"/>
    <row r="27727" s="160" customFormat="1" x14ac:dyDescent="0.3"/>
    <row r="27728" s="160" customFormat="1" x14ac:dyDescent="0.3"/>
    <row r="27729" s="160" customFormat="1" x14ac:dyDescent="0.3"/>
    <row r="27730" s="160" customFormat="1" x14ac:dyDescent="0.3"/>
    <row r="27731" s="160" customFormat="1" x14ac:dyDescent="0.3"/>
    <row r="27732" s="160" customFormat="1" x14ac:dyDescent="0.3"/>
    <row r="27733" s="160" customFormat="1" x14ac:dyDescent="0.3"/>
    <row r="27734" s="160" customFormat="1" x14ac:dyDescent="0.3"/>
    <row r="27735" s="160" customFormat="1" x14ac:dyDescent="0.3"/>
    <row r="27736" s="160" customFormat="1" x14ac:dyDescent="0.3"/>
    <row r="27737" s="160" customFormat="1" x14ac:dyDescent="0.3"/>
    <row r="27738" s="160" customFormat="1" x14ac:dyDescent="0.3"/>
    <row r="27739" s="160" customFormat="1" x14ac:dyDescent="0.3"/>
    <row r="27740" s="160" customFormat="1" x14ac:dyDescent="0.3"/>
    <row r="27741" s="160" customFormat="1" x14ac:dyDescent="0.3"/>
    <row r="27742" s="160" customFormat="1" x14ac:dyDescent="0.3"/>
    <row r="27743" s="160" customFormat="1" x14ac:dyDescent="0.3"/>
    <row r="27744" s="160" customFormat="1" x14ac:dyDescent="0.3"/>
    <row r="27745" s="160" customFormat="1" x14ac:dyDescent="0.3"/>
    <row r="27746" s="160" customFormat="1" x14ac:dyDescent="0.3"/>
    <row r="27747" s="160" customFormat="1" x14ac:dyDescent="0.3"/>
    <row r="27748" s="160" customFormat="1" x14ac:dyDescent="0.3"/>
    <row r="27749" s="160" customFormat="1" x14ac:dyDescent="0.3"/>
    <row r="27750" s="160" customFormat="1" x14ac:dyDescent="0.3"/>
    <row r="27751" s="160" customFormat="1" x14ac:dyDescent="0.3"/>
    <row r="27752" s="160" customFormat="1" x14ac:dyDescent="0.3"/>
    <row r="27753" s="160" customFormat="1" x14ac:dyDescent="0.3"/>
    <row r="27754" s="160" customFormat="1" x14ac:dyDescent="0.3"/>
    <row r="27755" s="160" customFormat="1" x14ac:dyDescent="0.3"/>
    <row r="27756" s="160" customFormat="1" x14ac:dyDescent="0.3"/>
    <row r="27757" s="160" customFormat="1" x14ac:dyDescent="0.3"/>
    <row r="27758" s="160" customFormat="1" x14ac:dyDescent="0.3"/>
    <row r="27759" s="160" customFormat="1" x14ac:dyDescent="0.3"/>
    <row r="27760" s="160" customFormat="1" x14ac:dyDescent="0.3"/>
    <row r="27761" s="160" customFormat="1" x14ac:dyDescent="0.3"/>
    <row r="27762" s="160" customFormat="1" x14ac:dyDescent="0.3"/>
    <row r="27763" s="160" customFormat="1" x14ac:dyDescent="0.3"/>
    <row r="27764" s="160" customFormat="1" x14ac:dyDescent="0.3"/>
    <row r="27765" s="160" customFormat="1" x14ac:dyDescent="0.3"/>
    <row r="27766" s="160" customFormat="1" x14ac:dyDescent="0.3"/>
    <row r="27767" s="160" customFormat="1" x14ac:dyDescent="0.3"/>
    <row r="27768" s="160" customFormat="1" x14ac:dyDescent="0.3"/>
    <row r="27769" s="160" customFormat="1" x14ac:dyDescent="0.3"/>
    <row r="27770" s="160" customFormat="1" x14ac:dyDescent="0.3"/>
    <row r="27771" s="160" customFormat="1" x14ac:dyDescent="0.3"/>
    <row r="27772" s="160" customFormat="1" x14ac:dyDescent="0.3"/>
    <row r="27773" s="160" customFormat="1" x14ac:dyDescent="0.3"/>
    <row r="27774" s="160" customFormat="1" x14ac:dyDescent="0.3"/>
    <row r="27775" s="160" customFormat="1" x14ac:dyDescent="0.3"/>
    <row r="27776" s="160" customFormat="1" x14ac:dyDescent="0.3"/>
    <row r="27777" s="160" customFormat="1" x14ac:dyDescent="0.3"/>
    <row r="27778" s="160" customFormat="1" x14ac:dyDescent="0.3"/>
    <row r="27779" s="160" customFormat="1" x14ac:dyDescent="0.3"/>
    <row r="27780" s="160" customFormat="1" x14ac:dyDescent="0.3"/>
    <row r="27781" s="160" customFormat="1" x14ac:dyDescent="0.3"/>
    <row r="27782" s="160" customFormat="1" x14ac:dyDescent="0.3"/>
    <row r="27783" s="160" customFormat="1" x14ac:dyDescent="0.3"/>
    <row r="27784" s="160" customFormat="1" x14ac:dyDescent="0.3"/>
    <row r="27785" s="160" customFormat="1" x14ac:dyDescent="0.3"/>
    <row r="27786" s="160" customFormat="1" x14ac:dyDescent="0.3"/>
    <row r="27787" s="160" customFormat="1" x14ac:dyDescent="0.3"/>
    <row r="27788" s="160" customFormat="1" x14ac:dyDescent="0.3"/>
    <row r="27789" s="160" customFormat="1" x14ac:dyDescent="0.3"/>
    <row r="27790" s="160" customFormat="1" x14ac:dyDescent="0.3"/>
    <row r="27791" s="160" customFormat="1" x14ac:dyDescent="0.3"/>
    <row r="27792" s="160" customFormat="1" x14ac:dyDescent="0.3"/>
    <row r="27793" s="160" customFormat="1" x14ac:dyDescent="0.3"/>
    <row r="27794" s="160" customFormat="1" x14ac:dyDescent="0.3"/>
    <row r="27795" s="160" customFormat="1" x14ac:dyDescent="0.3"/>
    <row r="27796" s="160" customFormat="1" x14ac:dyDescent="0.3"/>
    <row r="27797" s="160" customFormat="1" x14ac:dyDescent="0.3"/>
    <row r="27798" s="160" customFormat="1" x14ac:dyDescent="0.3"/>
    <row r="27799" s="160" customFormat="1" x14ac:dyDescent="0.3"/>
    <row r="27800" s="160" customFormat="1" x14ac:dyDescent="0.3"/>
    <row r="27801" s="160" customFormat="1" x14ac:dyDescent="0.3"/>
    <row r="27802" s="160" customFormat="1" x14ac:dyDescent="0.3"/>
    <row r="27803" s="160" customFormat="1" x14ac:dyDescent="0.3"/>
    <row r="27804" s="160" customFormat="1" x14ac:dyDescent="0.3"/>
    <row r="27805" s="160" customFormat="1" x14ac:dyDescent="0.3"/>
    <row r="27806" s="160" customFormat="1" x14ac:dyDescent="0.3"/>
    <row r="27807" s="160" customFormat="1" x14ac:dyDescent="0.3"/>
    <row r="27808" s="160" customFormat="1" x14ac:dyDescent="0.3"/>
    <row r="27809" s="160" customFormat="1" x14ac:dyDescent="0.3"/>
    <row r="27810" s="160" customFormat="1" x14ac:dyDescent="0.3"/>
    <row r="27811" s="160" customFormat="1" x14ac:dyDescent="0.3"/>
    <row r="27812" s="160" customFormat="1" x14ac:dyDescent="0.3"/>
    <row r="27813" s="160" customFormat="1" x14ac:dyDescent="0.3"/>
    <row r="27814" s="160" customFormat="1" x14ac:dyDescent="0.3"/>
    <row r="27815" s="160" customFormat="1" x14ac:dyDescent="0.3"/>
    <row r="27816" s="160" customFormat="1" x14ac:dyDescent="0.3"/>
    <row r="27817" s="160" customFormat="1" x14ac:dyDescent="0.3"/>
    <row r="27818" s="160" customFormat="1" x14ac:dyDescent="0.3"/>
    <row r="27819" s="160" customFormat="1" x14ac:dyDescent="0.3"/>
    <row r="27820" s="160" customFormat="1" x14ac:dyDescent="0.3"/>
    <row r="27821" s="160" customFormat="1" x14ac:dyDescent="0.3"/>
    <row r="27822" s="160" customFormat="1" x14ac:dyDescent="0.3"/>
    <row r="27823" s="160" customFormat="1" x14ac:dyDescent="0.3"/>
    <row r="27824" s="160" customFormat="1" x14ac:dyDescent="0.3"/>
    <row r="27825" s="160" customFormat="1" x14ac:dyDescent="0.3"/>
    <row r="27826" s="160" customFormat="1" x14ac:dyDescent="0.3"/>
    <row r="27827" s="160" customFormat="1" x14ac:dyDescent="0.3"/>
    <row r="27828" s="160" customFormat="1" x14ac:dyDescent="0.3"/>
    <row r="27829" s="160" customFormat="1" x14ac:dyDescent="0.3"/>
    <row r="27830" s="160" customFormat="1" x14ac:dyDescent="0.3"/>
    <row r="27831" s="160" customFormat="1" x14ac:dyDescent="0.3"/>
    <row r="27832" s="160" customFormat="1" x14ac:dyDescent="0.3"/>
    <row r="27833" s="160" customFormat="1" x14ac:dyDescent="0.3"/>
    <row r="27834" s="160" customFormat="1" x14ac:dyDescent="0.3"/>
    <row r="27835" s="160" customFormat="1" x14ac:dyDescent="0.3"/>
    <row r="27836" s="160" customFormat="1" x14ac:dyDescent="0.3"/>
    <row r="27837" s="160" customFormat="1" x14ac:dyDescent="0.3"/>
    <row r="27838" s="160" customFormat="1" x14ac:dyDescent="0.3"/>
    <row r="27839" s="160" customFormat="1" x14ac:dyDescent="0.3"/>
    <row r="27840" s="160" customFormat="1" x14ac:dyDescent="0.3"/>
    <row r="27841" s="160" customFormat="1" x14ac:dyDescent="0.3"/>
    <row r="27842" s="160" customFormat="1" x14ac:dyDescent="0.3"/>
    <row r="27843" s="160" customFormat="1" x14ac:dyDescent="0.3"/>
    <row r="27844" s="160" customFormat="1" x14ac:dyDescent="0.3"/>
    <row r="27845" s="160" customFormat="1" x14ac:dyDescent="0.3"/>
    <row r="27846" s="160" customFormat="1" x14ac:dyDescent="0.3"/>
    <row r="27847" s="160" customFormat="1" x14ac:dyDescent="0.3"/>
    <row r="27848" s="160" customFormat="1" x14ac:dyDescent="0.3"/>
    <row r="27849" s="160" customFormat="1" x14ac:dyDescent="0.3"/>
    <row r="27850" s="160" customFormat="1" x14ac:dyDescent="0.3"/>
    <row r="27851" s="160" customFormat="1" x14ac:dyDescent="0.3"/>
    <row r="27852" s="160" customFormat="1" x14ac:dyDescent="0.3"/>
    <row r="27853" s="160" customFormat="1" x14ac:dyDescent="0.3"/>
    <row r="27854" s="160" customFormat="1" x14ac:dyDescent="0.3"/>
    <row r="27855" s="160" customFormat="1" x14ac:dyDescent="0.3"/>
    <row r="27856" s="160" customFormat="1" x14ac:dyDescent="0.3"/>
    <row r="27857" s="160" customFormat="1" x14ac:dyDescent="0.3"/>
    <row r="27858" s="160" customFormat="1" x14ac:dyDescent="0.3"/>
    <row r="27859" s="160" customFormat="1" x14ac:dyDescent="0.3"/>
    <row r="27860" s="160" customFormat="1" x14ac:dyDescent="0.3"/>
    <row r="27861" s="160" customFormat="1" x14ac:dyDescent="0.3"/>
    <row r="27862" s="160" customFormat="1" x14ac:dyDescent="0.3"/>
    <row r="27863" s="160" customFormat="1" x14ac:dyDescent="0.3"/>
    <row r="27864" s="160" customFormat="1" x14ac:dyDescent="0.3"/>
    <row r="27865" s="160" customFormat="1" x14ac:dyDescent="0.3"/>
    <row r="27866" s="160" customFormat="1" x14ac:dyDescent="0.3"/>
    <row r="27867" s="160" customFormat="1" x14ac:dyDescent="0.3"/>
    <row r="27868" s="160" customFormat="1" x14ac:dyDescent="0.3"/>
    <row r="27869" s="160" customFormat="1" x14ac:dyDescent="0.3"/>
    <row r="27870" s="160" customFormat="1" x14ac:dyDescent="0.3"/>
    <row r="27871" s="160" customFormat="1" x14ac:dyDescent="0.3"/>
    <row r="27872" s="160" customFormat="1" x14ac:dyDescent="0.3"/>
    <row r="27873" s="160" customFormat="1" x14ac:dyDescent="0.3"/>
    <row r="27874" s="160" customFormat="1" x14ac:dyDescent="0.3"/>
    <row r="27875" s="160" customFormat="1" x14ac:dyDescent="0.3"/>
    <row r="27876" s="160" customFormat="1" x14ac:dyDescent="0.3"/>
    <row r="27877" s="160" customFormat="1" x14ac:dyDescent="0.3"/>
    <row r="27878" s="160" customFormat="1" x14ac:dyDescent="0.3"/>
    <row r="27879" s="160" customFormat="1" x14ac:dyDescent="0.3"/>
    <row r="27880" s="160" customFormat="1" x14ac:dyDescent="0.3"/>
    <row r="27881" s="160" customFormat="1" x14ac:dyDescent="0.3"/>
    <row r="27882" s="160" customFormat="1" x14ac:dyDescent="0.3"/>
    <row r="27883" s="160" customFormat="1" x14ac:dyDescent="0.3"/>
    <row r="27884" s="160" customFormat="1" x14ac:dyDescent="0.3"/>
    <row r="27885" s="160" customFormat="1" x14ac:dyDescent="0.3"/>
    <row r="27886" s="160" customFormat="1" x14ac:dyDescent="0.3"/>
    <row r="27887" s="160" customFormat="1" x14ac:dyDescent="0.3"/>
    <row r="27888" s="160" customFormat="1" x14ac:dyDescent="0.3"/>
    <row r="27889" s="160" customFormat="1" x14ac:dyDescent="0.3"/>
    <row r="27890" s="160" customFormat="1" x14ac:dyDescent="0.3"/>
    <row r="27891" s="160" customFormat="1" x14ac:dyDescent="0.3"/>
    <row r="27892" s="160" customFormat="1" x14ac:dyDescent="0.3"/>
    <row r="27893" s="160" customFormat="1" x14ac:dyDescent="0.3"/>
    <row r="27894" s="160" customFormat="1" x14ac:dyDescent="0.3"/>
    <row r="27895" s="160" customFormat="1" x14ac:dyDescent="0.3"/>
    <row r="27896" s="160" customFormat="1" x14ac:dyDescent="0.3"/>
    <row r="27897" s="160" customFormat="1" x14ac:dyDescent="0.3"/>
    <row r="27898" s="160" customFormat="1" x14ac:dyDescent="0.3"/>
    <row r="27899" s="160" customFormat="1" x14ac:dyDescent="0.3"/>
    <row r="27900" s="160" customFormat="1" x14ac:dyDescent="0.3"/>
    <row r="27901" s="160" customFormat="1" x14ac:dyDescent="0.3"/>
    <row r="27902" s="160" customFormat="1" x14ac:dyDescent="0.3"/>
    <row r="27903" s="160" customFormat="1" x14ac:dyDescent="0.3"/>
    <row r="27904" s="160" customFormat="1" x14ac:dyDescent="0.3"/>
    <row r="27905" s="160" customFormat="1" x14ac:dyDescent="0.3"/>
    <row r="27906" s="160" customFormat="1" x14ac:dyDescent="0.3"/>
    <row r="27907" s="160" customFormat="1" x14ac:dyDescent="0.3"/>
    <row r="27908" s="160" customFormat="1" x14ac:dyDescent="0.3"/>
    <row r="27909" s="160" customFormat="1" x14ac:dyDescent="0.3"/>
    <row r="27910" s="160" customFormat="1" x14ac:dyDescent="0.3"/>
    <row r="27911" s="160" customFormat="1" x14ac:dyDescent="0.3"/>
    <row r="27912" s="160" customFormat="1" x14ac:dyDescent="0.3"/>
    <row r="27913" s="160" customFormat="1" x14ac:dyDescent="0.3"/>
    <row r="27914" s="160" customFormat="1" x14ac:dyDescent="0.3"/>
    <row r="27915" s="160" customFormat="1" x14ac:dyDescent="0.3"/>
    <row r="27916" s="160" customFormat="1" x14ac:dyDescent="0.3"/>
    <row r="27917" s="160" customFormat="1" x14ac:dyDescent="0.3"/>
    <row r="27918" s="160" customFormat="1" x14ac:dyDescent="0.3"/>
    <row r="27919" s="160" customFormat="1" x14ac:dyDescent="0.3"/>
    <row r="27920" s="160" customFormat="1" x14ac:dyDescent="0.3"/>
    <row r="27921" s="160" customFormat="1" x14ac:dyDescent="0.3"/>
    <row r="27922" s="160" customFormat="1" x14ac:dyDescent="0.3"/>
    <row r="27923" s="160" customFormat="1" x14ac:dyDescent="0.3"/>
    <row r="27924" s="160" customFormat="1" x14ac:dyDescent="0.3"/>
    <row r="27925" s="160" customFormat="1" x14ac:dyDescent="0.3"/>
    <row r="27926" s="160" customFormat="1" x14ac:dyDescent="0.3"/>
    <row r="27927" s="160" customFormat="1" x14ac:dyDescent="0.3"/>
    <row r="27928" s="160" customFormat="1" x14ac:dyDescent="0.3"/>
    <row r="27929" s="160" customFormat="1" x14ac:dyDescent="0.3"/>
    <row r="27930" s="160" customFormat="1" x14ac:dyDescent="0.3"/>
    <row r="27931" s="160" customFormat="1" x14ac:dyDescent="0.3"/>
    <row r="27932" s="160" customFormat="1" x14ac:dyDescent="0.3"/>
    <row r="27933" s="160" customFormat="1" x14ac:dyDescent="0.3"/>
    <row r="27934" s="160" customFormat="1" x14ac:dyDescent="0.3"/>
    <row r="27935" s="160" customFormat="1" x14ac:dyDescent="0.3"/>
    <row r="27936" s="160" customFormat="1" x14ac:dyDescent="0.3"/>
    <row r="27937" s="160" customFormat="1" x14ac:dyDescent="0.3"/>
    <row r="27938" s="160" customFormat="1" x14ac:dyDescent="0.3"/>
    <row r="27939" s="160" customFormat="1" x14ac:dyDescent="0.3"/>
    <row r="27940" s="160" customFormat="1" x14ac:dyDescent="0.3"/>
    <row r="27941" s="160" customFormat="1" x14ac:dyDescent="0.3"/>
    <row r="27942" s="160" customFormat="1" x14ac:dyDescent="0.3"/>
    <row r="27943" s="160" customFormat="1" x14ac:dyDescent="0.3"/>
    <row r="27944" s="160" customFormat="1" x14ac:dyDescent="0.3"/>
    <row r="27945" s="160" customFormat="1" x14ac:dyDescent="0.3"/>
    <row r="27946" s="160" customFormat="1" x14ac:dyDescent="0.3"/>
    <row r="27947" s="160" customFormat="1" x14ac:dyDescent="0.3"/>
    <row r="27948" s="160" customFormat="1" x14ac:dyDescent="0.3"/>
    <row r="27949" s="160" customFormat="1" x14ac:dyDescent="0.3"/>
    <row r="27950" s="160" customFormat="1" x14ac:dyDescent="0.3"/>
    <row r="27951" s="160" customFormat="1" x14ac:dyDescent="0.3"/>
    <row r="27952" s="160" customFormat="1" x14ac:dyDescent="0.3"/>
    <row r="27953" s="160" customFormat="1" x14ac:dyDescent="0.3"/>
    <row r="27954" s="160" customFormat="1" x14ac:dyDescent="0.3"/>
    <row r="27955" s="160" customFormat="1" x14ac:dyDescent="0.3"/>
    <row r="27956" s="160" customFormat="1" x14ac:dyDescent="0.3"/>
    <row r="27957" s="160" customFormat="1" x14ac:dyDescent="0.3"/>
    <row r="27958" s="160" customFormat="1" x14ac:dyDescent="0.3"/>
    <row r="27959" s="160" customFormat="1" x14ac:dyDescent="0.3"/>
    <row r="27960" s="160" customFormat="1" x14ac:dyDescent="0.3"/>
    <row r="27961" s="160" customFormat="1" x14ac:dyDescent="0.3"/>
    <row r="27962" s="160" customFormat="1" x14ac:dyDescent="0.3"/>
    <row r="27963" s="160" customFormat="1" x14ac:dyDescent="0.3"/>
    <row r="27964" s="160" customFormat="1" x14ac:dyDescent="0.3"/>
    <row r="27965" s="160" customFormat="1" x14ac:dyDescent="0.3"/>
    <row r="27966" s="160" customFormat="1" x14ac:dyDescent="0.3"/>
    <row r="27967" s="160" customFormat="1" x14ac:dyDescent="0.3"/>
    <row r="27968" s="160" customFormat="1" x14ac:dyDescent="0.3"/>
    <row r="27969" s="160" customFormat="1" x14ac:dyDescent="0.3"/>
    <row r="27970" s="160" customFormat="1" x14ac:dyDescent="0.3"/>
    <row r="27971" s="160" customFormat="1" x14ac:dyDescent="0.3"/>
    <row r="27972" s="160" customFormat="1" x14ac:dyDescent="0.3"/>
    <row r="27973" s="160" customFormat="1" x14ac:dyDescent="0.3"/>
    <row r="27974" s="160" customFormat="1" x14ac:dyDescent="0.3"/>
    <row r="27975" s="160" customFormat="1" x14ac:dyDescent="0.3"/>
    <row r="27976" s="160" customFormat="1" x14ac:dyDescent="0.3"/>
    <row r="27977" s="160" customFormat="1" x14ac:dyDescent="0.3"/>
    <row r="27978" s="160" customFormat="1" x14ac:dyDescent="0.3"/>
    <row r="27979" s="160" customFormat="1" x14ac:dyDescent="0.3"/>
    <row r="27980" s="160" customFormat="1" x14ac:dyDescent="0.3"/>
    <row r="27981" s="160" customFormat="1" x14ac:dyDescent="0.3"/>
    <row r="27982" s="160" customFormat="1" x14ac:dyDescent="0.3"/>
    <row r="27983" s="160" customFormat="1" x14ac:dyDescent="0.3"/>
    <row r="27984" s="160" customFormat="1" x14ac:dyDescent="0.3"/>
    <row r="27985" s="160" customFormat="1" x14ac:dyDescent="0.3"/>
    <row r="27986" s="160" customFormat="1" x14ac:dyDescent="0.3"/>
    <row r="27987" s="160" customFormat="1" x14ac:dyDescent="0.3"/>
    <row r="27988" s="160" customFormat="1" x14ac:dyDescent="0.3"/>
    <row r="27989" s="160" customFormat="1" x14ac:dyDescent="0.3"/>
    <row r="27990" s="160" customFormat="1" x14ac:dyDescent="0.3"/>
    <row r="27991" s="160" customFormat="1" x14ac:dyDescent="0.3"/>
    <row r="27992" s="160" customFormat="1" x14ac:dyDescent="0.3"/>
    <row r="27993" s="160" customFormat="1" x14ac:dyDescent="0.3"/>
    <row r="27994" s="160" customFormat="1" x14ac:dyDescent="0.3"/>
    <row r="27995" s="160" customFormat="1" x14ac:dyDescent="0.3"/>
    <row r="27996" s="160" customFormat="1" x14ac:dyDescent="0.3"/>
    <row r="27997" s="160" customFormat="1" x14ac:dyDescent="0.3"/>
    <row r="27998" s="160" customFormat="1" x14ac:dyDescent="0.3"/>
    <row r="27999" s="160" customFormat="1" x14ac:dyDescent="0.3"/>
    <row r="28000" s="160" customFormat="1" x14ac:dyDescent="0.3"/>
    <row r="28001" s="160" customFormat="1" x14ac:dyDescent="0.3"/>
    <row r="28002" s="160" customFormat="1" x14ac:dyDescent="0.3"/>
    <row r="28003" s="160" customFormat="1" x14ac:dyDescent="0.3"/>
    <row r="28004" s="160" customFormat="1" x14ac:dyDescent="0.3"/>
    <row r="28005" s="160" customFormat="1" x14ac:dyDescent="0.3"/>
    <row r="28006" s="160" customFormat="1" x14ac:dyDescent="0.3"/>
    <row r="28007" s="160" customFormat="1" x14ac:dyDescent="0.3"/>
    <row r="28008" s="160" customFormat="1" x14ac:dyDescent="0.3"/>
    <row r="28009" s="160" customFormat="1" x14ac:dyDescent="0.3"/>
    <row r="28010" s="160" customFormat="1" x14ac:dyDescent="0.3"/>
    <row r="28011" s="160" customFormat="1" x14ac:dyDescent="0.3"/>
    <row r="28012" s="160" customFormat="1" x14ac:dyDescent="0.3"/>
    <row r="28013" s="160" customFormat="1" x14ac:dyDescent="0.3"/>
    <row r="28014" s="160" customFormat="1" x14ac:dyDescent="0.3"/>
    <row r="28015" s="160" customFormat="1" x14ac:dyDescent="0.3"/>
    <row r="28016" s="160" customFormat="1" x14ac:dyDescent="0.3"/>
    <row r="28017" s="160" customFormat="1" x14ac:dyDescent="0.3"/>
    <row r="28018" s="160" customFormat="1" x14ac:dyDescent="0.3"/>
    <row r="28019" s="160" customFormat="1" x14ac:dyDescent="0.3"/>
    <row r="28020" s="160" customFormat="1" x14ac:dyDescent="0.3"/>
    <row r="28021" s="160" customFormat="1" x14ac:dyDescent="0.3"/>
    <row r="28022" s="160" customFormat="1" x14ac:dyDescent="0.3"/>
    <row r="28023" s="160" customFormat="1" x14ac:dyDescent="0.3"/>
    <row r="28024" s="160" customFormat="1" x14ac:dyDescent="0.3"/>
    <row r="28025" s="160" customFormat="1" x14ac:dyDescent="0.3"/>
    <row r="28026" s="160" customFormat="1" x14ac:dyDescent="0.3"/>
    <row r="28027" s="160" customFormat="1" x14ac:dyDescent="0.3"/>
    <row r="28028" s="160" customFormat="1" x14ac:dyDescent="0.3"/>
    <row r="28029" s="160" customFormat="1" x14ac:dyDescent="0.3"/>
    <row r="28030" s="160" customFormat="1" x14ac:dyDescent="0.3"/>
    <row r="28031" s="160" customFormat="1" x14ac:dyDescent="0.3"/>
    <row r="28032" s="160" customFormat="1" x14ac:dyDescent="0.3"/>
    <row r="28033" s="160" customFormat="1" x14ac:dyDescent="0.3"/>
    <row r="28034" s="160" customFormat="1" x14ac:dyDescent="0.3"/>
    <row r="28035" s="160" customFormat="1" x14ac:dyDescent="0.3"/>
    <row r="28036" s="160" customFormat="1" x14ac:dyDescent="0.3"/>
    <row r="28037" s="160" customFormat="1" x14ac:dyDescent="0.3"/>
    <row r="28038" s="160" customFormat="1" x14ac:dyDescent="0.3"/>
    <row r="28039" s="160" customFormat="1" x14ac:dyDescent="0.3"/>
    <row r="28040" s="160" customFormat="1" x14ac:dyDescent="0.3"/>
    <row r="28041" s="160" customFormat="1" x14ac:dyDescent="0.3"/>
    <row r="28042" s="160" customFormat="1" x14ac:dyDescent="0.3"/>
    <row r="28043" s="160" customFormat="1" x14ac:dyDescent="0.3"/>
    <row r="28044" s="160" customFormat="1" x14ac:dyDescent="0.3"/>
    <row r="28045" s="160" customFormat="1" x14ac:dyDescent="0.3"/>
    <row r="28046" s="160" customFormat="1" x14ac:dyDescent="0.3"/>
    <row r="28047" s="160" customFormat="1" x14ac:dyDescent="0.3"/>
    <row r="28048" s="160" customFormat="1" x14ac:dyDescent="0.3"/>
    <row r="28049" s="160" customFormat="1" x14ac:dyDescent="0.3"/>
    <row r="28050" s="160" customFormat="1" x14ac:dyDescent="0.3"/>
    <row r="28051" s="160" customFormat="1" x14ac:dyDescent="0.3"/>
    <row r="28052" s="160" customFormat="1" x14ac:dyDescent="0.3"/>
    <row r="28053" s="160" customFormat="1" x14ac:dyDescent="0.3"/>
    <row r="28054" s="160" customFormat="1" x14ac:dyDescent="0.3"/>
    <row r="28055" s="160" customFormat="1" x14ac:dyDescent="0.3"/>
    <row r="28056" s="160" customFormat="1" x14ac:dyDescent="0.3"/>
    <row r="28057" s="160" customFormat="1" x14ac:dyDescent="0.3"/>
    <row r="28058" s="160" customFormat="1" x14ac:dyDescent="0.3"/>
    <row r="28059" s="160" customFormat="1" x14ac:dyDescent="0.3"/>
    <row r="28060" s="160" customFormat="1" x14ac:dyDescent="0.3"/>
    <row r="28061" s="160" customFormat="1" x14ac:dyDescent="0.3"/>
    <row r="28062" s="160" customFormat="1" x14ac:dyDescent="0.3"/>
    <row r="28063" s="160" customFormat="1" x14ac:dyDescent="0.3"/>
    <row r="28064" s="160" customFormat="1" x14ac:dyDescent="0.3"/>
    <row r="28065" s="160" customFormat="1" x14ac:dyDescent="0.3"/>
    <row r="28066" s="160" customFormat="1" x14ac:dyDescent="0.3"/>
    <row r="28067" s="160" customFormat="1" x14ac:dyDescent="0.3"/>
    <row r="28068" s="160" customFormat="1" x14ac:dyDescent="0.3"/>
    <row r="28069" s="160" customFormat="1" x14ac:dyDescent="0.3"/>
    <row r="28070" s="160" customFormat="1" x14ac:dyDescent="0.3"/>
    <row r="28071" s="160" customFormat="1" x14ac:dyDescent="0.3"/>
    <row r="28072" s="160" customFormat="1" x14ac:dyDescent="0.3"/>
    <row r="28073" s="160" customFormat="1" x14ac:dyDescent="0.3"/>
    <row r="28074" s="160" customFormat="1" x14ac:dyDescent="0.3"/>
    <row r="28075" s="160" customFormat="1" x14ac:dyDescent="0.3"/>
    <row r="28076" s="160" customFormat="1" x14ac:dyDescent="0.3"/>
    <row r="28077" s="160" customFormat="1" x14ac:dyDescent="0.3"/>
    <row r="28078" s="160" customFormat="1" x14ac:dyDescent="0.3"/>
    <row r="28079" s="160" customFormat="1" x14ac:dyDescent="0.3"/>
    <row r="28080" s="160" customFormat="1" x14ac:dyDescent="0.3"/>
    <row r="28081" s="160" customFormat="1" x14ac:dyDescent="0.3"/>
    <row r="28082" s="160" customFormat="1" x14ac:dyDescent="0.3"/>
    <row r="28083" s="160" customFormat="1" x14ac:dyDescent="0.3"/>
    <row r="28084" s="160" customFormat="1" x14ac:dyDescent="0.3"/>
    <row r="28085" s="160" customFormat="1" x14ac:dyDescent="0.3"/>
    <row r="28086" s="160" customFormat="1" x14ac:dyDescent="0.3"/>
    <row r="28087" s="160" customFormat="1" x14ac:dyDescent="0.3"/>
    <row r="28088" s="160" customFormat="1" x14ac:dyDescent="0.3"/>
    <row r="28089" s="160" customFormat="1" x14ac:dyDescent="0.3"/>
    <row r="28090" s="160" customFormat="1" x14ac:dyDescent="0.3"/>
    <row r="28091" s="160" customFormat="1" x14ac:dyDescent="0.3"/>
    <row r="28092" s="160" customFormat="1" x14ac:dyDescent="0.3"/>
    <row r="28093" s="160" customFormat="1" x14ac:dyDescent="0.3"/>
    <row r="28094" s="160" customFormat="1" x14ac:dyDescent="0.3"/>
    <row r="28095" s="160" customFormat="1" x14ac:dyDescent="0.3"/>
    <row r="28096" s="160" customFormat="1" x14ac:dyDescent="0.3"/>
    <row r="28097" s="160" customFormat="1" x14ac:dyDescent="0.3"/>
    <row r="28098" s="160" customFormat="1" x14ac:dyDescent="0.3"/>
    <row r="28099" s="160" customFormat="1" x14ac:dyDescent="0.3"/>
    <row r="28100" s="160" customFormat="1" x14ac:dyDescent="0.3"/>
    <row r="28101" s="160" customFormat="1" x14ac:dyDescent="0.3"/>
    <row r="28102" s="160" customFormat="1" x14ac:dyDescent="0.3"/>
    <row r="28103" s="160" customFormat="1" x14ac:dyDescent="0.3"/>
    <row r="28104" s="160" customFormat="1" x14ac:dyDescent="0.3"/>
    <row r="28105" s="160" customFormat="1" x14ac:dyDescent="0.3"/>
    <row r="28106" s="160" customFormat="1" x14ac:dyDescent="0.3"/>
    <row r="28107" s="160" customFormat="1" x14ac:dyDescent="0.3"/>
    <row r="28108" s="160" customFormat="1" x14ac:dyDescent="0.3"/>
    <row r="28109" s="160" customFormat="1" x14ac:dyDescent="0.3"/>
    <row r="28110" s="160" customFormat="1" x14ac:dyDescent="0.3"/>
    <row r="28111" s="160" customFormat="1" x14ac:dyDescent="0.3"/>
    <row r="28112" s="160" customFormat="1" x14ac:dyDescent="0.3"/>
    <row r="28113" s="160" customFormat="1" x14ac:dyDescent="0.3"/>
    <row r="28114" s="160" customFormat="1" x14ac:dyDescent="0.3"/>
    <row r="28115" s="160" customFormat="1" x14ac:dyDescent="0.3"/>
    <row r="28116" s="160" customFormat="1" x14ac:dyDescent="0.3"/>
    <row r="28117" s="160" customFormat="1" x14ac:dyDescent="0.3"/>
    <row r="28118" s="160" customFormat="1" x14ac:dyDescent="0.3"/>
    <row r="28119" s="160" customFormat="1" x14ac:dyDescent="0.3"/>
    <row r="28120" s="160" customFormat="1" x14ac:dyDescent="0.3"/>
    <row r="28121" s="160" customFormat="1" x14ac:dyDescent="0.3"/>
    <row r="28122" s="160" customFormat="1" x14ac:dyDescent="0.3"/>
    <row r="28123" s="160" customFormat="1" x14ac:dyDescent="0.3"/>
    <row r="28124" s="160" customFormat="1" x14ac:dyDescent="0.3"/>
    <row r="28125" s="160" customFormat="1" x14ac:dyDescent="0.3"/>
    <row r="28126" s="160" customFormat="1" x14ac:dyDescent="0.3"/>
    <row r="28127" s="160" customFormat="1" x14ac:dyDescent="0.3"/>
    <row r="28128" s="160" customFormat="1" x14ac:dyDescent="0.3"/>
    <row r="28129" s="160" customFormat="1" x14ac:dyDescent="0.3"/>
    <row r="28130" s="160" customFormat="1" x14ac:dyDescent="0.3"/>
    <row r="28131" s="160" customFormat="1" x14ac:dyDescent="0.3"/>
    <row r="28132" s="160" customFormat="1" x14ac:dyDescent="0.3"/>
    <row r="28133" s="160" customFormat="1" x14ac:dyDescent="0.3"/>
    <row r="28134" s="160" customFormat="1" x14ac:dyDescent="0.3"/>
    <row r="28135" s="160" customFormat="1" x14ac:dyDescent="0.3"/>
    <row r="28136" s="160" customFormat="1" x14ac:dyDescent="0.3"/>
    <row r="28137" s="160" customFormat="1" x14ac:dyDescent="0.3"/>
    <row r="28138" s="160" customFormat="1" x14ac:dyDescent="0.3"/>
    <row r="28139" s="160" customFormat="1" x14ac:dyDescent="0.3"/>
    <row r="28140" s="160" customFormat="1" x14ac:dyDescent="0.3"/>
    <row r="28141" s="160" customFormat="1" x14ac:dyDescent="0.3"/>
    <row r="28142" s="160" customFormat="1" x14ac:dyDescent="0.3"/>
    <row r="28143" s="160" customFormat="1" x14ac:dyDescent="0.3"/>
    <row r="28144" s="160" customFormat="1" x14ac:dyDescent="0.3"/>
    <row r="28145" s="160" customFormat="1" x14ac:dyDescent="0.3"/>
    <row r="28146" s="160" customFormat="1" x14ac:dyDescent="0.3"/>
    <row r="28147" s="160" customFormat="1" x14ac:dyDescent="0.3"/>
    <row r="28148" s="160" customFormat="1" x14ac:dyDescent="0.3"/>
    <row r="28149" s="160" customFormat="1" x14ac:dyDescent="0.3"/>
    <row r="28150" s="160" customFormat="1" x14ac:dyDescent="0.3"/>
    <row r="28151" s="160" customFormat="1" x14ac:dyDescent="0.3"/>
    <row r="28152" s="160" customFormat="1" x14ac:dyDescent="0.3"/>
    <row r="28153" s="160" customFormat="1" x14ac:dyDescent="0.3"/>
    <row r="28154" s="160" customFormat="1" x14ac:dyDescent="0.3"/>
    <row r="28155" s="160" customFormat="1" x14ac:dyDescent="0.3"/>
    <row r="28156" s="160" customFormat="1" x14ac:dyDescent="0.3"/>
    <row r="28157" s="160" customFormat="1" x14ac:dyDescent="0.3"/>
    <row r="28158" s="160" customFormat="1" x14ac:dyDescent="0.3"/>
    <row r="28159" s="160" customFormat="1" x14ac:dyDescent="0.3"/>
    <row r="28160" s="160" customFormat="1" x14ac:dyDescent="0.3"/>
    <row r="28161" s="160" customFormat="1" x14ac:dyDescent="0.3"/>
    <row r="28162" s="160" customFormat="1" x14ac:dyDescent="0.3"/>
    <row r="28163" s="160" customFormat="1" x14ac:dyDescent="0.3"/>
    <row r="28164" s="160" customFormat="1" x14ac:dyDescent="0.3"/>
    <row r="28165" s="160" customFormat="1" x14ac:dyDescent="0.3"/>
    <row r="28166" s="160" customFormat="1" x14ac:dyDescent="0.3"/>
    <row r="28167" s="160" customFormat="1" x14ac:dyDescent="0.3"/>
    <row r="28168" s="160" customFormat="1" x14ac:dyDescent="0.3"/>
    <row r="28169" s="160" customFormat="1" x14ac:dyDescent="0.3"/>
    <row r="28170" s="160" customFormat="1" x14ac:dyDescent="0.3"/>
    <row r="28171" s="160" customFormat="1" x14ac:dyDescent="0.3"/>
    <row r="28172" s="160" customFormat="1" x14ac:dyDescent="0.3"/>
    <row r="28173" s="160" customFormat="1" x14ac:dyDescent="0.3"/>
    <row r="28174" s="160" customFormat="1" x14ac:dyDescent="0.3"/>
    <row r="28175" s="160" customFormat="1" x14ac:dyDescent="0.3"/>
    <row r="28176" s="160" customFormat="1" x14ac:dyDescent="0.3"/>
    <row r="28177" s="160" customFormat="1" x14ac:dyDescent="0.3"/>
    <row r="28178" s="160" customFormat="1" x14ac:dyDescent="0.3"/>
    <row r="28179" s="160" customFormat="1" x14ac:dyDescent="0.3"/>
    <row r="28180" s="160" customFormat="1" x14ac:dyDescent="0.3"/>
    <row r="28181" s="160" customFormat="1" x14ac:dyDescent="0.3"/>
    <row r="28182" s="160" customFormat="1" x14ac:dyDescent="0.3"/>
    <row r="28183" s="160" customFormat="1" x14ac:dyDescent="0.3"/>
    <row r="28184" s="160" customFormat="1" x14ac:dyDescent="0.3"/>
    <row r="28185" s="160" customFormat="1" x14ac:dyDescent="0.3"/>
    <row r="28186" s="160" customFormat="1" x14ac:dyDescent="0.3"/>
    <row r="28187" s="160" customFormat="1" x14ac:dyDescent="0.3"/>
    <row r="28188" s="160" customFormat="1" x14ac:dyDescent="0.3"/>
    <row r="28189" s="160" customFormat="1" x14ac:dyDescent="0.3"/>
    <row r="28190" s="160" customFormat="1" x14ac:dyDescent="0.3"/>
    <row r="28191" s="160" customFormat="1" x14ac:dyDescent="0.3"/>
    <row r="28192" s="160" customFormat="1" x14ac:dyDescent="0.3"/>
    <row r="28193" s="160" customFormat="1" x14ac:dyDescent="0.3"/>
    <row r="28194" s="160" customFormat="1" x14ac:dyDescent="0.3"/>
    <row r="28195" s="160" customFormat="1" x14ac:dyDescent="0.3"/>
    <row r="28196" s="160" customFormat="1" x14ac:dyDescent="0.3"/>
    <row r="28197" s="160" customFormat="1" x14ac:dyDescent="0.3"/>
    <row r="28198" s="160" customFormat="1" x14ac:dyDescent="0.3"/>
    <row r="28199" s="160" customFormat="1" x14ac:dyDescent="0.3"/>
    <row r="28200" s="160" customFormat="1" x14ac:dyDescent="0.3"/>
    <row r="28201" s="160" customFormat="1" x14ac:dyDescent="0.3"/>
    <row r="28202" s="160" customFormat="1" x14ac:dyDescent="0.3"/>
    <row r="28203" s="160" customFormat="1" x14ac:dyDescent="0.3"/>
    <row r="28204" s="160" customFormat="1" x14ac:dyDescent="0.3"/>
    <row r="28205" s="160" customFormat="1" x14ac:dyDescent="0.3"/>
    <row r="28206" s="160" customFormat="1" x14ac:dyDescent="0.3"/>
    <row r="28207" s="160" customFormat="1" x14ac:dyDescent="0.3"/>
    <row r="28208" s="160" customFormat="1" x14ac:dyDescent="0.3"/>
    <row r="28209" s="160" customFormat="1" x14ac:dyDescent="0.3"/>
    <row r="28210" s="160" customFormat="1" x14ac:dyDescent="0.3"/>
    <row r="28211" s="160" customFormat="1" x14ac:dyDescent="0.3"/>
    <row r="28212" s="160" customFormat="1" x14ac:dyDescent="0.3"/>
    <row r="28213" s="160" customFormat="1" x14ac:dyDescent="0.3"/>
    <row r="28214" s="160" customFormat="1" x14ac:dyDescent="0.3"/>
    <row r="28215" s="160" customFormat="1" x14ac:dyDescent="0.3"/>
    <row r="28216" s="160" customFormat="1" x14ac:dyDescent="0.3"/>
    <row r="28217" s="160" customFormat="1" x14ac:dyDescent="0.3"/>
    <row r="28218" s="160" customFormat="1" x14ac:dyDescent="0.3"/>
    <row r="28219" s="160" customFormat="1" x14ac:dyDescent="0.3"/>
    <row r="28220" s="160" customFormat="1" x14ac:dyDescent="0.3"/>
    <row r="28221" s="160" customFormat="1" x14ac:dyDescent="0.3"/>
    <row r="28222" s="160" customFormat="1" x14ac:dyDescent="0.3"/>
    <row r="28223" s="160" customFormat="1" x14ac:dyDescent="0.3"/>
    <row r="28224" s="160" customFormat="1" x14ac:dyDescent="0.3"/>
    <row r="28225" s="160" customFormat="1" x14ac:dyDescent="0.3"/>
    <row r="28226" s="160" customFormat="1" x14ac:dyDescent="0.3"/>
    <row r="28227" s="160" customFormat="1" x14ac:dyDescent="0.3"/>
    <row r="28228" s="160" customFormat="1" x14ac:dyDescent="0.3"/>
    <row r="28229" s="160" customFormat="1" x14ac:dyDescent="0.3"/>
    <row r="28230" s="160" customFormat="1" x14ac:dyDescent="0.3"/>
    <row r="28231" s="160" customFormat="1" x14ac:dyDescent="0.3"/>
    <row r="28232" s="160" customFormat="1" x14ac:dyDescent="0.3"/>
    <row r="28233" s="160" customFormat="1" x14ac:dyDescent="0.3"/>
    <row r="28234" s="160" customFormat="1" x14ac:dyDescent="0.3"/>
    <row r="28235" s="160" customFormat="1" x14ac:dyDescent="0.3"/>
    <row r="28236" s="160" customFormat="1" x14ac:dyDescent="0.3"/>
    <row r="28237" s="160" customFormat="1" x14ac:dyDescent="0.3"/>
    <row r="28238" s="160" customFormat="1" x14ac:dyDescent="0.3"/>
    <row r="28239" s="160" customFormat="1" x14ac:dyDescent="0.3"/>
    <row r="28240" s="160" customFormat="1" x14ac:dyDescent="0.3"/>
    <row r="28241" s="160" customFormat="1" x14ac:dyDescent="0.3"/>
    <row r="28242" s="160" customFormat="1" x14ac:dyDescent="0.3"/>
    <row r="28243" s="160" customFormat="1" x14ac:dyDescent="0.3"/>
    <row r="28244" s="160" customFormat="1" x14ac:dyDescent="0.3"/>
    <row r="28245" s="160" customFormat="1" x14ac:dyDescent="0.3"/>
    <row r="28246" s="160" customFormat="1" x14ac:dyDescent="0.3"/>
    <row r="28247" s="160" customFormat="1" x14ac:dyDescent="0.3"/>
    <row r="28248" s="160" customFormat="1" x14ac:dyDescent="0.3"/>
    <row r="28249" s="160" customFormat="1" x14ac:dyDescent="0.3"/>
    <row r="28250" s="160" customFormat="1" x14ac:dyDescent="0.3"/>
    <row r="28251" s="160" customFormat="1" x14ac:dyDescent="0.3"/>
    <row r="28252" s="160" customFormat="1" x14ac:dyDescent="0.3"/>
    <row r="28253" s="160" customFormat="1" x14ac:dyDescent="0.3"/>
    <row r="28254" s="160" customFormat="1" x14ac:dyDescent="0.3"/>
    <row r="28255" s="160" customFormat="1" x14ac:dyDescent="0.3"/>
    <row r="28256" s="160" customFormat="1" x14ac:dyDescent="0.3"/>
    <row r="28257" s="160" customFormat="1" x14ac:dyDescent="0.3"/>
    <row r="28258" s="160" customFormat="1" x14ac:dyDescent="0.3"/>
    <row r="28259" s="160" customFormat="1" x14ac:dyDescent="0.3"/>
    <row r="28260" s="160" customFormat="1" x14ac:dyDescent="0.3"/>
    <row r="28261" s="160" customFormat="1" x14ac:dyDescent="0.3"/>
    <row r="28262" s="160" customFormat="1" x14ac:dyDescent="0.3"/>
    <row r="28263" s="160" customFormat="1" x14ac:dyDescent="0.3"/>
    <row r="28264" s="160" customFormat="1" x14ac:dyDescent="0.3"/>
    <row r="28265" s="160" customFormat="1" x14ac:dyDescent="0.3"/>
    <row r="28266" s="160" customFormat="1" x14ac:dyDescent="0.3"/>
    <row r="28267" s="160" customFormat="1" x14ac:dyDescent="0.3"/>
    <row r="28268" s="160" customFormat="1" x14ac:dyDescent="0.3"/>
    <row r="28269" s="160" customFormat="1" x14ac:dyDescent="0.3"/>
    <row r="28270" s="160" customFormat="1" x14ac:dyDescent="0.3"/>
    <row r="28271" s="160" customFormat="1" x14ac:dyDescent="0.3"/>
    <row r="28272" s="160" customFormat="1" x14ac:dyDescent="0.3"/>
    <row r="28273" s="160" customFormat="1" x14ac:dyDescent="0.3"/>
    <row r="28274" s="160" customFormat="1" x14ac:dyDescent="0.3"/>
    <row r="28275" s="160" customFormat="1" x14ac:dyDescent="0.3"/>
    <row r="28276" s="160" customFormat="1" x14ac:dyDescent="0.3"/>
    <row r="28277" s="160" customFormat="1" x14ac:dyDescent="0.3"/>
    <row r="28278" s="160" customFormat="1" x14ac:dyDescent="0.3"/>
    <row r="28279" s="160" customFormat="1" x14ac:dyDescent="0.3"/>
    <row r="28280" s="160" customFormat="1" x14ac:dyDescent="0.3"/>
    <row r="28281" s="160" customFormat="1" x14ac:dyDescent="0.3"/>
    <row r="28282" s="160" customFormat="1" x14ac:dyDescent="0.3"/>
    <row r="28283" s="160" customFormat="1" x14ac:dyDescent="0.3"/>
    <row r="28284" s="160" customFormat="1" x14ac:dyDescent="0.3"/>
    <row r="28285" s="160" customFormat="1" x14ac:dyDescent="0.3"/>
    <row r="28286" s="160" customFormat="1" x14ac:dyDescent="0.3"/>
    <row r="28287" s="160" customFormat="1" x14ac:dyDescent="0.3"/>
    <row r="28288" s="160" customFormat="1" x14ac:dyDescent="0.3"/>
    <row r="28289" s="160" customFormat="1" x14ac:dyDescent="0.3"/>
    <row r="28290" s="160" customFormat="1" x14ac:dyDescent="0.3"/>
    <row r="28291" s="160" customFormat="1" x14ac:dyDescent="0.3"/>
    <row r="28292" s="160" customFormat="1" x14ac:dyDescent="0.3"/>
    <row r="28293" s="160" customFormat="1" x14ac:dyDescent="0.3"/>
    <row r="28294" s="160" customFormat="1" x14ac:dyDescent="0.3"/>
    <row r="28295" s="160" customFormat="1" x14ac:dyDescent="0.3"/>
    <row r="28296" s="160" customFormat="1" x14ac:dyDescent="0.3"/>
    <row r="28297" s="160" customFormat="1" x14ac:dyDescent="0.3"/>
    <row r="28298" s="160" customFormat="1" x14ac:dyDescent="0.3"/>
    <row r="28299" s="160" customFormat="1" x14ac:dyDescent="0.3"/>
    <row r="28300" s="160" customFormat="1" x14ac:dyDescent="0.3"/>
    <row r="28301" s="160" customFormat="1" x14ac:dyDescent="0.3"/>
    <row r="28302" s="160" customFormat="1" x14ac:dyDescent="0.3"/>
    <row r="28303" s="160" customFormat="1" x14ac:dyDescent="0.3"/>
    <row r="28304" s="160" customFormat="1" x14ac:dyDescent="0.3"/>
    <row r="28305" s="160" customFormat="1" x14ac:dyDescent="0.3"/>
    <row r="28306" s="160" customFormat="1" x14ac:dyDescent="0.3"/>
    <row r="28307" s="160" customFormat="1" x14ac:dyDescent="0.3"/>
    <row r="28308" s="160" customFormat="1" x14ac:dyDescent="0.3"/>
    <row r="28309" s="160" customFormat="1" x14ac:dyDescent="0.3"/>
    <row r="28310" s="160" customFormat="1" x14ac:dyDescent="0.3"/>
    <row r="28311" s="160" customFormat="1" x14ac:dyDescent="0.3"/>
    <row r="28312" s="160" customFormat="1" x14ac:dyDescent="0.3"/>
    <row r="28313" s="160" customFormat="1" x14ac:dyDescent="0.3"/>
    <row r="28314" s="160" customFormat="1" x14ac:dyDescent="0.3"/>
    <row r="28315" s="160" customFormat="1" x14ac:dyDescent="0.3"/>
    <row r="28316" s="160" customFormat="1" x14ac:dyDescent="0.3"/>
    <row r="28317" s="160" customFormat="1" x14ac:dyDescent="0.3"/>
    <row r="28318" s="160" customFormat="1" x14ac:dyDescent="0.3"/>
    <row r="28319" s="160" customFormat="1" x14ac:dyDescent="0.3"/>
    <row r="28320" s="160" customFormat="1" x14ac:dyDescent="0.3"/>
    <row r="28321" s="160" customFormat="1" x14ac:dyDescent="0.3"/>
    <row r="28322" s="160" customFormat="1" x14ac:dyDescent="0.3"/>
    <row r="28323" s="160" customFormat="1" x14ac:dyDescent="0.3"/>
    <row r="28324" s="160" customFormat="1" x14ac:dyDescent="0.3"/>
    <row r="28325" s="160" customFormat="1" x14ac:dyDescent="0.3"/>
    <row r="28326" s="160" customFormat="1" x14ac:dyDescent="0.3"/>
    <row r="28327" s="160" customFormat="1" x14ac:dyDescent="0.3"/>
    <row r="28328" s="160" customFormat="1" x14ac:dyDescent="0.3"/>
    <row r="28329" s="160" customFormat="1" x14ac:dyDescent="0.3"/>
    <row r="28330" s="160" customFormat="1" x14ac:dyDescent="0.3"/>
    <row r="28331" s="160" customFormat="1" x14ac:dyDescent="0.3"/>
    <row r="28332" s="160" customFormat="1" x14ac:dyDescent="0.3"/>
    <row r="28333" s="160" customFormat="1" x14ac:dyDescent="0.3"/>
    <row r="28334" s="160" customFormat="1" x14ac:dyDescent="0.3"/>
    <row r="28335" s="160" customFormat="1" x14ac:dyDescent="0.3"/>
    <row r="28336" s="160" customFormat="1" x14ac:dyDescent="0.3"/>
    <row r="28337" s="160" customFormat="1" x14ac:dyDescent="0.3"/>
    <row r="28338" s="160" customFormat="1" x14ac:dyDescent="0.3"/>
    <row r="28339" s="160" customFormat="1" x14ac:dyDescent="0.3"/>
    <row r="28340" s="160" customFormat="1" x14ac:dyDescent="0.3"/>
    <row r="28341" s="160" customFormat="1" x14ac:dyDescent="0.3"/>
    <row r="28342" s="160" customFormat="1" x14ac:dyDescent="0.3"/>
    <row r="28343" s="160" customFormat="1" x14ac:dyDescent="0.3"/>
    <row r="28344" s="160" customFormat="1" x14ac:dyDescent="0.3"/>
    <row r="28345" s="160" customFormat="1" x14ac:dyDescent="0.3"/>
    <row r="28346" s="160" customFormat="1" x14ac:dyDescent="0.3"/>
    <row r="28347" s="160" customFormat="1" x14ac:dyDescent="0.3"/>
    <row r="28348" s="160" customFormat="1" x14ac:dyDescent="0.3"/>
    <row r="28349" s="160" customFormat="1" x14ac:dyDescent="0.3"/>
    <row r="28350" s="160" customFormat="1" x14ac:dyDescent="0.3"/>
    <row r="28351" s="160" customFormat="1" x14ac:dyDescent="0.3"/>
    <row r="28352" s="160" customFormat="1" x14ac:dyDescent="0.3"/>
    <row r="28353" s="160" customFormat="1" x14ac:dyDescent="0.3"/>
    <row r="28354" s="160" customFormat="1" x14ac:dyDescent="0.3"/>
    <row r="28355" s="160" customFormat="1" x14ac:dyDescent="0.3"/>
    <row r="28356" s="160" customFormat="1" x14ac:dyDescent="0.3"/>
    <row r="28357" s="160" customFormat="1" x14ac:dyDescent="0.3"/>
    <row r="28358" s="160" customFormat="1" x14ac:dyDescent="0.3"/>
    <row r="28359" s="160" customFormat="1" x14ac:dyDescent="0.3"/>
    <row r="28360" s="160" customFormat="1" x14ac:dyDescent="0.3"/>
    <row r="28361" s="160" customFormat="1" x14ac:dyDescent="0.3"/>
    <row r="28362" s="160" customFormat="1" x14ac:dyDescent="0.3"/>
    <row r="28363" s="160" customFormat="1" x14ac:dyDescent="0.3"/>
    <row r="28364" s="160" customFormat="1" x14ac:dyDescent="0.3"/>
    <row r="28365" s="160" customFormat="1" x14ac:dyDescent="0.3"/>
    <row r="28366" s="160" customFormat="1" x14ac:dyDescent="0.3"/>
    <row r="28367" s="160" customFormat="1" x14ac:dyDescent="0.3"/>
    <row r="28368" s="160" customFormat="1" x14ac:dyDescent="0.3"/>
    <row r="28369" s="160" customFormat="1" x14ac:dyDescent="0.3"/>
    <row r="28370" s="160" customFormat="1" x14ac:dyDescent="0.3"/>
    <row r="28371" s="160" customFormat="1" x14ac:dyDescent="0.3"/>
    <row r="28372" s="160" customFormat="1" x14ac:dyDescent="0.3"/>
    <row r="28373" s="160" customFormat="1" x14ac:dyDescent="0.3"/>
    <row r="28374" s="160" customFormat="1" x14ac:dyDescent="0.3"/>
    <row r="28375" s="160" customFormat="1" x14ac:dyDescent="0.3"/>
    <row r="28376" s="160" customFormat="1" x14ac:dyDescent="0.3"/>
    <row r="28377" s="160" customFormat="1" x14ac:dyDescent="0.3"/>
    <row r="28378" s="160" customFormat="1" x14ac:dyDescent="0.3"/>
    <row r="28379" s="160" customFormat="1" x14ac:dyDescent="0.3"/>
    <row r="28380" s="160" customFormat="1" x14ac:dyDescent="0.3"/>
    <row r="28381" s="160" customFormat="1" x14ac:dyDescent="0.3"/>
    <row r="28382" s="160" customFormat="1" x14ac:dyDescent="0.3"/>
    <row r="28383" s="160" customFormat="1" x14ac:dyDescent="0.3"/>
    <row r="28384" s="160" customFormat="1" x14ac:dyDescent="0.3"/>
    <row r="28385" s="160" customFormat="1" x14ac:dyDescent="0.3"/>
    <row r="28386" s="160" customFormat="1" x14ac:dyDescent="0.3"/>
    <row r="28387" s="160" customFormat="1" x14ac:dyDescent="0.3"/>
    <row r="28388" s="160" customFormat="1" x14ac:dyDescent="0.3"/>
    <row r="28389" s="160" customFormat="1" x14ac:dyDescent="0.3"/>
    <row r="28390" s="160" customFormat="1" x14ac:dyDescent="0.3"/>
    <row r="28391" s="160" customFormat="1" x14ac:dyDescent="0.3"/>
    <row r="28392" s="160" customFormat="1" x14ac:dyDescent="0.3"/>
    <row r="28393" s="160" customFormat="1" x14ac:dyDescent="0.3"/>
    <row r="28394" s="160" customFormat="1" x14ac:dyDescent="0.3"/>
    <row r="28395" s="160" customFormat="1" x14ac:dyDescent="0.3"/>
    <row r="28396" s="160" customFormat="1" x14ac:dyDescent="0.3"/>
    <row r="28397" s="160" customFormat="1" x14ac:dyDescent="0.3"/>
    <row r="28398" s="160" customFormat="1" x14ac:dyDescent="0.3"/>
    <row r="28399" s="160" customFormat="1" x14ac:dyDescent="0.3"/>
    <row r="28400" s="160" customFormat="1" x14ac:dyDescent="0.3"/>
    <row r="28401" s="160" customFormat="1" x14ac:dyDescent="0.3"/>
    <row r="28402" s="160" customFormat="1" x14ac:dyDescent="0.3"/>
    <row r="28403" s="160" customFormat="1" x14ac:dyDescent="0.3"/>
    <row r="28404" s="160" customFormat="1" x14ac:dyDescent="0.3"/>
    <row r="28405" s="160" customFormat="1" x14ac:dyDescent="0.3"/>
    <row r="28406" s="160" customFormat="1" x14ac:dyDescent="0.3"/>
    <row r="28407" s="160" customFormat="1" x14ac:dyDescent="0.3"/>
    <row r="28408" s="160" customFormat="1" x14ac:dyDescent="0.3"/>
    <row r="28409" s="160" customFormat="1" x14ac:dyDescent="0.3"/>
    <row r="28410" s="160" customFormat="1" x14ac:dyDescent="0.3"/>
    <row r="28411" s="160" customFormat="1" x14ac:dyDescent="0.3"/>
    <row r="28412" s="160" customFormat="1" x14ac:dyDescent="0.3"/>
    <row r="28413" s="160" customFormat="1" x14ac:dyDescent="0.3"/>
    <row r="28414" s="160" customFormat="1" x14ac:dyDescent="0.3"/>
    <row r="28415" s="160" customFormat="1" x14ac:dyDescent="0.3"/>
    <row r="28416" s="160" customFormat="1" x14ac:dyDescent="0.3"/>
    <row r="28417" s="160" customFormat="1" x14ac:dyDescent="0.3"/>
    <row r="28418" s="160" customFormat="1" x14ac:dyDescent="0.3"/>
    <row r="28419" s="160" customFormat="1" x14ac:dyDescent="0.3"/>
    <row r="28420" s="160" customFormat="1" x14ac:dyDescent="0.3"/>
    <row r="28421" s="160" customFormat="1" x14ac:dyDescent="0.3"/>
    <row r="28422" s="160" customFormat="1" x14ac:dyDescent="0.3"/>
    <row r="28423" s="160" customFormat="1" x14ac:dyDescent="0.3"/>
    <row r="28424" s="160" customFormat="1" x14ac:dyDescent="0.3"/>
    <row r="28425" s="160" customFormat="1" x14ac:dyDescent="0.3"/>
    <row r="28426" s="160" customFormat="1" x14ac:dyDescent="0.3"/>
    <row r="28427" s="160" customFormat="1" x14ac:dyDescent="0.3"/>
    <row r="28428" s="160" customFormat="1" x14ac:dyDescent="0.3"/>
    <row r="28429" s="160" customFormat="1" x14ac:dyDescent="0.3"/>
    <row r="28430" s="160" customFormat="1" x14ac:dyDescent="0.3"/>
    <row r="28431" s="160" customFormat="1" x14ac:dyDescent="0.3"/>
    <row r="28432" s="160" customFormat="1" x14ac:dyDescent="0.3"/>
    <row r="28433" s="160" customFormat="1" x14ac:dyDescent="0.3"/>
    <row r="28434" s="160" customFormat="1" x14ac:dyDescent="0.3"/>
    <row r="28435" s="160" customFormat="1" x14ac:dyDescent="0.3"/>
    <row r="28436" s="160" customFormat="1" x14ac:dyDescent="0.3"/>
    <row r="28437" s="160" customFormat="1" x14ac:dyDescent="0.3"/>
    <row r="28438" s="160" customFormat="1" x14ac:dyDescent="0.3"/>
    <row r="28439" s="160" customFormat="1" x14ac:dyDescent="0.3"/>
    <row r="28440" s="160" customFormat="1" x14ac:dyDescent="0.3"/>
    <row r="28441" s="160" customFormat="1" x14ac:dyDescent="0.3"/>
    <row r="28442" s="160" customFormat="1" x14ac:dyDescent="0.3"/>
    <row r="28443" s="160" customFormat="1" x14ac:dyDescent="0.3"/>
    <row r="28444" s="160" customFormat="1" x14ac:dyDescent="0.3"/>
    <row r="28445" s="160" customFormat="1" x14ac:dyDescent="0.3"/>
    <row r="28446" s="160" customFormat="1" x14ac:dyDescent="0.3"/>
    <row r="28447" s="160" customFormat="1" x14ac:dyDescent="0.3"/>
    <row r="28448" s="160" customFormat="1" x14ac:dyDescent="0.3"/>
    <row r="28449" s="160" customFormat="1" x14ac:dyDescent="0.3"/>
    <row r="28450" s="160" customFormat="1" x14ac:dyDescent="0.3"/>
    <row r="28451" s="160" customFormat="1" x14ac:dyDescent="0.3"/>
    <row r="28452" s="160" customFormat="1" x14ac:dyDescent="0.3"/>
    <row r="28453" s="160" customFormat="1" x14ac:dyDescent="0.3"/>
    <row r="28454" s="160" customFormat="1" x14ac:dyDescent="0.3"/>
    <row r="28455" s="160" customFormat="1" x14ac:dyDescent="0.3"/>
    <row r="28456" s="160" customFormat="1" x14ac:dyDescent="0.3"/>
    <row r="28457" s="160" customFormat="1" x14ac:dyDescent="0.3"/>
    <row r="28458" s="160" customFormat="1" x14ac:dyDescent="0.3"/>
    <row r="28459" s="160" customFormat="1" x14ac:dyDescent="0.3"/>
    <row r="28460" s="160" customFormat="1" x14ac:dyDescent="0.3"/>
    <row r="28461" s="160" customFormat="1" x14ac:dyDescent="0.3"/>
    <row r="28462" s="160" customFormat="1" x14ac:dyDescent="0.3"/>
    <row r="28463" s="160" customFormat="1" x14ac:dyDescent="0.3"/>
    <row r="28464" s="160" customFormat="1" x14ac:dyDescent="0.3"/>
    <row r="28465" s="160" customFormat="1" x14ac:dyDescent="0.3"/>
    <row r="28466" s="160" customFormat="1" x14ac:dyDescent="0.3"/>
    <row r="28467" s="160" customFormat="1" x14ac:dyDescent="0.3"/>
    <row r="28468" s="160" customFormat="1" x14ac:dyDescent="0.3"/>
    <row r="28469" s="160" customFormat="1" x14ac:dyDescent="0.3"/>
    <row r="28470" s="160" customFormat="1" x14ac:dyDescent="0.3"/>
    <row r="28471" s="160" customFormat="1" x14ac:dyDescent="0.3"/>
    <row r="28472" s="160" customFormat="1" x14ac:dyDescent="0.3"/>
    <row r="28473" s="160" customFormat="1" x14ac:dyDescent="0.3"/>
    <row r="28474" s="160" customFormat="1" x14ac:dyDescent="0.3"/>
    <row r="28475" s="160" customFormat="1" x14ac:dyDescent="0.3"/>
    <row r="28476" s="160" customFormat="1" x14ac:dyDescent="0.3"/>
    <row r="28477" s="160" customFormat="1" x14ac:dyDescent="0.3"/>
    <row r="28478" s="160" customFormat="1" x14ac:dyDescent="0.3"/>
    <row r="28479" s="160" customFormat="1" x14ac:dyDescent="0.3"/>
    <row r="28480" s="160" customFormat="1" x14ac:dyDescent="0.3"/>
    <row r="28481" s="160" customFormat="1" x14ac:dyDescent="0.3"/>
    <row r="28482" s="160" customFormat="1" x14ac:dyDescent="0.3"/>
    <row r="28483" s="160" customFormat="1" x14ac:dyDescent="0.3"/>
    <row r="28484" s="160" customFormat="1" x14ac:dyDescent="0.3"/>
    <row r="28485" s="160" customFormat="1" x14ac:dyDescent="0.3"/>
    <row r="28486" s="160" customFormat="1" x14ac:dyDescent="0.3"/>
    <row r="28487" s="160" customFormat="1" x14ac:dyDescent="0.3"/>
    <row r="28488" s="160" customFormat="1" x14ac:dyDescent="0.3"/>
    <row r="28489" s="160" customFormat="1" x14ac:dyDescent="0.3"/>
    <row r="28490" s="160" customFormat="1" x14ac:dyDescent="0.3"/>
    <row r="28491" s="160" customFormat="1" x14ac:dyDescent="0.3"/>
    <row r="28492" s="160" customFormat="1" x14ac:dyDescent="0.3"/>
    <row r="28493" s="160" customFormat="1" x14ac:dyDescent="0.3"/>
    <row r="28494" s="160" customFormat="1" x14ac:dyDescent="0.3"/>
    <row r="28495" s="160" customFormat="1" x14ac:dyDescent="0.3"/>
    <row r="28496" s="160" customFormat="1" x14ac:dyDescent="0.3"/>
    <row r="28497" s="160" customFormat="1" x14ac:dyDescent="0.3"/>
    <row r="28498" s="160" customFormat="1" x14ac:dyDescent="0.3"/>
    <row r="28499" s="160" customFormat="1" x14ac:dyDescent="0.3"/>
    <row r="28500" s="160" customFormat="1" x14ac:dyDescent="0.3"/>
    <row r="28501" s="160" customFormat="1" x14ac:dyDescent="0.3"/>
    <row r="28502" s="160" customFormat="1" x14ac:dyDescent="0.3"/>
    <row r="28503" s="160" customFormat="1" x14ac:dyDescent="0.3"/>
    <row r="28504" s="160" customFormat="1" x14ac:dyDescent="0.3"/>
    <row r="28505" s="160" customFormat="1" x14ac:dyDescent="0.3"/>
    <row r="28506" s="160" customFormat="1" x14ac:dyDescent="0.3"/>
    <row r="28507" s="160" customFormat="1" x14ac:dyDescent="0.3"/>
    <row r="28508" s="160" customFormat="1" x14ac:dyDescent="0.3"/>
    <row r="28509" s="160" customFormat="1" x14ac:dyDescent="0.3"/>
    <row r="28510" s="160" customFormat="1" x14ac:dyDescent="0.3"/>
    <row r="28511" s="160" customFormat="1" x14ac:dyDescent="0.3"/>
    <row r="28512" s="160" customFormat="1" x14ac:dyDescent="0.3"/>
    <row r="28513" s="160" customFormat="1" x14ac:dyDescent="0.3"/>
    <row r="28514" s="160" customFormat="1" x14ac:dyDescent="0.3"/>
    <row r="28515" s="160" customFormat="1" x14ac:dyDescent="0.3"/>
    <row r="28516" s="160" customFormat="1" x14ac:dyDescent="0.3"/>
    <row r="28517" s="160" customFormat="1" x14ac:dyDescent="0.3"/>
    <row r="28518" s="160" customFormat="1" x14ac:dyDescent="0.3"/>
    <row r="28519" s="160" customFormat="1" x14ac:dyDescent="0.3"/>
    <row r="28520" s="160" customFormat="1" x14ac:dyDescent="0.3"/>
    <row r="28521" s="160" customFormat="1" x14ac:dyDescent="0.3"/>
    <row r="28522" s="160" customFormat="1" x14ac:dyDescent="0.3"/>
    <row r="28523" s="160" customFormat="1" x14ac:dyDescent="0.3"/>
    <row r="28524" s="160" customFormat="1" x14ac:dyDescent="0.3"/>
    <row r="28525" s="160" customFormat="1" x14ac:dyDescent="0.3"/>
    <row r="28526" s="160" customFormat="1" x14ac:dyDescent="0.3"/>
    <row r="28527" s="160" customFormat="1" x14ac:dyDescent="0.3"/>
    <row r="28528" s="160" customFormat="1" x14ac:dyDescent="0.3"/>
    <row r="28529" s="160" customFormat="1" x14ac:dyDescent="0.3"/>
    <row r="28530" s="160" customFormat="1" x14ac:dyDescent="0.3"/>
    <row r="28531" s="160" customFormat="1" x14ac:dyDescent="0.3"/>
    <row r="28532" s="160" customFormat="1" x14ac:dyDescent="0.3"/>
    <row r="28533" s="160" customFormat="1" x14ac:dyDescent="0.3"/>
    <row r="28534" s="160" customFormat="1" x14ac:dyDescent="0.3"/>
    <row r="28535" s="160" customFormat="1" x14ac:dyDescent="0.3"/>
    <row r="28536" s="160" customFormat="1" x14ac:dyDescent="0.3"/>
    <row r="28537" s="160" customFormat="1" x14ac:dyDescent="0.3"/>
    <row r="28538" s="160" customFormat="1" x14ac:dyDescent="0.3"/>
    <row r="28539" s="160" customFormat="1" x14ac:dyDescent="0.3"/>
    <row r="28540" s="160" customFormat="1" x14ac:dyDescent="0.3"/>
    <row r="28541" s="160" customFormat="1" x14ac:dyDescent="0.3"/>
    <row r="28542" s="160" customFormat="1" x14ac:dyDescent="0.3"/>
    <row r="28543" s="160" customFormat="1" x14ac:dyDescent="0.3"/>
    <row r="28544" s="160" customFormat="1" x14ac:dyDescent="0.3"/>
    <row r="28545" s="160" customFormat="1" x14ac:dyDescent="0.3"/>
    <row r="28546" s="160" customFormat="1" x14ac:dyDescent="0.3"/>
    <row r="28547" s="160" customFormat="1" x14ac:dyDescent="0.3"/>
    <row r="28548" s="160" customFormat="1" x14ac:dyDescent="0.3"/>
    <row r="28549" s="160" customFormat="1" x14ac:dyDescent="0.3"/>
    <row r="28550" s="160" customFormat="1" x14ac:dyDescent="0.3"/>
    <row r="28551" s="160" customFormat="1" x14ac:dyDescent="0.3"/>
    <row r="28552" s="160" customFormat="1" x14ac:dyDescent="0.3"/>
    <row r="28553" s="160" customFormat="1" x14ac:dyDescent="0.3"/>
    <row r="28554" s="160" customFormat="1" x14ac:dyDescent="0.3"/>
    <row r="28555" s="160" customFormat="1" x14ac:dyDescent="0.3"/>
    <row r="28556" s="160" customFormat="1" x14ac:dyDescent="0.3"/>
    <row r="28557" s="160" customFormat="1" x14ac:dyDescent="0.3"/>
    <row r="28558" s="160" customFormat="1" x14ac:dyDescent="0.3"/>
    <row r="28559" s="160" customFormat="1" x14ac:dyDescent="0.3"/>
    <row r="28560" s="160" customFormat="1" x14ac:dyDescent="0.3"/>
    <row r="28561" s="160" customFormat="1" x14ac:dyDescent="0.3"/>
    <row r="28562" s="160" customFormat="1" x14ac:dyDescent="0.3"/>
    <row r="28563" s="160" customFormat="1" x14ac:dyDescent="0.3"/>
    <row r="28564" s="160" customFormat="1" x14ac:dyDescent="0.3"/>
    <row r="28565" s="160" customFormat="1" x14ac:dyDescent="0.3"/>
    <row r="28566" s="160" customFormat="1" x14ac:dyDescent="0.3"/>
    <row r="28567" s="160" customFormat="1" x14ac:dyDescent="0.3"/>
    <row r="28568" s="160" customFormat="1" x14ac:dyDescent="0.3"/>
    <row r="28569" s="160" customFormat="1" x14ac:dyDescent="0.3"/>
    <row r="28570" s="160" customFormat="1" x14ac:dyDescent="0.3"/>
    <row r="28571" s="160" customFormat="1" x14ac:dyDescent="0.3"/>
    <row r="28572" s="160" customFormat="1" x14ac:dyDescent="0.3"/>
    <row r="28573" s="160" customFormat="1" x14ac:dyDescent="0.3"/>
    <row r="28574" s="160" customFormat="1" x14ac:dyDescent="0.3"/>
    <row r="28575" s="160" customFormat="1" x14ac:dyDescent="0.3"/>
    <row r="28576" s="160" customFormat="1" x14ac:dyDescent="0.3"/>
    <row r="28577" s="160" customFormat="1" x14ac:dyDescent="0.3"/>
    <row r="28578" s="160" customFormat="1" x14ac:dyDescent="0.3"/>
    <row r="28579" s="160" customFormat="1" x14ac:dyDescent="0.3"/>
    <row r="28580" s="160" customFormat="1" x14ac:dyDescent="0.3"/>
    <row r="28581" s="160" customFormat="1" x14ac:dyDescent="0.3"/>
    <row r="28582" s="160" customFormat="1" x14ac:dyDescent="0.3"/>
    <row r="28583" s="160" customFormat="1" x14ac:dyDescent="0.3"/>
    <row r="28584" s="160" customFormat="1" x14ac:dyDescent="0.3"/>
    <row r="28585" s="160" customFormat="1" x14ac:dyDescent="0.3"/>
    <row r="28586" s="160" customFormat="1" x14ac:dyDescent="0.3"/>
    <row r="28587" s="160" customFormat="1" x14ac:dyDescent="0.3"/>
    <row r="28588" s="160" customFormat="1" x14ac:dyDescent="0.3"/>
    <row r="28589" s="160" customFormat="1" x14ac:dyDescent="0.3"/>
    <row r="28590" s="160" customFormat="1" x14ac:dyDescent="0.3"/>
    <row r="28591" s="160" customFormat="1" x14ac:dyDescent="0.3"/>
    <row r="28592" s="160" customFormat="1" x14ac:dyDescent="0.3"/>
    <row r="28593" s="160" customFormat="1" x14ac:dyDescent="0.3"/>
    <row r="28594" s="160" customFormat="1" x14ac:dyDescent="0.3"/>
    <row r="28595" s="160" customFormat="1" x14ac:dyDescent="0.3"/>
    <row r="28596" s="160" customFormat="1" x14ac:dyDescent="0.3"/>
    <row r="28597" s="160" customFormat="1" x14ac:dyDescent="0.3"/>
    <row r="28598" s="160" customFormat="1" x14ac:dyDescent="0.3"/>
    <row r="28599" s="160" customFormat="1" x14ac:dyDescent="0.3"/>
    <row r="28600" s="160" customFormat="1" x14ac:dyDescent="0.3"/>
    <row r="28601" s="160" customFormat="1" x14ac:dyDescent="0.3"/>
    <row r="28602" s="160" customFormat="1" x14ac:dyDescent="0.3"/>
    <row r="28603" s="160" customFormat="1" x14ac:dyDescent="0.3"/>
    <row r="28604" s="160" customFormat="1" x14ac:dyDescent="0.3"/>
    <row r="28605" s="160" customFormat="1" x14ac:dyDescent="0.3"/>
    <row r="28606" s="160" customFormat="1" x14ac:dyDescent="0.3"/>
    <row r="28607" s="160" customFormat="1" x14ac:dyDescent="0.3"/>
    <row r="28608" s="160" customFormat="1" x14ac:dyDescent="0.3"/>
    <row r="28609" s="160" customFormat="1" x14ac:dyDescent="0.3"/>
    <row r="28610" s="160" customFormat="1" x14ac:dyDescent="0.3"/>
    <row r="28611" s="160" customFormat="1" x14ac:dyDescent="0.3"/>
    <row r="28612" s="160" customFormat="1" x14ac:dyDescent="0.3"/>
    <row r="28613" s="160" customFormat="1" x14ac:dyDescent="0.3"/>
    <row r="28614" s="160" customFormat="1" x14ac:dyDescent="0.3"/>
    <row r="28615" s="160" customFormat="1" x14ac:dyDescent="0.3"/>
    <row r="28616" s="160" customFormat="1" x14ac:dyDescent="0.3"/>
    <row r="28617" s="160" customFormat="1" x14ac:dyDescent="0.3"/>
    <row r="28618" s="160" customFormat="1" x14ac:dyDescent="0.3"/>
    <row r="28619" s="160" customFormat="1" x14ac:dyDescent="0.3"/>
    <row r="28620" s="160" customFormat="1" x14ac:dyDescent="0.3"/>
    <row r="28621" s="160" customFormat="1" x14ac:dyDescent="0.3"/>
    <row r="28622" s="160" customFormat="1" x14ac:dyDescent="0.3"/>
    <row r="28623" s="160" customFormat="1" x14ac:dyDescent="0.3"/>
    <row r="28624" s="160" customFormat="1" x14ac:dyDescent="0.3"/>
    <row r="28625" s="160" customFormat="1" x14ac:dyDescent="0.3"/>
    <row r="28626" s="160" customFormat="1" x14ac:dyDescent="0.3"/>
    <row r="28627" s="160" customFormat="1" x14ac:dyDescent="0.3"/>
    <row r="28628" s="160" customFormat="1" x14ac:dyDescent="0.3"/>
    <row r="28629" s="160" customFormat="1" x14ac:dyDescent="0.3"/>
    <row r="28630" s="160" customFormat="1" x14ac:dyDescent="0.3"/>
    <row r="28631" s="160" customFormat="1" x14ac:dyDescent="0.3"/>
    <row r="28632" s="160" customFormat="1" x14ac:dyDescent="0.3"/>
    <row r="28633" s="160" customFormat="1" x14ac:dyDescent="0.3"/>
    <row r="28634" s="160" customFormat="1" x14ac:dyDescent="0.3"/>
    <row r="28635" s="160" customFormat="1" x14ac:dyDescent="0.3"/>
    <row r="28636" s="160" customFormat="1" x14ac:dyDescent="0.3"/>
    <row r="28637" s="160" customFormat="1" x14ac:dyDescent="0.3"/>
    <row r="28638" s="160" customFormat="1" x14ac:dyDescent="0.3"/>
    <row r="28639" s="160" customFormat="1" x14ac:dyDescent="0.3"/>
    <row r="28640" s="160" customFormat="1" x14ac:dyDescent="0.3"/>
    <row r="28641" s="160" customFormat="1" x14ac:dyDescent="0.3"/>
    <row r="28642" s="160" customFormat="1" x14ac:dyDescent="0.3"/>
    <row r="28643" s="160" customFormat="1" x14ac:dyDescent="0.3"/>
    <row r="28644" s="160" customFormat="1" x14ac:dyDescent="0.3"/>
    <row r="28645" s="160" customFormat="1" x14ac:dyDescent="0.3"/>
    <row r="28646" s="160" customFormat="1" x14ac:dyDescent="0.3"/>
    <row r="28647" s="160" customFormat="1" x14ac:dyDescent="0.3"/>
    <row r="28648" s="160" customFormat="1" x14ac:dyDescent="0.3"/>
    <row r="28649" s="160" customFormat="1" x14ac:dyDescent="0.3"/>
    <row r="28650" s="160" customFormat="1" x14ac:dyDescent="0.3"/>
    <row r="28651" s="160" customFormat="1" x14ac:dyDescent="0.3"/>
    <row r="28652" s="160" customFormat="1" x14ac:dyDescent="0.3"/>
    <row r="28653" s="160" customFormat="1" x14ac:dyDescent="0.3"/>
    <row r="28654" s="160" customFormat="1" x14ac:dyDescent="0.3"/>
    <row r="28655" s="160" customFormat="1" x14ac:dyDescent="0.3"/>
    <row r="28656" s="160" customFormat="1" x14ac:dyDescent="0.3"/>
    <row r="28657" s="160" customFormat="1" x14ac:dyDescent="0.3"/>
    <row r="28658" s="160" customFormat="1" x14ac:dyDescent="0.3"/>
    <row r="28659" s="160" customFormat="1" x14ac:dyDescent="0.3"/>
    <row r="28660" s="160" customFormat="1" x14ac:dyDescent="0.3"/>
    <row r="28661" s="160" customFormat="1" x14ac:dyDescent="0.3"/>
    <row r="28662" s="160" customFormat="1" x14ac:dyDescent="0.3"/>
    <row r="28663" s="160" customFormat="1" x14ac:dyDescent="0.3"/>
    <row r="28664" s="160" customFormat="1" x14ac:dyDescent="0.3"/>
    <row r="28665" s="160" customFormat="1" x14ac:dyDescent="0.3"/>
    <row r="28666" s="160" customFormat="1" x14ac:dyDescent="0.3"/>
    <row r="28667" s="160" customFormat="1" x14ac:dyDescent="0.3"/>
    <row r="28668" s="160" customFormat="1" x14ac:dyDescent="0.3"/>
    <row r="28669" s="160" customFormat="1" x14ac:dyDescent="0.3"/>
    <row r="28670" s="160" customFormat="1" x14ac:dyDescent="0.3"/>
    <row r="28671" s="160" customFormat="1" x14ac:dyDescent="0.3"/>
    <row r="28672" s="160" customFormat="1" x14ac:dyDescent="0.3"/>
    <row r="28673" s="160" customFormat="1" x14ac:dyDescent="0.3"/>
    <row r="28674" s="160" customFormat="1" x14ac:dyDescent="0.3"/>
    <row r="28675" s="160" customFormat="1" x14ac:dyDescent="0.3"/>
    <row r="28676" s="160" customFormat="1" x14ac:dyDescent="0.3"/>
    <row r="28677" s="160" customFormat="1" x14ac:dyDescent="0.3"/>
    <row r="28678" s="160" customFormat="1" x14ac:dyDescent="0.3"/>
    <row r="28679" s="160" customFormat="1" x14ac:dyDescent="0.3"/>
    <row r="28680" s="160" customFormat="1" x14ac:dyDescent="0.3"/>
    <row r="28681" s="160" customFormat="1" x14ac:dyDescent="0.3"/>
    <row r="28682" s="160" customFormat="1" x14ac:dyDescent="0.3"/>
    <row r="28683" s="160" customFormat="1" x14ac:dyDescent="0.3"/>
    <row r="28684" s="160" customFormat="1" x14ac:dyDescent="0.3"/>
    <row r="28685" s="160" customFormat="1" x14ac:dyDescent="0.3"/>
    <row r="28686" s="160" customFormat="1" x14ac:dyDescent="0.3"/>
    <row r="28687" s="160" customFormat="1" x14ac:dyDescent="0.3"/>
    <row r="28688" s="160" customFormat="1" x14ac:dyDescent="0.3"/>
    <row r="28689" s="160" customFormat="1" x14ac:dyDescent="0.3"/>
    <row r="28690" s="160" customFormat="1" x14ac:dyDescent="0.3"/>
    <row r="28691" s="160" customFormat="1" x14ac:dyDescent="0.3"/>
    <row r="28692" s="160" customFormat="1" x14ac:dyDescent="0.3"/>
    <row r="28693" s="160" customFormat="1" x14ac:dyDescent="0.3"/>
    <row r="28694" s="160" customFormat="1" x14ac:dyDescent="0.3"/>
    <row r="28695" s="160" customFormat="1" x14ac:dyDescent="0.3"/>
    <row r="28696" s="160" customFormat="1" x14ac:dyDescent="0.3"/>
    <row r="28697" s="160" customFormat="1" x14ac:dyDescent="0.3"/>
    <row r="28698" s="160" customFormat="1" x14ac:dyDescent="0.3"/>
    <row r="28699" s="160" customFormat="1" x14ac:dyDescent="0.3"/>
    <row r="28700" s="160" customFormat="1" x14ac:dyDescent="0.3"/>
    <row r="28701" s="160" customFormat="1" x14ac:dyDescent="0.3"/>
    <row r="28702" s="160" customFormat="1" x14ac:dyDescent="0.3"/>
    <row r="28703" s="160" customFormat="1" x14ac:dyDescent="0.3"/>
    <row r="28704" s="160" customFormat="1" x14ac:dyDescent="0.3"/>
    <row r="28705" s="160" customFormat="1" x14ac:dyDescent="0.3"/>
    <row r="28706" s="160" customFormat="1" x14ac:dyDescent="0.3"/>
    <row r="28707" s="160" customFormat="1" x14ac:dyDescent="0.3"/>
    <row r="28708" s="160" customFormat="1" x14ac:dyDescent="0.3"/>
    <row r="28709" s="160" customFormat="1" x14ac:dyDescent="0.3"/>
    <row r="28710" s="160" customFormat="1" x14ac:dyDescent="0.3"/>
    <row r="28711" s="160" customFormat="1" x14ac:dyDescent="0.3"/>
    <row r="28712" s="160" customFormat="1" x14ac:dyDescent="0.3"/>
    <row r="28713" s="160" customFormat="1" x14ac:dyDescent="0.3"/>
    <row r="28714" s="160" customFormat="1" x14ac:dyDescent="0.3"/>
    <row r="28715" s="160" customFormat="1" x14ac:dyDescent="0.3"/>
    <row r="28716" s="160" customFormat="1" x14ac:dyDescent="0.3"/>
    <row r="28717" s="160" customFormat="1" x14ac:dyDescent="0.3"/>
    <row r="28718" s="160" customFormat="1" x14ac:dyDescent="0.3"/>
    <row r="28719" s="160" customFormat="1" x14ac:dyDescent="0.3"/>
    <row r="28720" s="160" customFormat="1" x14ac:dyDescent="0.3"/>
    <row r="28721" s="160" customFormat="1" x14ac:dyDescent="0.3"/>
    <row r="28722" s="160" customFormat="1" x14ac:dyDescent="0.3"/>
    <row r="28723" s="160" customFormat="1" x14ac:dyDescent="0.3"/>
    <row r="28724" s="160" customFormat="1" x14ac:dyDescent="0.3"/>
    <row r="28725" s="160" customFormat="1" x14ac:dyDescent="0.3"/>
    <row r="28726" s="160" customFormat="1" x14ac:dyDescent="0.3"/>
    <row r="28727" s="160" customFormat="1" x14ac:dyDescent="0.3"/>
    <row r="28728" s="160" customFormat="1" x14ac:dyDescent="0.3"/>
    <row r="28729" s="160" customFormat="1" x14ac:dyDescent="0.3"/>
    <row r="28730" s="160" customFormat="1" x14ac:dyDescent="0.3"/>
    <row r="28731" s="160" customFormat="1" x14ac:dyDescent="0.3"/>
    <row r="28732" s="160" customFormat="1" x14ac:dyDescent="0.3"/>
    <row r="28733" s="160" customFormat="1" x14ac:dyDescent="0.3"/>
    <row r="28734" s="160" customFormat="1" x14ac:dyDescent="0.3"/>
    <row r="28735" s="160" customFormat="1" x14ac:dyDescent="0.3"/>
    <row r="28736" s="160" customFormat="1" x14ac:dyDescent="0.3"/>
    <row r="28737" s="160" customFormat="1" x14ac:dyDescent="0.3"/>
    <row r="28738" s="160" customFormat="1" x14ac:dyDescent="0.3"/>
    <row r="28739" s="160" customFormat="1" x14ac:dyDescent="0.3"/>
    <row r="28740" s="160" customFormat="1" x14ac:dyDescent="0.3"/>
    <row r="28741" s="160" customFormat="1" x14ac:dyDescent="0.3"/>
    <row r="28742" s="160" customFormat="1" x14ac:dyDescent="0.3"/>
    <row r="28743" s="160" customFormat="1" x14ac:dyDescent="0.3"/>
    <row r="28744" s="160" customFormat="1" x14ac:dyDescent="0.3"/>
    <row r="28745" s="160" customFormat="1" x14ac:dyDescent="0.3"/>
    <row r="28746" s="160" customFormat="1" x14ac:dyDescent="0.3"/>
    <row r="28747" s="160" customFormat="1" x14ac:dyDescent="0.3"/>
    <row r="28748" s="160" customFormat="1" x14ac:dyDescent="0.3"/>
    <row r="28749" s="160" customFormat="1" x14ac:dyDescent="0.3"/>
    <row r="28750" s="160" customFormat="1" x14ac:dyDescent="0.3"/>
    <row r="28751" s="160" customFormat="1" x14ac:dyDescent="0.3"/>
    <row r="28752" s="160" customFormat="1" x14ac:dyDescent="0.3"/>
    <row r="28753" s="160" customFormat="1" x14ac:dyDescent="0.3"/>
    <row r="28754" s="160" customFormat="1" x14ac:dyDescent="0.3"/>
    <row r="28755" s="160" customFormat="1" x14ac:dyDescent="0.3"/>
    <row r="28756" s="160" customFormat="1" x14ac:dyDescent="0.3"/>
    <row r="28757" s="160" customFormat="1" x14ac:dyDescent="0.3"/>
    <row r="28758" s="160" customFormat="1" x14ac:dyDescent="0.3"/>
    <row r="28759" s="160" customFormat="1" x14ac:dyDescent="0.3"/>
    <row r="28760" s="160" customFormat="1" x14ac:dyDescent="0.3"/>
    <row r="28761" s="160" customFormat="1" x14ac:dyDescent="0.3"/>
    <row r="28762" s="160" customFormat="1" x14ac:dyDescent="0.3"/>
    <row r="28763" s="160" customFormat="1" x14ac:dyDescent="0.3"/>
    <row r="28764" s="160" customFormat="1" x14ac:dyDescent="0.3"/>
    <row r="28765" s="160" customFormat="1" x14ac:dyDescent="0.3"/>
    <row r="28766" s="160" customFormat="1" x14ac:dyDescent="0.3"/>
    <row r="28767" s="160" customFormat="1" x14ac:dyDescent="0.3"/>
    <row r="28768" s="160" customFormat="1" x14ac:dyDescent="0.3"/>
    <row r="28769" s="160" customFormat="1" x14ac:dyDescent="0.3"/>
    <row r="28770" s="160" customFormat="1" x14ac:dyDescent="0.3"/>
    <row r="28771" s="160" customFormat="1" x14ac:dyDescent="0.3"/>
    <row r="28772" s="160" customFormat="1" x14ac:dyDescent="0.3"/>
    <row r="28773" s="160" customFormat="1" x14ac:dyDescent="0.3"/>
    <row r="28774" s="160" customFormat="1" x14ac:dyDescent="0.3"/>
    <row r="28775" s="160" customFormat="1" x14ac:dyDescent="0.3"/>
    <row r="28776" s="160" customFormat="1" x14ac:dyDescent="0.3"/>
    <row r="28777" s="160" customFormat="1" x14ac:dyDescent="0.3"/>
    <row r="28778" s="160" customFormat="1" x14ac:dyDescent="0.3"/>
    <row r="28779" s="160" customFormat="1" x14ac:dyDescent="0.3"/>
    <row r="28780" s="160" customFormat="1" x14ac:dyDescent="0.3"/>
    <row r="28781" s="160" customFormat="1" x14ac:dyDescent="0.3"/>
    <row r="28782" s="160" customFormat="1" x14ac:dyDescent="0.3"/>
    <row r="28783" s="160" customFormat="1" x14ac:dyDescent="0.3"/>
    <row r="28784" s="160" customFormat="1" x14ac:dyDescent="0.3"/>
    <row r="28785" s="160" customFormat="1" x14ac:dyDescent="0.3"/>
    <row r="28786" s="160" customFormat="1" x14ac:dyDescent="0.3"/>
    <row r="28787" s="160" customFormat="1" x14ac:dyDescent="0.3"/>
    <row r="28788" s="160" customFormat="1" x14ac:dyDescent="0.3"/>
    <row r="28789" s="160" customFormat="1" x14ac:dyDescent="0.3"/>
    <row r="28790" s="160" customFormat="1" x14ac:dyDescent="0.3"/>
    <row r="28791" s="160" customFormat="1" x14ac:dyDescent="0.3"/>
    <row r="28792" s="160" customFormat="1" x14ac:dyDescent="0.3"/>
    <row r="28793" s="160" customFormat="1" x14ac:dyDescent="0.3"/>
    <row r="28794" s="160" customFormat="1" x14ac:dyDescent="0.3"/>
    <row r="28795" s="160" customFormat="1" x14ac:dyDescent="0.3"/>
    <row r="28796" s="160" customFormat="1" x14ac:dyDescent="0.3"/>
    <row r="28797" s="160" customFormat="1" x14ac:dyDescent="0.3"/>
    <row r="28798" s="160" customFormat="1" x14ac:dyDescent="0.3"/>
    <row r="28799" s="160" customFormat="1" x14ac:dyDescent="0.3"/>
    <row r="28800" s="160" customFormat="1" x14ac:dyDescent="0.3"/>
    <row r="28801" s="160" customFormat="1" x14ac:dyDescent="0.3"/>
    <row r="28802" s="160" customFormat="1" x14ac:dyDescent="0.3"/>
    <row r="28803" s="160" customFormat="1" x14ac:dyDescent="0.3"/>
    <row r="28804" s="160" customFormat="1" x14ac:dyDescent="0.3"/>
    <row r="28805" s="160" customFormat="1" x14ac:dyDescent="0.3"/>
    <row r="28806" s="160" customFormat="1" x14ac:dyDescent="0.3"/>
    <row r="28807" s="160" customFormat="1" x14ac:dyDescent="0.3"/>
    <row r="28808" s="160" customFormat="1" x14ac:dyDescent="0.3"/>
    <row r="28809" s="160" customFormat="1" x14ac:dyDescent="0.3"/>
    <row r="28810" s="160" customFormat="1" x14ac:dyDescent="0.3"/>
    <row r="28811" s="160" customFormat="1" x14ac:dyDescent="0.3"/>
    <row r="28812" s="160" customFormat="1" x14ac:dyDescent="0.3"/>
    <row r="28813" s="160" customFormat="1" x14ac:dyDescent="0.3"/>
    <row r="28814" s="160" customFormat="1" x14ac:dyDescent="0.3"/>
    <row r="28815" s="160" customFormat="1" x14ac:dyDescent="0.3"/>
    <row r="28816" s="160" customFormat="1" x14ac:dyDescent="0.3"/>
    <row r="28817" s="160" customFormat="1" x14ac:dyDescent="0.3"/>
    <row r="28818" s="160" customFormat="1" x14ac:dyDescent="0.3"/>
    <row r="28819" s="160" customFormat="1" x14ac:dyDescent="0.3"/>
    <row r="28820" s="160" customFormat="1" x14ac:dyDescent="0.3"/>
    <row r="28821" s="160" customFormat="1" x14ac:dyDescent="0.3"/>
    <row r="28822" s="160" customFormat="1" x14ac:dyDescent="0.3"/>
    <row r="28823" s="160" customFormat="1" x14ac:dyDescent="0.3"/>
    <row r="28824" s="160" customFormat="1" x14ac:dyDescent="0.3"/>
    <row r="28825" s="160" customFormat="1" x14ac:dyDescent="0.3"/>
    <row r="28826" s="160" customFormat="1" x14ac:dyDescent="0.3"/>
    <row r="28827" s="160" customFormat="1" x14ac:dyDescent="0.3"/>
    <row r="28828" s="160" customFormat="1" x14ac:dyDescent="0.3"/>
    <row r="28829" s="160" customFormat="1" x14ac:dyDescent="0.3"/>
    <row r="28830" s="160" customFormat="1" x14ac:dyDescent="0.3"/>
    <row r="28831" s="160" customFormat="1" x14ac:dyDescent="0.3"/>
    <row r="28832" s="160" customFormat="1" x14ac:dyDescent="0.3"/>
    <row r="28833" s="160" customFormat="1" x14ac:dyDescent="0.3"/>
    <row r="28834" s="160" customFormat="1" x14ac:dyDescent="0.3"/>
    <row r="28835" s="160" customFormat="1" x14ac:dyDescent="0.3"/>
    <row r="28836" s="160" customFormat="1" x14ac:dyDescent="0.3"/>
    <row r="28837" s="160" customFormat="1" x14ac:dyDescent="0.3"/>
    <row r="28838" s="160" customFormat="1" x14ac:dyDescent="0.3"/>
    <row r="28839" s="160" customFormat="1" x14ac:dyDescent="0.3"/>
    <row r="28840" s="160" customFormat="1" x14ac:dyDescent="0.3"/>
    <row r="28841" s="160" customFormat="1" x14ac:dyDescent="0.3"/>
    <row r="28842" s="160" customFormat="1" x14ac:dyDescent="0.3"/>
    <row r="28843" s="160" customFormat="1" x14ac:dyDescent="0.3"/>
    <row r="28844" s="160" customFormat="1" x14ac:dyDescent="0.3"/>
    <row r="28845" s="160" customFormat="1" x14ac:dyDescent="0.3"/>
    <row r="28846" s="160" customFormat="1" x14ac:dyDescent="0.3"/>
    <row r="28847" s="160" customFormat="1" x14ac:dyDescent="0.3"/>
    <row r="28848" s="160" customFormat="1" x14ac:dyDescent="0.3"/>
    <row r="28849" s="160" customFormat="1" x14ac:dyDescent="0.3"/>
    <row r="28850" s="160" customFormat="1" x14ac:dyDescent="0.3"/>
    <row r="28851" s="160" customFormat="1" x14ac:dyDescent="0.3"/>
    <row r="28852" s="160" customFormat="1" x14ac:dyDescent="0.3"/>
    <row r="28853" s="160" customFormat="1" x14ac:dyDescent="0.3"/>
    <row r="28854" s="160" customFormat="1" x14ac:dyDescent="0.3"/>
    <row r="28855" s="160" customFormat="1" x14ac:dyDescent="0.3"/>
    <row r="28856" s="160" customFormat="1" x14ac:dyDescent="0.3"/>
    <row r="28857" s="160" customFormat="1" x14ac:dyDescent="0.3"/>
    <row r="28858" s="160" customFormat="1" x14ac:dyDescent="0.3"/>
    <row r="28859" s="160" customFormat="1" x14ac:dyDescent="0.3"/>
    <row r="28860" s="160" customFormat="1" x14ac:dyDescent="0.3"/>
    <row r="28861" s="160" customFormat="1" x14ac:dyDescent="0.3"/>
    <row r="28862" s="160" customFormat="1" x14ac:dyDescent="0.3"/>
    <row r="28863" s="160" customFormat="1" x14ac:dyDescent="0.3"/>
    <row r="28864" s="160" customFormat="1" x14ac:dyDescent="0.3"/>
    <row r="28865" s="160" customFormat="1" x14ac:dyDescent="0.3"/>
    <row r="28866" s="160" customFormat="1" x14ac:dyDescent="0.3"/>
    <row r="28867" s="160" customFormat="1" x14ac:dyDescent="0.3"/>
    <row r="28868" s="160" customFormat="1" x14ac:dyDescent="0.3"/>
    <row r="28869" s="160" customFormat="1" x14ac:dyDescent="0.3"/>
    <row r="28870" s="160" customFormat="1" x14ac:dyDescent="0.3"/>
    <row r="28871" s="160" customFormat="1" x14ac:dyDescent="0.3"/>
    <row r="28872" s="160" customFormat="1" x14ac:dyDescent="0.3"/>
    <row r="28873" s="160" customFormat="1" x14ac:dyDescent="0.3"/>
    <row r="28874" s="160" customFormat="1" x14ac:dyDescent="0.3"/>
    <row r="28875" s="160" customFormat="1" x14ac:dyDescent="0.3"/>
    <row r="28876" s="160" customFormat="1" x14ac:dyDescent="0.3"/>
    <row r="28877" s="160" customFormat="1" x14ac:dyDescent="0.3"/>
    <row r="28878" s="160" customFormat="1" x14ac:dyDescent="0.3"/>
    <row r="28879" s="160" customFormat="1" x14ac:dyDescent="0.3"/>
    <row r="28880" s="160" customFormat="1" x14ac:dyDescent="0.3"/>
    <row r="28881" s="160" customFormat="1" x14ac:dyDescent="0.3"/>
    <row r="28882" s="160" customFormat="1" x14ac:dyDescent="0.3"/>
    <row r="28883" s="160" customFormat="1" x14ac:dyDescent="0.3"/>
    <row r="28884" s="160" customFormat="1" x14ac:dyDescent="0.3"/>
    <row r="28885" s="160" customFormat="1" x14ac:dyDescent="0.3"/>
    <row r="28886" s="160" customFormat="1" x14ac:dyDescent="0.3"/>
    <row r="28887" s="160" customFormat="1" x14ac:dyDescent="0.3"/>
    <row r="28888" s="160" customFormat="1" x14ac:dyDescent="0.3"/>
    <row r="28889" s="160" customFormat="1" x14ac:dyDescent="0.3"/>
    <row r="28890" s="160" customFormat="1" x14ac:dyDescent="0.3"/>
    <row r="28891" s="160" customFormat="1" x14ac:dyDescent="0.3"/>
    <row r="28892" s="160" customFormat="1" x14ac:dyDescent="0.3"/>
    <row r="28893" s="160" customFormat="1" x14ac:dyDescent="0.3"/>
    <row r="28894" s="160" customFormat="1" x14ac:dyDescent="0.3"/>
    <row r="28895" s="160" customFormat="1" x14ac:dyDescent="0.3"/>
    <row r="28896" s="160" customFormat="1" x14ac:dyDescent="0.3"/>
    <row r="28897" s="160" customFormat="1" x14ac:dyDescent="0.3"/>
    <row r="28898" s="160" customFormat="1" x14ac:dyDescent="0.3"/>
    <row r="28899" s="160" customFormat="1" x14ac:dyDescent="0.3"/>
    <row r="28900" s="160" customFormat="1" x14ac:dyDescent="0.3"/>
    <row r="28901" s="160" customFormat="1" x14ac:dyDescent="0.3"/>
    <row r="28902" s="160" customFormat="1" x14ac:dyDescent="0.3"/>
    <row r="28903" s="160" customFormat="1" x14ac:dyDescent="0.3"/>
    <row r="28904" s="160" customFormat="1" x14ac:dyDescent="0.3"/>
    <row r="28905" s="160" customFormat="1" x14ac:dyDescent="0.3"/>
    <row r="28906" s="160" customFormat="1" x14ac:dyDescent="0.3"/>
    <row r="28907" s="160" customFormat="1" x14ac:dyDescent="0.3"/>
    <row r="28908" s="160" customFormat="1" x14ac:dyDescent="0.3"/>
    <row r="28909" s="160" customFormat="1" x14ac:dyDescent="0.3"/>
    <row r="28910" s="160" customFormat="1" x14ac:dyDescent="0.3"/>
    <row r="28911" s="160" customFormat="1" x14ac:dyDescent="0.3"/>
    <row r="28912" s="160" customFormat="1" x14ac:dyDescent="0.3"/>
    <row r="28913" s="160" customFormat="1" x14ac:dyDescent="0.3"/>
    <row r="28914" s="160" customFormat="1" x14ac:dyDescent="0.3"/>
    <row r="28915" s="160" customFormat="1" x14ac:dyDescent="0.3"/>
    <row r="28916" s="160" customFormat="1" x14ac:dyDescent="0.3"/>
    <row r="28917" s="160" customFormat="1" x14ac:dyDescent="0.3"/>
    <row r="28918" s="160" customFormat="1" x14ac:dyDescent="0.3"/>
    <row r="28919" s="160" customFormat="1" x14ac:dyDescent="0.3"/>
    <row r="28920" s="160" customFormat="1" x14ac:dyDescent="0.3"/>
    <row r="28921" s="160" customFormat="1" x14ac:dyDescent="0.3"/>
    <row r="28922" s="160" customFormat="1" x14ac:dyDescent="0.3"/>
    <row r="28923" s="160" customFormat="1" x14ac:dyDescent="0.3"/>
    <row r="28924" s="160" customFormat="1" x14ac:dyDescent="0.3"/>
    <row r="28925" s="160" customFormat="1" x14ac:dyDescent="0.3"/>
    <row r="28926" s="160" customFormat="1" x14ac:dyDescent="0.3"/>
    <row r="28927" s="160" customFormat="1" x14ac:dyDescent="0.3"/>
    <row r="28928" s="160" customFormat="1" x14ac:dyDescent="0.3"/>
    <row r="28929" s="160" customFormat="1" x14ac:dyDescent="0.3"/>
    <row r="28930" s="160" customFormat="1" x14ac:dyDescent="0.3"/>
    <row r="28931" s="160" customFormat="1" x14ac:dyDescent="0.3"/>
    <row r="28932" s="160" customFormat="1" x14ac:dyDescent="0.3"/>
    <row r="28933" s="160" customFormat="1" x14ac:dyDescent="0.3"/>
    <row r="28934" s="160" customFormat="1" x14ac:dyDescent="0.3"/>
    <row r="28935" s="160" customFormat="1" x14ac:dyDescent="0.3"/>
    <row r="28936" s="160" customFormat="1" x14ac:dyDescent="0.3"/>
    <row r="28937" s="160" customFormat="1" x14ac:dyDescent="0.3"/>
    <row r="28938" s="160" customFormat="1" x14ac:dyDescent="0.3"/>
    <row r="28939" s="160" customFormat="1" x14ac:dyDescent="0.3"/>
    <row r="28940" s="160" customFormat="1" x14ac:dyDescent="0.3"/>
    <row r="28941" s="160" customFormat="1" x14ac:dyDescent="0.3"/>
    <row r="28942" s="160" customFormat="1" x14ac:dyDescent="0.3"/>
    <row r="28943" s="160" customFormat="1" x14ac:dyDescent="0.3"/>
    <row r="28944" s="160" customFormat="1" x14ac:dyDescent="0.3"/>
    <row r="28945" s="160" customFormat="1" x14ac:dyDescent="0.3"/>
    <row r="28946" s="160" customFormat="1" x14ac:dyDescent="0.3"/>
    <row r="28947" s="160" customFormat="1" x14ac:dyDescent="0.3"/>
    <row r="28948" s="160" customFormat="1" x14ac:dyDescent="0.3"/>
    <row r="28949" s="160" customFormat="1" x14ac:dyDescent="0.3"/>
    <row r="28950" s="160" customFormat="1" x14ac:dyDescent="0.3"/>
    <row r="28951" s="160" customFormat="1" x14ac:dyDescent="0.3"/>
    <row r="28952" s="160" customFormat="1" x14ac:dyDescent="0.3"/>
    <row r="28953" s="160" customFormat="1" x14ac:dyDescent="0.3"/>
    <row r="28954" s="160" customFormat="1" x14ac:dyDescent="0.3"/>
    <row r="28955" s="160" customFormat="1" x14ac:dyDescent="0.3"/>
    <row r="28956" s="160" customFormat="1" x14ac:dyDescent="0.3"/>
    <row r="28957" s="160" customFormat="1" x14ac:dyDescent="0.3"/>
    <row r="28958" s="160" customFormat="1" x14ac:dyDescent="0.3"/>
    <row r="28959" s="160" customFormat="1" x14ac:dyDescent="0.3"/>
    <row r="28960" s="160" customFormat="1" x14ac:dyDescent="0.3"/>
    <row r="28961" s="160" customFormat="1" x14ac:dyDescent="0.3"/>
    <row r="28962" s="160" customFormat="1" x14ac:dyDescent="0.3"/>
    <row r="28963" s="160" customFormat="1" x14ac:dyDescent="0.3"/>
    <row r="28964" s="160" customFormat="1" x14ac:dyDescent="0.3"/>
    <row r="28965" s="160" customFormat="1" x14ac:dyDescent="0.3"/>
    <row r="28966" s="160" customFormat="1" x14ac:dyDescent="0.3"/>
    <row r="28967" s="160" customFormat="1" x14ac:dyDescent="0.3"/>
    <row r="28968" s="160" customFormat="1" x14ac:dyDescent="0.3"/>
    <row r="28969" s="160" customFormat="1" x14ac:dyDescent="0.3"/>
    <row r="28970" s="160" customFormat="1" x14ac:dyDescent="0.3"/>
    <row r="28971" s="160" customFormat="1" x14ac:dyDescent="0.3"/>
    <row r="28972" s="160" customFormat="1" x14ac:dyDescent="0.3"/>
    <row r="28973" s="160" customFormat="1" x14ac:dyDescent="0.3"/>
    <row r="28974" s="160" customFormat="1" x14ac:dyDescent="0.3"/>
    <row r="28975" s="160" customFormat="1" x14ac:dyDescent="0.3"/>
    <row r="28976" s="160" customFormat="1" x14ac:dyDescent="0.3"/>
    <row r="28977" s="160" customFormat="1" x14ac:dyDescent="0.3"/>
    <row r="28978" s="160" customFormat="1" x14ac:dyDescent="0.3"/>
    <row r="28979" s="160" customFormat="1" x14ac:dyDescent="0.3"/>
    <row r="28980" s="160" customFormat="1" x14ac:dyDescent="0.3"/>
    <row r="28981" s="160" customFormat="1" x14ac:dyDescent="0.3"/>
    <row r="28982" s="160" customFormat="1" x14ac:dyDescent="0.3"/>
    <row r="28983" s="160" customFormat="1" x14ac:dyDescent="0.3"/>
    <row r="28984" s="160" customFormat="1" x14ac:dyDescent="0.3"/>
    <row r="28985" s="160" customFormat="1" x14ac:dyDescent="0.3"/>
    <row r="28986" s="160" customFormat="1" x14ac:dyDescent="0.3"/>
    <row r="28987" s="160" customFormat="1" x14ac:dyDescent="0.3"/>
    <row r="28988" s="160" customFormat="1" x14ac:dyDescent="0.3"/>
    <row r="28989" s="160" customFormat="1" x14ac:dyDescent="0.3"/>
    <row r="28990" s="160" customFormat="1" x14ac:dyDescent="0.3"/>
    <row r="28991" s="160" customFormat="1" x14ac:dyDescent="0.3"/>
    <row r="28992" s="160" customFormat="1" x14ac:dyDescent="0.3"/>
    <row r="28993" s="160" customFormat="1" x14ac:dyDescent="0.3"/>
    <row r="28994" s="160" customFormat="1" x14ac:dyDescent="0.3"/>
    <row r="28995" s="160" customFormat="1" x14ac:dyDescent="0.3"/>
    <row r="28996" s="160" customFormat="1" x14ac:dyDescent="0.3"/>
    <row r="28997" s="160" customFormat="1" x14ac:dyDescent="0.3"/>
    <row r="28998" s="160" customFormat="1" x14ac:dyDescent="0.3"/>
    <row r="28999" s="160" customFormat="1" x14ac:dyDescent="0.3"/>
    <row r="29000" s="160" customFormat="1" x14ac:dyDescent="0.3"/>
    <row r="29001" s="160" customFormat="1" x14ac:dyDescent="0.3"/>
    <row r="29002" s="160" customFormat="1" x14ac:dyDescent="0.3"/>
    <row r="29003" s="160" customFormat="1" x14ac:dyDescent="0.3"/>
    <row r="29004" s="160" customFormat="1" x14ac:dyDescent="0.3"/>
    <row r="29005" s="160" customFormat="1" x14ac:dyDescent="0.3"/>
    <row r="29006" s="160" customFormat="1" x14ac:dyDescent="0.3"/>
    <row r="29007" s="160" customFormat="1" x14ac:dyDescent="0.3"/>
    <row r="29008" s="160" customFormat="1" x14ac:dyDescent="0.3"/>
    <row r="29009" s="160" customFormat="1" x14ac:dyDescent="0.3"/>
    <row r="29010" s="160" customFormat="1" x14ac:dyDescent="0.3"/>
    <row r="29011" s="160" customFormat="1" x14ac:dyDescent="0.3"/>
    <row r="29012" s="160" customFormat="1" x14ac:dyDescent="0.3"/>
    <row r="29013" s="160" customFormat="1" x14ac:dyDescent="0.3"/>
    <row r="29014" s="160" customFormat="1" x14ac:dyDescent="0.3"/>
    <row r="29015" s="160" customFormat="1" x14ac:dyDescent="0.3"/>
    <row r="29016" s="160" customFormat="1" x14ac:dyDescent="0.3"/>
    <row r="29017" s="160" customFormat="1" x14ac:dyDescent="0.3"/>
    <row r="29018" s="160" customFormat="1" x14ac:dyDescent="0.3"/>
    <row r="29019" s="160" customFormat="1" x14ac:dyDescent="0.3"/>
    <row r="29020" s="160" customFormat="1" x14ac:dyDescent="0.3"/>
    <row r="29021" s="160" customFormat="1" x14ac:dyDescent="0.3"/>
    <row r="29022" s="160" customFormat="1" x14ac:dyDescent="0.3"/>
    <row r="29023" s="160" customFormat="1" x14ac:dyDescent="0.3"/>
    <row r="29024" s="160" customFormat="1" x14ac:dyDescent="0.3"/>
    <row r="29025" s="160" customFormat="1" x14ac:dyDescent="0.3"/>
    <row r="29026" s="160" customFormat="1" x14ac:dyDescent="0.3"/>
    <row r="29027" s="160" customFormat="1" x14ac:dyDescent="0.3"/>
    <row r="29028" s="160" customFormat="1" x14ac:dyDescent="0.3"/>
    <row r="29029" s="160" customFormat="1" x14ac:dyDescent="0.3"/>
    <row r="29030" s="160" customFormat="1" x14ac:dyDescent="0.3"/>
    <row r="29031" s="160" customFormat="1" x14ac:dyDescent="0.3"/>
    <row r="29032" s="160" customFormat="1" x14ac:dyDescent="0.3"/>
    <row r="29033" s="160" customFormat="1" x14ac:dyDescent="0.3"/>
    <row r="29034" s="160" customFormat="1" x14ac:dyDescent="0.3"/>
    <row r="29035" s="160" customFormat="1" x14ac:dyDescent="0.3"/>
    <row r="29036" s="160" customFormat="1" x14ac:dyDescent="0.3"/>
    <row r="29037" s="160" customFormat="1" x14ac:dyDescent="0.3"/>
    <row r="29038" s="160" customFormat="1" x14ac:dyDescent="0.3"/>
    <row r="29039" s="160" customFormat="1" x14ac:dyDescent="0.3"/>
    <row r="29040" s="160" customFormat="1" x14ac:dyDescent="0.3"/>
    <row r="29041" s="160" customFormat="1" x14ac:dyDescent="0.3"/>
    <row r="29042" s="160" customFormat="1" x14ac:dyDescent="0.3"/>
    <row r="29043" s="160" customFormat="1" x14ac:dyDescent="0.3"/>
    <row r="29044" s="160" customFormat="1" x14ac:dyDescent="0.3"/>
    <row r="29045" s="160" customFormat="1" x14ac:dyDescent="0.3"/>
    <row r="29046" s="160" customFormat="1" x14ac:dyDescent="0.3"/>
    <row r="29047" s="160" customFormat="1" x14ac:dyDescent="0.3"/>
    <row r="29048" s="160" customFormat="1" x14ac:dyDescent="0.3"/>
    <row r="29049" s="160" customFormat="1" x14ac:dyDescent="0.3"/>
    <row r="29050" s="160" customFormat="1" x14ac:dyDescent="0.3"/>
    <row r="29051" s="160" customFormat="1" x14ac:dyDescent="0.3"/>
    <row r="29052" s="160" customFormat="1" x14ac:dyDescent="0.3"/>
    <row r="29053" s="160" customFormat="1" x14ac:dyDescent="0.3"/>
    <row r="29054" s="160" customFormat="1" x14ac:dyDescent="0.3"/>
    <row r="29055" s="160" customFormat="1" x14ac:dyDescent="0.3"/>
    <row r="29056" s="160" customFormat="1" x14ac:dyDescent="0.3"/>
    <row r="29057" s="160" customFormat="1" x14ac:dyDescent="0.3"/>
    <row r="29058" s="160" customFormat="1" x14ac:dyDescent="0.3"/>
    <row r="29059" s="160" customFormat="1" x14ac:dyDescent="0.3"/>
    <row r="29060" s="160" customFormat="1" x14ac:dyDescent="0.3"/>
    <row r="29061" s="160" customFormat="1" x14ac:dyDescent="0.3"/>
    <row r="29062" s="160" customFormat="1" x14ac:dyDescent="0.3"/>
    <row r="29063" s="160" customFormat="1" x14ac:dyDescent="0.3"/>
    <row r="29064" s="160" customFormat="1" x14ac:dyDescent="0.3"/>
    <row r="29065" s="160" customFormat="1" x14ac:dyDescent="0.3"/>
    <row r="29066" s="160" customFormat="1" x14ac:dyDescent="0.3"/>
    <row r="29067" s="160" customFormat="1" x14ac:dyDescent="0.3"/>
    <row r="29068" s="160" customFormat="1" x14ac:dyDescent="0.3"/>
    <row r="29069" s="160" customFormat="1" x14ac:dyDescent="0.3"/>
    <row r="29070" s="160" customFormat="1" x14ac:dyDescent="0.3"/>
    <row r="29071" s="160" customFormat="1" x14ac:dyDescent="0.3"/>
    <row r="29072" s="160" customFormat="1" x14ac:dyDescent="0.3"/>
    <row r="29073" s="160" customFormat="1" x14ac:dyDescent="0.3"/>
    <row r="29074" s="160" customFormat="1" x14ac:dyDescent="0.3"/>
    <row r="29075" s="160" customFormat="1" x14ac:dyDescent="0.3"/>
    <row r="29076" s="160" customFormat="1" x14ac:dyDescent="0.3"/>
    <row r="29077" s="160" customFormat="1" x14ac:dyDescent="0.3"/>
    <row r="29078" s="160" customFormat="1" x14ac:dyDescent="0.3"/>
    <row r="29079" s="160" customFormat="1" x14ac:dyDescent="0.3"/>
    <row r="29080" s="160" customFormat="1" x14ac:dyDescent="0.3"/>
    <row r="29081" s="160" customFormat="1" x14ac:dyDescent="0.3"/>
    <row r="29082" s="160" customFormat="1" x14ac:dyDescent="0.3"/>
    <row r="29083" s="160" customFormat="1" x14ac:dyDescent="0.3"/>
    <row r="29084" s="160" customFormat="1" x14ac:dyDescent="0.3"/>
    <row r="29085" s="160" customFormat="1" x14ac:dyDescent="0.3"/>
    <row r="29086" s="160" customFormat="1" x14ac:dyDescent="0.3"/>
    <row r="29087" s="160" customFormat="1" x14ac:dyDescent="0.3"/>
    <row r="29088" s="160" customFormat="1" x14ac:dyDescent="0.3"/>
    <row r="29089" s="160" customFormat="1" x14ac:dyDescent="0.3"/>
    <row r="29090" s="160" customFormat="1" x14ac:dyDescent="0.3"/>
    <row r="29091" s="160" customFormat="1" x14ac:dyDescent="0.3"/>
    <row r="29092" s="160" customFormat="1" x14ac:dyDescent="0.3"/>
    <row r="29093" s="160" customFormat="1" x14ac:dyDescent="0.3"/>
    <row r="29094" s="160" customFormat="1" x14ac:dyDescent="0.3"/>
    <row r="29095" s="160" customFormat="1" x14ac:dyDescent="0.3"/>
    <row r="29096" s="160" customFormat="1" x14ac:dyDescent="0.3"/>
    <row r="29097" s="160" customFormat="1" x14ac:dyDescent="0.3"/>
    <row r="29098" s="160" customFormat="1" x14ac:dyDescent="0.3"/>
    <row r="29099" s="160" customFormat="1" x14ac:dyDescent="0.3"/>
    <row r="29100" s="160" customFormat="1" x14ac:dyDescent="0.3"/>
    <row r="29101" s="160" customFormat="1" x14ac:dyDescent="0.3"/>
    <row r="29102" s="160" customFormat="1" x14ac:dyDescent="0.3"/>
    <row r="29103" s="160" customFormat="1" x14ac:dyDescent="0.3"/>
    <row r="29104" s="160" customFormat="1" x14ac:dyDescent="0.3"/>
    <row r="29105" s="160" customFormat="1" x14ac:dyDescent="0.3"/>
    <row r="29106" s="160" customFormat="1" x14ac:dyDescent="0.3"/>
    <row r="29107" s="160" customFormat="1" x14ac:dyDescent="0.3"/>
    <row r="29108" s="160" customFormat="1" x14ac:dyDescent="0.3"/>
    <row r="29109" s="160" customFormat="1" x14ac:dyDescent="0.3"/>
    <row r="29110" s="160" customFormat="1" x14ac:dyDescent="0.3"/>
    <row r="29111" s="160" customFormat="1" x14ac:dyDescent="0.3"/>
    <row r="29112" s="160" customFormat="1" x14ac:dyDescent="0.3"/>
    <row r="29113" s="160" customFormat="1" x14ac:dyDescent="0.3"/>
    <row r="29114" s="160" customFormat="1" x14ac:dyDescent="0.3"/>
    <row r="29115" s="160" customFormat="1" x14ac:dyDescent="0.3"/>
    <row r="29116" s="160" customFormat="1" x14ac:dyDescent="0.3"/>
    <row r="29117" s="160" customFormat="1" x14ac:dyDescent="0.3"/>
    <row r="29118" s="160" customFormat="1" x14ac:dyDescent="0.3"/>
    <row r="29119" s="160" customFormat="1" x14ac:dyDescent="0.3"/>
    <row r="29120" s="160" customFormat="1" x14ac:dyDescent="0.3"/>
    <row r="29121" s="160" customFormat="1" x14ac:dyDescent="0.3"/>
    <row r="29122" s="160" customFormat="1" x14ac:dyDescent="0.3"/>
    <row r="29123" s="160" customFormat="1" x14ac:dyDescent="0.3"/>
    <row r="29124" s="160" customFormat="1" x14ac:dyDescent="0.3"/>
    <row r="29125" s="160" customFormat="1" x14ac:dyDescent="0.3"/>
    <row r="29126" s="160" customFormat="1" x14ac:dyDescent="0.3"/>
    <row r="29127" s="160" customFormat="1" x14ac:dyDescent="0.3"/>
    <row r="29128" s="160" customFormat="1" x14ac:dyDescent="0.3"/>
    <row r="29129" s="160" customFormat="1" x14ac:dyDescent="0.3"/>
    <row r="29130" s="160" customFormat="1" x14ac:dyDescent="0.3"/>
    <row r="29131" s="160" customFormat="1" x14ac:dyDescent="0.3"/>
    <row r="29132" s="160" customFormat="1" x14ac:dyDescent="0.3"/>
    <row r="29133" s="160" customFormat="1" x14ac:dyDescent="0.3"/>
    <row r="29134" s="160" customFormat="1" x14ac:dyDescent="0.3"/>
    <row r="29135" s="160" customFormat="1" x14ac:dyDescent="0.3"/>
    <row r="29136" s="160" customFormat="1" x14ac:dyDescent="0.3"/>
    <row r="29137" s="160" customFormat="1" x14ac:dyDescent="0.3"/>
    <row r="29138" s="160" customFormat="1" x14ac:dyDescent="0.3"/>
    <row r="29139" s="160" customFormat="1" x14ac:dyDescent="0.3"/>
    <row r="29140" s="160" customFormat="1" x14ac:dyDescent="0.3"/>
    <row r="29141" s="160" customFormat="1" x14ac:dyDescent="0.3"/>
    <row r="29142" s="160" customFormat="1" x14ac:dyDescent="0.3"/>
    <row r="29143" s="160" customFormat="1" x14ac:dyDescent="0.3"/>
    <row r="29144" s="160" customFormat="1" x14ac:dyDescent="0.3"/>
    <row r="29145" s="160" customFormat="1" x14ac:dyDescent="0.3"/>
    <row r="29146" s="160" customFormat="1" x14ac:dyDescent="0.3"/>
    <row r="29147" s="160" customFormat="1" x14ac:dyDescent="0.3"/>
    <row r="29148" s="160" customFormat="1" x14ac:dyDescent="0.3"/>
    <row r="29149" s="160" customFormat="1" x14ac:dyDescent="0.3"/>
    <row r="29150" s="160" customFormat="1" x14ac:dyDescent="0.3"/>
    <row r="29151" s="160" customFormat="1" x14ac:dyDescent="0.3"/>
    <row r="29152" s="160" customFormat="1" x14ac:dyDescent="0.3"/>
    <row r="29153" s="160" customFormat="1" x14ac:dyDescent="0.3"/>
    <row r="29154" s="160" customFormat="1" x14ac:dyDescent="0.3"/>
    <row r="29155" s="160" customFormat="1" x14ac:dyDescent="0.3"/>
    <row r="29156" s="160" customFormat="1" x14ac:dyDescent="0.3"/>
    <row r="29157" s="160" customFormat="1" x14ac:dyDescent="0.3"/>
    <row r="29158" s="160" customFormat="1" x14ac:dyDescent="0.3"/>
    <row r="29159" s="160" customFormat="1" x14ac:dyDescent="0.3"/>
    <row r="29160" s="160" customFormat="1" x14ac:dyDescent="0.3"/>
    <row r="29161" s="160" customFormat="1" x14ac:dyDescent="0.3"/>
    <row r="29162" s="160" customFormat="1" x14ac:dyDescent="0.3"/>
    <row r="29163" s="160" customFormat="1" x14ac:dyDescent="0.3"/>
    <row r="29164" s="160" customFormat="1" x14ac:dyDescent="0.3"/>
    <row r="29165" s="160" customFormat="1" x14ac:dyDescent="0.3"/>
    <row r="29166" s="160" customFormat="1" x14ac:dyDescent="0.3"/>
    <row r="29167" s="160" customFormat="1" x14ac:dyDescent="0.3"/>
    <row r="29168" s="160" customFormat="1" x14ac:dyDescent="0.3"/>
    <row r="29169" s="160" customFormat="1" x14ac:dyDescent="0.3"/>
    <row r="29170" s="160" customFormat="1" x14ac:dyDescent="0.3"/>
    <row r="29171" s="160" customFormat="1" x14ac:dyDescent="0.3"/>
    <row r="29172" s="160" customFormat="1" x14ac:dyDescent="0.3"/>
    <row r="29173" s="160" customFormat="1" x14ac:dyDescent="0.3"/>
    <row r="29174" s="160" customFormat="1" x14ac:dyDescent="0.3"/>
    <row r="29175" s="160" customFormat="1" x14ac:dyDescent="0.3"/>
    <row r="29176" s="160" customFormat="1" x14ac:dyDescent="0.3"/>
    <row r="29177" s="160" customFormat="1" x14ac:dyDescent="0.3"/>
    <row r="29178" s="160" customFormat="1" x14ac:dyDescent="0.3"/>
    <row r="29179" s="160" customFormat="1" x14ac:dyDescent="0.3"/>
    <row r="29180" s="160" customFormat="1" x14ac:dyDescent="0.3"/>
    <row r="29181" s="160" customFormat="1" x14ac:dyDescent="0.3"/>
    <row r="29182" s="160" customFormat="1" x14ac:dyDescent="0.3"/>
    <row r="29183" s="160" customFormat="1" x14ac:dyDescent="0.3"/>
    <row r="29184" s="160" customFormat="1" x14ac:dyDescent="0.3"/>
    <row r="29185" s="160" customFormat="1" x14ac:dyDescent="0.3"/>
    <row r="29186" s="160" customFormat="1" x14ac:dyDescent="0.3"/>
    <row r="29187" s="160" customFormat="1" x14ac:dyDescent="0.3"/>
    <row r="29188" s="160" customFormat="1" x14ac:dyDescent="0.3"/>
    <row r="29189" s="160" customFormat="1" x14ac:dyDescent="0.3"/>
    <row r="29190" s="160" customFormat="1" x14ac:dyDescent="0.3"/>
    <row r="29191" s="160" customFormat="1" x14ac:dyDescent="0.3"/>
    <row r="29192" s="160" customFormat="1" x14ac:dyDescent="0.3"/>
    <row r="29193" s="160" customFormat="1" x14ac:dyDescent="0.3"/>
    <row r="29194" s="160" customFormat="1" x14ac:dyDescent="0.3"/>
    <row r="29195" s="160" customFormat="1" x14ac:dyDescent="0.3"/>
    <row r="29196" s="160" customFormat="1" x14ac:dyDescent="0.3"/>
    <row r="29197" s="160" customFormat="1" x14ac:dyDescent="0.3"/>
    <row r="29198" s="160" customFormat="1" x14ac:dyDescent="0.3"/>
    <row r="29199" s="160" customFormat="1" x14ac:dyDescent="0.3"/>
    <row r="29200" s="160" customFormat="1" x14ac:dyDescent="0.3"/>
    <row r="29201" s="160" customFormat="1" x14ac:dyDescent="0.3"/>
    <row r="29202" s="160" customFormat="1" x14ac:dyDescent="0.3"/>
    <row r="29203" s="160" customFormat="1" x14ac:dyDescent="0.3"/>
    <row r="29204" s="160" customFormat="1" x14ac:dyDescent="0.3"/>
    <row r="29205" s="160" customFormat="1" x14ac:dyDescent="0.3"/>
    <row r="29206" s="160" customFormat="1" x14ac:dyDescent="0.3"/>
    <row r="29207" s="160" customFormat="1" x14ac:dyDescent="0.3"/>
    <row r="29208" s="160" customFormat="1" x14ac:dyDescent="0.3"/>
    <row r="29209" s="160" customFormat="1" x14ac:dyDescent="0.3"/>
    <row r="29210" s="160" customFormat="1" x14ac:dyDescent="0.3"/>
    <row r="29211" s="160" customFormat="1" x14ac:dyDescent="0.3"/>
    <row r="29212" s="160" customFormat="1" x14ac:dyDescent="0.3"/>
    <row r="29213" s="160" customFormat="1" x14ac:dyDescent="0.3"/>
    <row r="29214" s="160" customFormat="1" x14ac:dyDescent="0.3"/>
    <row r="29215" s="160" customFormat="1" x14ac:dyDescent="0.3"/>
    <row r="29216" s="160" customFormat="1" x14ac:dyDescent="0.3"/>
    <row r="29217" s="160" customFormat="1" x14ac:dyDescent="0.3"/>
    <row r="29218" s="160" customFormat="1" x14ac:dyDescent="0.3"/>
    <row r="29219" s="160" customFormat="1" x14ac:dyDescent="0.3"/>
    <row r="29220" s="160" customFormat="1" x14ac:dyDescent="0.3"/>
    <row r="29221" s="160" customFormat="1" x14ac:dyDescent="0.3"/>
    <row r="29222" s="160" customFormat="1" x14ac:dyDescent="0.3"/>
    <row r="29223" s="160" customFormat="1" x14ac:dyDescent="0.3"/>
    <row r="29224" s="160" customFormat="1" x14ac:dyDescent="0.3"/>
    <row r="29225" s="160" customFormat="1" x14ac:dyDescent="0.3"/>
    <row r="29226" s="160" customFormat="1" x14ac:dyDescent="0.3"/>
    <row r="29227" s="160" customFormat="1" x14ac:dyDescent="0.3"/>
    <row r="29228" s="160" customFormat="1" x14ac:dyDescent="0.3"/>
    <row r="29229" s="160" customFormat="1" x14ac:dyDescent="0.3"/>
    <row r="29230" s="160" customFormat="1" x14ac:dyDescent="0.3"/>
    <row r="29231" s="160" customFormat="1" x14ac:dyDescent="0.3"/>
    <row r="29232" s="160" customFormat="1" x14ac:dyDescent="0.3"/>
    <row r="29233" s="160" customFormat="1" x14ac:dyDescent="0.3"/>
    <row r="29234" s="160" customFormat="1" x14ac:dyDescent="0.3"/>
    <row r="29235" s="160" customFormat="1" x14ac:dyDescent="0.3"/>
    <row r="29236" s="160" customFormat="1" x14ac:dyDescent="0.3"/>
    <row r="29237" s="160" customFormat="1" x14ac:dyDescent="0.3"/>
    <row r="29238" s="160" customFormat="1" x14ac:dyDescent="0.3"/>
    <row r="29239" s="160" customFormat="1" x14ac:dyDescent="0.3"/>
    <row r="29240" s="160" customFormat="1" x14ac:dyDescent="0.3"/>
    <row r="29241" s="160" customFormat="1" x14ac:dyDescent="0.3"/>
    <row r="29242" s="160" customFormat="1" x14ac:dyDescent="0.3"/>
    <row r="29243" s="160" customFormat="1" x14ac:dyDescent="0.3"/>
    <row r="29244" s="160" customFormat="1" x14ac:dyDescent="0.3"/>
    <row r="29245" s="160" customFormat="1" x14ac:dyDescent="0.3"/>
    <row r="29246" s="160" customFormat="1" x14ac:dyDescent="0.3"/>
    <row r="29247" s="160" customFormat="1" x14ac:dyDescent="0.3"/>
    <row r="29248" s="160" customFormat="1" x14ac:dyDescent="0.3"/>
    <row r="29249" s="160" customFormat="1" x14ac:dyDescent="0.3"/>
    <row r="29250" s="160" customFormat="1" x14ac:dyDescent="0.3"/>
    <row r="29251" s="160" customFormat="1" x14ac:dyDescent="0.3"/>
    <row r="29252" s="160" customFormat="1" x14ac:dyDescent="0.3"/>
    <row r="29253" s="160" customFormat="1" x14ac:dyDescent="0.3"/>
    <row r="29254" s="160" customFormat="1" x14ac:dyDescent="0.3"/>
    <row r="29255" s="160" customFormat="1" x14ac:dyDescent="0.3"/>
    <row r="29256" s="160" customFormat="1" x14ac:dyDescent="0.3"/>
    <row r="29257" s="160" customFormat="1" x14ac:dyDescent="0.3"/>
    <row r="29258" s="160" customFormat="1" x14ac:dyDescent="0.3"/>
    <row r="29259" s="160" customFormat="1" x14ac:dyDescent="0.3"/>
    <row r="29260" s="160" customFormat="1" x14ac:dyDescent="0.3"/>
    <row r="29261" s="160" customFormat="1" x14ac:dyDescent="0.3"/>
    <row r="29262" s="160" customFormat="1" x14ac:dyDescent="0.3"/>
    <row r="29263" s="160" customFormat="1" x14ac:dyDescent="0.3"/>
    <row r="29264" s="160" customFormat="1" x14ac:dyDescent="0.3"/>
    <row r="29265" s="160" customFormat="1" x14ac:dyDescent="0.3"/>
    <row r="29266" s="160" customFormat="1" x14ac:dyDescent="0.3"/>
    <row r="29267" s="160" customFormat="1" x14ac:dyDescent="0.3"/>
    <row r="29268" s="160" customFormat="1" x14ac:dyDescent="0.3"/>
    <row r="29269" s="160" customFormat="1" x14ac:dyDescent="0.3"/>
    <row r="29270" s="160" customFormat="1" x14ac:dyDescent="0.3"/>
    <row r="29271" s="160" customFormat="1" x14ac:dyDescent="0.3"/>
    <row r="29272" s="160" customFormat="1" x14ac:dyDescent="0.3"/>
    <row r="29273" s="160" customFormat="1" x14ac:dyDescent="0.3"/>
    <row r="29274" s="160" customFormat="1" x14ac:dyDescent="0.3"/>
    <row r="29275" s="160" customFormat="1" x14ac:dyDescent="0.3"/>
    <row r="29276" s="160" customFormat="1" x14ac:dyDescent="0.3"/>
    <row r="29277" s="160" customFormat="1" x14ac:dyDescent="0.3"/>
    <row r="29278" s="160" customFormat="1" x14ac:dyDescent="0.3"/>
    <row r="29279" s="160" customFormat="1" x14ac:dyDescent="0.3"/>
    <row r="29280" s="160" customFormat="1" x14ac:dyDescent="0.3"/>
    <row r="29281" s="160" customFormat="1" x14ac:dyDescent="0.3"/>
    <row r="29282" s="160" customFormat="1" x14ac:dyDescent="0.3"/>
    <row r="29283" s="160" customFormat="1" x14ac:dyDescent="0.3"/>
    <row r="29284" s="160" customFormat="1" x14ac:dyDescent="0.3"/>
    <row r="29285" s="160" customFormat="1" x14ac:dyDescent="0.3"/>
    <row r="29286" s="160" customFormat="1" x14ac:dyDescent="0.3"/>
    <row r="29287" s="160" customFormat="1" x14ac:dyDescent="0.3"/>
    <row r="29288" s="160" customFormat="1" x14ac:dyDescent="0.3"/>
    <row r="29289" s="160" customFormat="1" x14ac:dyDescent="0.3"/>
    <row r="29290" s="160" customFormat="1" x14ac:dyDescent="0.3"/>
    <row r="29291" s="160" customFormat="1" x14ac:dyDescent="0.3"/>
    <row r="29292" s="160" customFormat="1" x14ac:dyDescent="0.3"/>
    <row r="29293" s="160" customFormat="1" x14ac:dyDescent="0.3"/>
    <row r="29294" s="160" customFormat="1" x14ac:dyDescent="0.3"/>
    <row r="29295" s="160" customFormat="1" x14ac:dyDescent="0.3"/>
    <row r="29296" s="160" customFormat="1" x14ac:dyDescent="0.3"/>
    <row r="29297" s="160" customFormat="1" x14ac:dyDescent="0.3"/>
    <row r="29298" s="160" customFormat="1" x14ac:dyDescent="0.3"/>
    <row r="29299" s="160" customFormat="1" x14ac:dyDescent="0.3"/>
    <row r="29300" s="160" customFormat="1" x14ac:dyDescent="0.3"/>
    <row r="29301" s="160" customFormat="1" x14ac:dyDescent="0.3"/>
    <row r="29302" s="160" customFormat="1" x14ac:dyDescent="0.3"/>
    <row r="29303" s="160" customFormat="1" x14ac:dyDescent="0.3"/>
    <row r="29304" s="160" customFormat="1" x14ac:dyDescent="0.3"/>
    <row r="29305" s="160" customFormat="1" x14ac:dyDescent="0.3"/>
    <row r="29306" s="160" customFormat="1" x14ac:dyDescent="0.3"/>
    <row r="29307" s="160" customFormat="1" x14ac:dyDescent="0.3"/>
    <row r="29308" s="160" customFormat="1" x14ac:dyDescent="0.3"/>
    <row r="29309" s="160" customFormat="1" x14ac:dyDescent="0.3"/>
    <row r="29310" s="160" customFormat="1" x14ac:dyDescent="0.3"/>
    <row r="29311" s="160" customFormat="1" x14ac:dyDescent="0.3"/>
    <row r="29312" s="160" customFormat="1" x14ac:dyDescent="0.3"/>
    <row r="29313" s="160" customFormat="1" x14ac:dyDescent="0.3"/>
    <row r="29314" s="160" customFormat="1" x14ac:dyDescent="0.3"/>
    <row r="29315" s="160" customFormat="1" x14ac:dyDescent="0.3"/>
    <row r="29316" s="160" customFormat="1" x14ac:dyDescent="0.3"/>
    <row r="29317" s="160" customFormat="1" x14ac:dyDescent="0.3"/>
    <row r="29318" s="160" customFormat="1" x14ac:dyDescent="0.3"/>
    <row r="29319" s="160" customFormat="1" x14ac:dyDescent="0.3"/>
    <row r="29320" s="160" customFormat="1" x14ac:dyDescent="0.3"/>
    <row r="29321" s="160" customFormat="1" x14ac:dyDescent="0.3"/>
    <row r="29322" s="160" customFormat="1" x14ac:dyDescent="0.3"/>
    <row r="29323" s="160" customFormat="1" x14ac:dyDescent="0.3"/>
    <row r="29324" s="160" customFormat="1" x14ac:dyDescent="0.3"/>
    <row r="29325" s="160" customFormat="1" x14ac:dyDescent="0.3"/>
    <row r="29326" s="160" customFormat="1" x14ac:dyDescent="0.3"/>
    <row r="29327" s="160" customFormat="1" x14ac:dyDescent="0.3"/>
    <row r="29328" s="160" customFormat="1" x14ac:dyDescent="0.3"/>
    <row r="29329" s="160" customFormat="1" x14ac:dyDescent="0.3"/>
    <row r="29330" s="160" customFormat="1" x14ac:dyDescent="0.3"/>
    <row r="29331" s="160" customFormat="1" x14ac:dyDescent="0.3"/>
    <row r="29332" s="160" customFormat="1" x14ac:dyDescent="0.3"/>
    <row r="29333" s="160" customFormat="1" x14ac:dyDescent="0.3"/>
    <row r="29334" s="160" customFormat="1" x14ac:dyDescent="0.3"/>
    <row r="29335" s="160" customFormat="1" x14ac:dyDescent="0.3"/>
    <row r="29336" s="160" customFormat="1" x14ac:dyDescent="0.3"/>
    <row r="29337" s="160" customFormat="1" x14ac:dyDescent="0.3"/>
    <row r="29338" s="160" customFormat="1" x14ac:dyDescent="0.3"/>
    <row r="29339" s="160" customFormat="1" x14ac:dyDescent="0.3"/>
    <row r="29340" s="160" customFormat="1" x14ac:dyDescent="0.3"/>
    <row r="29341" s="160" customFormat="1" x14ac:dyDescent="0.3"/>
    <row r="29342" s="160" customFormat="1" x14ac:dyDescent="0.3"/>
    <row r="29343" s="160" customFormat="1" x14ac:dyDescent="0.3"/>
    <row r="29344" s="160" customFormat="1" x14ac:dyDescent="0.3"/>
    <row r="29345" s="160" customFormat="1" x14ac:dyDescent="0.3"/>
    <row r="29346" s="160" customFormat="1" x14ac:dyDescent="0.3"/>
    <row r="29347" s="160" customFormat="1" x14ac:dyDescent="0.3"/>
    <row r="29348" s="160" customFormat="1" x14ac:dyDescent="0.3"/>
    <row r="29349" s="160" customFormat="1" x14ac:dyDescent="0.3"/>
    <row r="29350" s="160" customFormat="1" x14ac:dyDescent="0.3"/>
    <row r="29351" s="160" customFormat="1" x14ac:dyDescent="0.3"/>
    <row r="29352" s="160" customFormat="1" x14ac:dyDescent="0.3"/>
    <row r="29353" s="160" customFormat="1" x14ac:dyDescent="0.3"/>
    <row r="29354" s="160" customFormat="1" x14ac:dyDescent="0.3"/>
    <row r="29355" s="160" customFormat="1" x14ac:dyDescent="0.3"/>
    <row r="29356" s="160" customFormat="1" x14ac:dyDescent="0.3"/>
    <row r="29357" s="160" customFormat="1" x14ac:dyDescent="0.3"/>
    <row r="29358" s="160" customFormat="1" x14ac:dyDescent="0.3"/>
    <row r="29359" s="160" customFormat="1" x14ac:dyDescent="0.3"/>
    <row r="29360" s="160" customFormat="1" x14ac:dyDescent="0.3"/>
    <row r="29361" s="160" customFormat="1" x14ac:dyDescent="0.3"/>
    <row r="29362" s="160" customFormat="1" x14ac:dyDescent="0.3"/>
    <row r="29363" s="160" customFormat="1" x14ac:dyDescent="0.3"/>
    <row r="29364" s="160" customFormat="1" x14ac:dyDescent="0.3"/>
    <row r="29365" s="160" customFormat="1" x14ac:dyDescent="0.3"/>
    <row r="29366" s="160" customFormat="1" x14ac:dyDescent="0.3"/>
    <row r="29367" s="160" customFormat="1" x14ac:dyDescent="0.3"/>
    <row r="29368" s="160" customFormat="1" x14ac:dyDescent="0.3"/>
    <row r="29369" s="160" customFormat="1" x14ac:dyDescent="0.3"/>
    <row r="29370" s="160" customFormat="1" x14ac:dyDescent="0.3"/>
    <row r="29371" s="160" customFormat="1" x14ac:dyDescent="0.3"/>
    <row r="29372" s="160" customFormat="1" x14ac:dyDescent="0.3"/>
    <row r="29373" s="160" customFormat="1" x14ac:dyDescent="0.3"/>
    <row r="29374" s="160" customFormat="1" x14ac:dyDescent="0.3"/>
    <row r="29375" s="160" customFormat="1" x14ac:dyDescent="0.3"/>
    <row r="29376" s="160" customFormat="1" x14ac:dyDescent="0.3"/>
    <row r="29377" s="160" customFormat="1" x14ac:dyDescent="0.3"/>
    <row r="29378" s="160" customFormat="1" x14ac:dyDescent="0.3"/>
    <row r="29379" s="160" customFormat="1" x14ac:dyDescent="0.3"/>
    <row r="29380" s="160" customFormat="1" x14ac:dyDescent="0.3"/>
    <row r="29381" s="160" customFormat="1" x14ac:dyDescent="0.3"/>
    <row r="29382" s="160" customFormat="1" x14ac:dyDescent="0.3"/>
    <row r="29383" s="160" customFormat="1" x14ac:dyDescent="0.3"/>
    <row r="29384" s="160" customFormat="1" x14ac:dyDescent="0.3"/>
    <row r="29385" s="160" customFormat="1" x14ac:dyDescent="0.3"/>
    <row r="29386" s="160" customFormat="1" x14ac:dyDescent="0.3"/>
    <row r="29387" s="160" customFormat="1" x14ac:dyDescent="0.3"/>
    <row r="29388" s="160" customFormat="1" x14ac:dyDescent="0.3"/>
    <row r="29389" s="160" customFormat="1" x14ac:dyDescent="0.3"/>
    <row r="29390" s="160" customFormat="1" x14ac:dyDescent="0.3"/>
    <row r="29391" s="160" customFormat="1" x14ac:dyDescent="0.3"/>
    <row r="29392" s="160" customFormat="1" x14ac:dyDescent="0.3"/>
    <row r="29393" s="160" customFormat="1" x14ac:dyDescent="0.3"/>
    <row r="29394" s="160" customFormat="1" x14ac:dyDescent="0.3"/>
    <row r="29395" s="160" customFormat="1" x14ac:dyDescent="0.3"/>
    <row r="29396" s="160" customFormat="1" x14ac:dyDescent="0.3"/>
    <row r="29397" s="160" customFormat="1" x14ac:dyDescent="0.3"/>
    <row r="29398" s="160" customFormat="1" x14ac:dyDescent="0.3"/>
    <row r="29399" s="160" customFormat="1" x14ac:dyDescent="0.3"/>
    <row r="29400" s="160" customFormat="1" x14ac:dyDescent="0.3"/>
    <row r="29401" s="160" customFormat="1" x14ac:dyDescent="0.3"/>
    <row r="29402" s="160" customFormat="1" x14ac:dyDescent="0.3"/>
    <row r="29403" s="160" customFormat="1" x14ac:dyDescent="0.3"/>
    <row r="29404" s="160" customFormat="1" x14ac:dyDescent="0.3"/>
    <row r="29405" s="160" customFormat="1" x14ac:dyDescent="0.3"/>
    <row r="29406" s="160" customFormat="1" x14ac:dyDescent="0.3"/>
    <row r="29407" s="160" customFormat="1" x14ac:dyDescent="0.3"/>
    <row r="29408" s="160" customFormat="1" x14ac:dyDescent="0.3"/>
    <row r="29409" s="160" customFormat="1" x14ac:dyDescent="0.3"/>
    <row r="29410" s="160" customFormat="1" x14ac:dyDescent="0.3"/>
    <row r="29411" s="160" customFormat="1" x14ac:dyDescent="0.3"/>
    <row r="29412" s="160" customFormat="1" x14ac:dyDescent="0.3"/>
    <row r="29413" s="160" customFormat="1" x14ac:dyDescent="0.3"/>
    <row r="29414" s="160" customFormat="1" x14ac:dyDescent="0.3"/>
    <row r="29415" s="160" customFormat="1" x14ac:dyDescent="0.3"/>
    <row r="29416" s="160" customFormat="1" x14ac:dyDescent="0.3"/>
    <row r="29417" s="160" customFormat="1" x14ac:dyDescent="0.3"/>
    <row r="29418" s="160" customFormat="1" x14ac:dyDescent="0.3"/>
    <row r="29419" s="160" customFormat="1" x14ac:dyDescent="0.3"/>
    <row r="29420" s="160" customFormat="1" x14ac:dyDescent="0.3"/>
    <row r="29421" s="160" customFormat="1" x14ac:dyDescent="0.3"/>
    <row r="29422" s="160" customFormat="1" x14ac:dyDescent="0.3"/>
    <row r="29423" s="160" customFormat="1" x14ac:dyDescent="0.3"/>
    <row r="29424" s="160" customFormat="1" x14ac:dyDescent="0.3"/>
    <row r="29425" s="160" customFormat="1" x14ac:dyDescent="0.3"/>
    <row r="29426" s="160" customFormat="1" x14ac:dyDescent="0.3"/>
    <row r="29427" s="160" customFormat="1" x14ac:dyDescent="0.3"/>
    <row r="29428" s="160" customFormat="1" x14ac:dyDescent="0.3"/>
    <row r="29429" s="160" customFormat="1" x14ac:dyDescent="0.3"/>
    <row r="29430" s="160" customFormat="1" x14ac:dyDescent="0.3"/>
    <row r="29431" s="160" customFormat="1" x14ac:dyDescent="0.3"/>
    <row r="29432" s="160" customFormat="1" x14ac:dyDescent="0.3"/>
    <row r="29433" s="160" customFormat="1" x14ac:dyDescent="0.3"/>
    <row r="29434" s="160" customFormat="1" x14ac:dyDescent="0.3"/>
    <row r="29435" s="160" customFormat="1" x14ac:dyDescent="0.3"/>
    <row r="29436" s="160" customFormat="1" x14ac:dyDescent="0.3"/>
    <row r="29437" s="160" customFormat="1" x14ac:dyDescent="0.3"/>
    <row r="29438" s="160" customFormat="1" x14ac:dyDescent="0.3"/>
    <row r="29439" s="160" customFormat="1" x14ac:dyDescent="0.3"/>
    <row r="29440" s="160" customFormat="1" x14ac:dyDescent="0.3"/>
    <row r="29441" s="160" customFormat="1" x14ac:dyDescent="0.3"/>
    <row r="29442" s="160" customFormat="1" x14ac:dyDescent="0.3"/>
    <row r="29443" s="160" customFormat="1" x14ac:dyDescent="0.3"/>
    <row r="29444" s="160" customFormat="1" x14ac:dyDescent="0.3"/>
    <row r="29445" s="160" customFormat="1" x14ac:dyDescent="0.3"/>
    <row r="29446" s="160" customFormat="1" x14ac:dyDescent="0.3"/>
    <row r="29447" s="160" customFormat="1" x14ac:dyDescent="0.3"/>
    <row r="29448" s="160" customFormat="1" x14ac:dyDescent="0.3"/>
    <row r="29449" s="160" customFormat="1" x14ac:dyDescent="0.3"/>
    <row r="29450" s="160" customFormat="1" x14ac:dyDescent="0.3"/>
    <row r="29451" s="160" customFormat="1" x14ac:dyDescent="0.3"/>
    <row r="29452" s="160" customFormat="1" x14ac:dyDescent="0.3"/>
    <row r="29453" s="160" customFormat="1" x14ac:dyDescent="0.3"/>
    <row r="29454" s="160" customFormat="1" x14ac:dyDescent="0.3"/>
    <row r="29455" s="160" customFormat="1" x14ac:dyDescent="0.3"/>
    <row r="29456" s="160" customFormat="1" x14ac:dyDescent="0.3"/>
    <row r="29457" s="160" customFormat="1" x14ac:dyDescent="0.3"/>
    <row r="29458" s="160" customFormat="1" x14ac:dyDescent="0.3"/>
    <row r="29459" s="160" customFormat="1" x14ac:dyDescent="0.3"/>
    <row r="29460" s="160" customFormat="1" x14ac:dyDescent="0.3"/>
    <row r="29461" s="160" customFormat="1" x14ac:dyDescent="0.3"/>
    <row r="29462" s="160" customFormat="1" x14ac:dyDescent="0.3"/>
    <row r="29463" s="160" customFormat="1" x14ac:dyDescent="0.3"/>
    <row r="29464" s="160" customFormat="1" x14ac:dyDescent="0.3"/>
    <row r="29465" s="160" customFormat="1" x14ac:dyDescent="0.3"/>
    <row r="29466" s="160" customFormat="1" x14ac:dyDescent="0.3"/>
    <row r="29467" s="160" customFormat="1" x14ac:dyDescent="0.3"/>
    <row r="29468" s="160" customFormat="1" x14ac:dyDescent="0.3"/>
    <row r="29469" s="160" customFormat="1" x14ac:dyDescent="0.3"/>
    <row r="29470" s="160" customFormat="1" x14ac:dyDescent="0.3"/>
    <row r="29471" s="160" customFormat="1" x14ac:dyDescent="0.3"/>
    <row r="29472" s="160" customFormat="1" x14ac:dyDescent="0.3"/>
    <row r="29473" s="160" customFormat="1" x14ac:dyDescent="0.3"/>
    <row r="29474" s="160" customFormat="1" x14ac:dyDescent="0.3"/>
    <row r="29475" s="160" customFormat="1" x14ac:dyDescent="0.3"/>
    <row r="29476" s="160" customFormat="1" x14ac:dyDescent="0.3"/>
    <row r="29477" s="160" customFormat="1" x14ac:dyDescent="0.3"/>
    <row r="29478" s="160" customFormat="1" x14ac:dyDescent="0.3"/>
    <row r="29479" s="160" customFormat="1" x14ac:dyDescent="0.3"/>
    <row r="29480" s="160" customFormat="1" x14ac:dyDescent="0.3"/>
    <row r="29481" s="160" customFormat="1" x14ac:dyDescent="0.3"/>
    <row r="29482" s="160" customFormat="1" x14ac:dyDescent="0.3"/>
    <row r="29483" s="160" customFormat="1" x14ac:dyDescent="0.3"/>
    <row r="29484" s="160" customFormat="1" x14ac:dyDescent="0.3"/>
    <row r="29485" s="160" customFormat="1" x14ac:dyDescent="0.3"/>
    <row r="29486" s="160" customFormat="1" x14ac:dyDescent="0.3"/>
    <row r="29487" s="160" customFormat="1" x14ac:dyDescent="0.3"/>
    <row r="29488" s="160" customFormat="1" x14ac:dyDescent="0.3"/>
    <row r="29489" s="160" customFormat="1" x14ac:dyDescent="0.3"/>
    <row r="29490" s="160" customFormat="1" x14ac:dyDescent="0.3"/>
    <row r="29491" s="160" customFormat="1" x14ac:dyDescent="0.3"/>
    <row r="29492" s="160" customFormat="1" x14ac:dyDescent="0.3"/>
    <row r="29493" s="160" customFormat="1" x14ac:dyDescent="0.3"/>
    <row r="29494" s="160" customFormat="1" x14ac:dyDescent="0.3"/>
    <row r="29495" s="160" customFormat="1" x14ac:dyDescent="0.3"/>
    <row r="29496" s="160" customFormat="1" x14ac:dyDescent="0.3"/>
    <row r="29497" s="160" customFormat="1" x14ac:dyDescent="0.3"/>
    <row r="29498" s="160" customFormat="1" x14ac:dyDescent="0.3"/>
    <row r="29499" s="160" customFormat="1" x14ac:dyDescent="0.3"/>
    <row r="29500" s="160" customFormat="1" x14ac:dyDescent="0.3"/>
    <row r="29501" s="160" customFormat="1" x14ac:dyDescent="0.3"/>
    <row r="29502" s="160" customFormat="1" x14ac:dyDescent="0.3"/>
    <row r="29503" s="160" customFormat="1" x14ac:dyDescent="0.3"/>
    <row r="29504" s="160" customFormat="1" x14ac:dyDescent="0.3"/>
    <row r="29505" s="160" customFormat="1" x14ac:dyDescent="0.3"/>
    <row r="29506" s="160" customFormat="1" x14ac:dyDescent="0.3"/>
    <row r="29507" s="160" customFormat="1" x14ac:dyDescent="0.3"/>
    <row r="29508" s="160" customFormat="1" x14ac:dyDescent="0.3"/>
    <row r="29509" s="160" customFormat="1" x14ac:dyDescent="0.3"/>
    <row r="29510" s="160" customFormat="1" x14ac:dyDescent="0.3"/>
    <row r="29511" s="160" customFormat="1" x14ac:dyDescent="0.3"/>
    <row r="29512" s="160" customFormat="1" x14ac:dyDescent="0.3"/>
    <row r="29513" s="160" customFormat="1" x14ac:dyDescent="0.3"/>
    <row r="29514" s="160" customFormat="1" x14ac:dyDescent="0.3"/>
    <row r="29515" s="160" customFormat="1" x14ac:dyDescent="0.3"/>
    <row r="29516" s="160" customFormat="1" x14ac:dyDescent="0.3"/>
    <row r="29517" s="160" customFormat="1" x14ac:dyDescent="0.3"/>
    <row r="29518" s="160" customFormat="1" x14ac:dyDescent="0.3"/>
    <row r="29519" s="160" customFormat="1" x14ac:dyDescent="0.3"/>
    <row r="29520" s="160" customFormat="1" x14ac:dyDescent="0.3"/>
    <row r="29521" s="160" customFormat="1" x14ac:dyDescent="0.3"/>
    <row r="29522" s="160" customFormat="1" x14ac:dyDescent="0.3"/>
    <row r="29523" s="160" customFormat="1" x14ac:dyDescent="0.3"/>
    <row r="29524" s="160" customFormat="1" x14ac:dyDescent="0.3"/>
    <row r="29525" s="160" customFormat="1" x14ac:dyDescent="0.3"/>
    <row r="29526" s="160" customFormat="1" x14ac:dyDescent="0.3"/>
    <row r="29527" s="160" customFormat="1" x14ac:dyDescent="0.3"/>
    <row r="29528" s="160" customFormat="1" x14ac:dyDescent="0.3"/>
    <row r="29529" s="160" customFormat="1" x14ac:dyDescent="0.3"/>
    <row r="29530" s="160" customFormat="1" x14ac:dyDescent="0.3"/>
    <row r="29531" s="160" customFormat="1" x14ac:dyDescent="0.3"/>
    <row r="29532" s="160" customFormat="1" x14ac:dyDescent="0.3"/>
    <row r="29533" s="160" customFormat="1" x14ac:dyDescent="0.3"/>
    <row r="29534" s="160" customFormat="1" x14ac:dyDescent="0.3"/>
    <row r="29535" s="160" customFormat="1" x14ac:dyDescent="0.3"/>
    <row r="29536" s="160" customFormat="1" x14ac:dyDescent="0.3"/>
    <row r="29537" s="160" customFormat="1" x14ac:dyDescent="0.3"/>
    <row r="29538" s="160" customFormat="1" x14ac:dyDescent="0.3"/>
    <row r="29539" s="160" customFormat="1" x14ac:dyDescent="0.3"/>
    <row r="29540" s="160" customFormat="1" x14ac:dyDescent="0.3"/>
    <row r="29541" s="160" customFormat="1" x14ac:dyDescent="0.3"/>
    <row r="29542" s="160" customFormat="1" x14ac:dyDescent="0.3"/>
    <row r="29543" s="160" customFormat="1" x14ac:dyDescent="0.3"/>
    <row r="29544" s="160" customFormat="1" x14ac:dyDescent="0.3"/>
    <row r="29545" s="160" customFormat="1" x14ac:dyDescent="0.3"/>
    <row r="29546" s="160" customFormat="1" x14ac:dyDescent="0.3"/>
    <row r="29547" s="160" customFormat="1" x14ac:dyDescent="0.3"/>
    <row r="29548" s="160" customFormat="1" x14ac:dyDescent="0.3"/>
    <row r="29549" s="160" customFormat="1" x14ac:dyDescent="0.3"/>
    <row r="29550" s="160" customFormat="1" x14ac:dyDescent="0.3"/>
    <row r="29551" s="160" customFormat="1" x14ac:dyDescent="0.3"/>
    <row r="29552" s="160" customFormat="1" x14ac:dyDescent="0.3"/>
    <row r="29553" s="160" customFormat="1" x14ac:dyDescent="0.3"/>
    <row r="29554" s="160" customFormat="1" x14ac:dyDescent="0.3"/>
    <row r="29555" s="160" customFormat="1" x14ac:dyDescent="0.3"/>
    <row r="29556" s="160" customFormat="1" x14ac:dyDescent="0.3"/>
    <row r="29557" s="160" customFormat="1" x14ac:dyDescent="0.3"/>
    <row r="29558" s="160" customFormat="1" x14ac:dyDescent="0.3"/>
    <row r="29559" s="160" customFormat="1" x14ac:dyDescent="0.3"/>
    <row r="29560" s="160" customFormat="1" x14ac:dyDescent="0.3"/>
    <row r="29561" s="160" customFormat="1" x14ac:dyDescent="0.3"/>
    <row r="29562" s="160" customFormat="1" x14ac:dyDescent="0.3"/>
    <row r="29563" s="160" customFormat="1" x14ac:dyDescent="0.3"/>
    <row r="29564" s="160" customFormat="1" x14ac:dyDescent="0.3"/>
    <row r="29565" s="160" customFormat="1" x14ac:dyDescent="0.3"/>
    <row r="29566" s="160" customFormat="1" x14ac:dyDescent="0.3"/>
    <row r="29567" s="160" customFormat="1" x14ac:dyDescent="0.3"/>
    <row r="29568" s="160" customFormat="1" x14ac:dyDescent="0.3"/>
    <row r="29569" s="160" customFormat="1" x14ac:dyDescent="0.3"/>
    <row r="29570" s="160" customFormat="1" x14ac:dyDescent="0.3"/>
    <row r="29571" s="160" customFormat="1" x14ac:dyDescent="0.3"/>
    <row r="29572" s="160" customFormat="1" x14ac:dyDescent="0.3"/>
    <row r="29573" s="160" customFormat="1" x14ac:dyDescent="0.3"/>
    <row r="29574" s="160" customFormat="1" x14ac:dyDescent="0.3"/>
    <row r="29575" s="160" customFormat="1" x14ac:dyDescent="0.3"/>
    <row r="29576" s="160" customFormat="1" x14ac:dyDescent="0.3"/>
    <row r="29577" s="160" customFormat="1" x14ac:dyDescent="0.3"/>
    <row r="29578" s="160" customFormat="1" x14ac:dyDescent="0.3"/>
    <row r="29579" s="160" customFormat="1" x14ac:dyDescent="0.3"/>
    <row r="29580" s="160" customFormat="1" x14ac:dyDescent="0.3"/>
    <row r="29581" s="160" customFormat="1" x14ac:dyDescent="0.3"/>
    <row r="29582" s="160" customFormat="1" x14ac:dyDescent="0.3"/>
    <row r="29583" s="160" customFormat="1" x14ac:dyDescent="0.3"/>
    <row r="29584" s="160" customFormat="1" x14ac:dyDescent="0.3"/>
    <row r="29585" s="160" customFormat="1" x14ac:dyDescent="0.3"/>
    <row r="29586" s="160" customFormat="1" x14ac:dyDescent="0.3"/>
    <row r="29587" s="160" customFormat="1" x14ac:dyDescent="0.3"/>
    <row r="29588" s="160" customFormat="1" x14ac:dyDescent="0.3"/>
    <row r="29589" s="160" customFormat="1" x14ac:dyDescent="0.3"/>
    <row r="29590" s="160" customFormat="1" x14ac:dyDescent="0.3"/>
    <row r="29591" s="160" customFormat="1" x14ac:dyDescent="0.3"/>
    <row r="29592" s="160" customFormat="1" x14ac:dyDescent="0.3"/>
    <row r="29593" s="160" customFormat="1" x14ac:dyDescent="0.3"/>
    <row r="29594" s="160" customFormat="1" x14ac:dyDescent="0.3"/>
    <row r="29595" s="160" customFormat="1" x14ac:dyDescent="0.3"/>
    <row r="29596" s="160" customFormat="1" x14ac:dyDescent="0.3"/>
    <row r="29597" s="160" customFormat="1" x14ac:dyDescent="0.3"/>
    <row r="29598" s="160" customFormat="1" x14ac:dyDescent="0.3"/>
    <row r="29599" s="160" customFormat="1" x14ac:dyDescent="0.3"/>
    <row r="29600" s="160" customFormat="1" x14ac:dyDescent="0.3"/>
    <row r="29601" s="160" customFormat="1" x14ac:dyDescent="0.3"/>
    <row r="29602" s="160" customFormat="1" x14ac:dyDescent="0.3"/>
    <row r="29603" s="160" customFormat="1" x14ac:dyDescent="0.3"/>
    <row r="29604" s="160" customFormat="1" x14ac:dyDescent="0.3"/>
    <row r="29605" s="160" customFormat="1" x14ac:dyDescent="0.3"/>
    <row r="29606" s="160" customFormat="1" x14ac:dyDescent="0.3"/>
    <row r="29607" s="160" customFormat="1" x14ac:dyDescent="0.3"/>
    <row r="29608" s="160" customFormat="1" x14ac:dyDescent="0.3"/>
    <row r="29609" s="160" customFormat="1" x14ac:dyDescent="0.3"/>
    <row r="29610" s="160" customFormat="1" x14ac:dyDescent="0.3"/>
    <row r="29611" s="160" customFormat="1" x14ac:dyDescent="0.3"/>
    <row r="29612" s="160" customFormat="1" x14ac:dyDescent="0.3"/>
    <row r="29613" s="160" customFormat="1" x14ac:dyDescent="0.3"/>
    <row r="29614" s="160" customFormat="1" x14ac:dyDescent="0.3"/>
    <row r="29615" s="160" customFormat="1" x14ac:dyDescent="0.3"/>
    <row r="29616" s="160" customFormat="1" x14ac:dyDescent="0.3"/>
    <row r="29617" s="160" customFormat="1" x14ac:dyDescent="0.3"/>
    <row r="29618" s="160" customFormat="1" x14ac:dyDescent="0.3"/>
    <row r="29619" s="160" customFormat="1" x14ac:dyDescent="0.3"/>
    <row r="29620" s="160" customFormat="1" x14ac:dyDescent="0.3"/>
    <row r="29621" s="160" customFormat="1" x14ac:dyDescent="0.3"/>
    <row r="29622" s="160" customFormat="1" x14ac:dyDescent="0.3"/>
    <row r="29623" s="160" customFormat="1" x14ac:dyDescent="0.3"/>
    <row r="29624" s="160" customFormat="1" x14ac:dyDescent="0.3"/>
    <row r="29625" s="160" customFormat="1" x14ac:dyDescent="0.3"/>
    <row r="29626" s="160" customFormat="1" x14ac:dyDescent="0.3"/>
    <row r="29627" s="160" customFormat="1" x14ac:dyDescent="0.3"/>
    <row r="29628" s="160" customFormat="1" x14ac:dyDescent="0.3"/>
    <row r="29629" s="160" customFormat="1" x14ac:dyDescent="0.3"/>
    <row r="29630" s="160" customFormat="1" x14ac:dyDescent="0.3"/>
    <row r="29631" s="160" customFormat="1" x14ac:dyDescent="0.3"/>
    <row r="29632" s="160" customFormat="1" x14ac:dyDescent="0.3"/>
    <row r="29633" s="160" customFormat="1" x14ac:dyDescent="0.3"/>
    <row r="29634" s="160" customFormat="1" x14ac:dyDescent="0.3"/>
    <row r="29635" s="160" customFormat="1" x14ac:dyDescent="0.3"/>
    <row r="29636" s="160" customFormat="1" x14ac:dyDescent="0.3"/>
    <row r="29637" s="160" customFormat="1" x14ac:dyDescent="0.3"/>
    <row r="29638" s="160" customFormat="1" x14ac:dyDescent="0.3"/>
    <row r="29639" s="160" customFormat="1" x14ac:dyDescent="0.3"/>
    <row r="29640" s="160" customFormat="1" x14ac:dyDescent="0.3"/>
    <row r="29641" s="160" customFormat="1" x14ac:dyDescent="0.3"/>
    <row r="29642" s="160" customFormat="1" x14ac:dyDescent="0.3"/>
    <row r="29643" s="160" customFormat="1" x14ac:dyDescent="0.3"/>
    <row r="29644" s="160" customFormat="1" x14ac:dyDescent="0.3"/>
    <row r="29645" s="160" customFormat="1" x14ac:dyDescent="0.3"/>
    <row r="29646" s="160" customFormat="1" x14ac:dyDescent="0.3"/>
    <row r="29647" s="160" customFormat="1" x14ac:dyDescent="0.3"/>
    <row r="29648" s="160" customFormat="1" x14ac:dyDescent="0.3"/>
    <row r="29649" s="160" customFormat="1" x14ac:dyDescent="0.3"/>
    <row r="29650" s="160" customFormat="1" x14ac:dyDescent="0.3"/>
    <row r="29651" s="160" customFormat="1" x14ac:dyDescent="0.3"/>
    <row r="29652" s="160" customFormat="1" x14ac:dyDescent="0.3"/>
    <row r="29653" s="160" customFormat="1" x14ac:dyDescent="0.3"/>
    <row r="29654" s="160" customFormat="1" x14ac:dyDescent="0.3"/>
    <row r="29655" s="160" customFormat="1" x14ac:dyDescent="0.3"/>
    <row r="29656" s="160" customFormat="1" x14ac:dyDescent="0.3"/>
    <row r="29657" s="160" customFormat="1" x14ac:dyDescent="0.3"/>
    <row r="29658" s="160" customFormat="1" x14ac:dyDescent="0.3"/>
    <row r="29659" s="160" customFormat="1" x14ac:dyDescent="0.3"/>
    <row r="29660" s="160" customFormat="1" x14ac:dyDescent="0.3"/>
    <row r="29661" s="160" customFormat="1" x14ac:dyDescent="0.3"/>
    <row r="29662" s="160" customFormat="1" x14ac:dyDescent="0.3"/>
    <row r="29663" s="160" customFormat="1" x14ac:dyDescent="0.3"/>
    <row r="29664" s="160" customFormat="1" x14ac:dyDescent="0.3"/>
    <row r="29665" s="160" customFormat="1" x14ac:dyDescent="0.3"/>
    <row r="29666" s="160" customFormat="1" x14ac:dyDescent="0.3"/>
    <row r="29667" s="160" customFormat="1" x14ac:dyDescent="0.3"/>
    <row r="29668" s="160" customFormat="1" x14ac:dyDescent="0.3"/>
    <row r="29669" s="160" customFormat="1" x14ac:dyDescent="0.3"/>
    <row r="29670" s="160" customFormat="1" x14ac:dyDescent="0.3"/>
    <row r="29671" s="160" customFormat="1" x14ac:dyDescent="0.3"/>
    <row r="29672" s="160" customFormat="1" x14ac:dyDescent="0.3"/>
    <row r="29673" s="160" customFormat="1" x14ac:dyDescent="0.3"/>
    <row r="29674" s="160" customFormat="1" x14ac:dyDescent="0.3"/>
    <row r="29675" s="160" customFormat="1" x14ac:dyDescent="0.3"/>
    <row r="29676" s="160" customFormat="1" x14ac:dyDescent="0.3"/>
    <row r="29677" s="160" customFormat="1" x14ac:dyDescent="0.3"/>
    <row r="29678" s="160" customFormat="1" x14ac:dyDescent="0.3"/>
    <row r="29679" s="160" customFormat="1" x14ac:dyDescent="0.3"/>
    <row r="29680" s="160" customFormat="1" x14ac:dyDescent="0.3"/>
    <row r="29681" s="160" customFormat="1" x14ac:dyDescent="0.3"/>
    <row r="29682" s="160" customFormat="1" x14ac:dyDescent="0.3"/>
    <row r="29683" s="160" customFormat="1" x14ac:dyDescent="0.3"/>
    <row r="29684" s="160" customFormat="1" x14ac:dyDescent="0.3"/>
    <row r="29685" s="160" customFormat="1" x14ac:dyDescent="0.3"/>
    <row r="29686" s="160" customFormat="1" x14ac:dyDescent="0.3"/>
    <row r="29687" s="160" customFormat="1" x14ac:dyDescent="0.3"/>
    <row r="29688" s="160" customFormat="1" x14ac:dyDescent="0.3"/>
    <row r="29689" s="160" customFormat="1" x14ac:dyDescent="0.3"/>
    <row r="29690" s="160" customFormat="1" x14ac:dyDescent="0.3"/>
    <row r="29691" s="160" customFormat="1" x14ac:dyDescent="0.3"/>
    <row r="29692" s="160" customFormat="1" x14ac:dyDescent="0.3"/>
    <row r="29693" s="160" customFormat="1" x14ac:dyDescent="0.3"/>
    <row r="29694" s="160" customFormat="1" x14ac:dyDescent="0.3"/>
    <row r="29695" s="160" customFormat="1" x14ac:dyDescent="0.3"/>
    <row r="29696" s="160" customFormat="1" x14ac:dyDescent="0.3"/>
    <row r="29697" s="160" customFormat="1" x14ac:dyDescent="0.3"/>
    <row r="29698" s="160" customFormat="1" x14ac:dyDescent="0.3"/>
    <row r="29699" s="160" customFormat="1" x14ac:dyDescent="0.3"/>
    <row r="29700" s="160" customFormat="1" x14ac:dyDescent="0.3"/>
    <row r="29701" s="160" customFormat="1" x14ac:dyDescent="0.3"/>
    <row r="29702" s="160" customFormat="1" x14ac:dyDescent="0.3"/>
    <row r="29703" s="160" customFormat="1" x14ac:dyDescent="0.3"/>
    <row r="29704" s="160" customFormat="1" x14ac:dyDescent="0.3"/>
    <row r="29705" s="160" customFormat="1" x14ac:dyDescent="0.3"/>
    <row r="29706" s="160" customFormat="1" x14ac:dyDescent="0.3"/>
    <row r="29707" s="160" customFormat="1" x14ac:dyDescent="0.3"/>
    <row r="29708" s="160" customFormat="1" x14ac:dyDescent="0.3"/>
    <row r="29709" s="160" customFormat="1" x14ac:dyDescent="0.3"/>
    <row r="29710" s="160" customFormat="1" x14ac:dyDescent="0.3"/>
    <row r="29711" s="160" customFormat="1" x14ac:dyDescent="0.3"/>
    <row r="29712" s="160" customFormat="1" x14ac:dyDescent="0.3"/>
    <row r="29713" s="160" customFormat="1" x14ac:dyDescent="0.3"/>
    <row r="29714" s="160" customFormat="1" x14ac:dyDescent="0.3"/>
    <row r="29715" s="160" customFormat="1" x14ac:dyDescent="0.3"/>
    <row r="29716" s="160" customFormat="1" x14ac:dyDescent="0.3"/>
    <row r="29717" s="160" customFormat="1" x14ac:dyDescent="0.3"/>
    <row r="29718" s="160" customFormat="1" x14ac:dyDescent="0.3"/>
    <row r="29719" s="160" customFormat="1" x14ac:dyDescent="0.3"/>
    <row r="29720" s="160" customFormat="1" x14ac:dyDescent="0.3"/>
    <row r="29721" s="160" customFormat="1" x14ac:dyDescent="0.3"/>
    <row r="29722" s="160" customFormat="1" x14ac:dyDescent="0.3"/>
    <row r="29723" s="160" customFormat="1" x14ac:dyDescent="0.3"/>
    <row r="29724" s="160" customFormat="1" x14ac:dyDescent="0.3"/>
    <row r="29725" s="160" customFormat="1" x14ac:dyDescent="0.3"/>
    <row r="29726" s="160" customFormat="1" x14ac:dyDescent="0.3"/>
    <row r="29727" s="160" customFormat="1" x14ac:dyDescent="0.3"/>
    <row r="29728" s="160" customFormat="1" x14ac:dyDescent="0.3"/>
    <row r="29729" s="160" customFormat="1" x14ac:dyDescent="0.3"/>
    <row r="29730" s="160" customFormat="1" x14ac:dyDescent="0.3"/>
    <row r="29731" s="160" customFormat="1" x14ac:dyDescent="0.3"/>
    <row r="29732" s="160" customFormat="1" x14ac:dyDescent="0.3"/>
    <row r="29733" s="160" customFormat="1" x14ac:dyDescent="0.3"/>
    <row r="29734" s="160" customFormat="1" x14ac:dyDescent="0.3"/>
    <row r="29735" s="160" customFormat="1" x14ac:dyDescent="0.3"/>
    <row r="29736" s="160" customFormat="1" x14ac:dyDescent="0.3"/>
    <row r="29737" s="160" customFormat="1" x14ac:dyDescent="0.3"/>
    <row r="29738" s="160" customFormat="1" x14ac:dyDescent="0.3"/>
    <row r="29739" s="160" customFormat="1" x14ac:dyDescent="0.3"/>
    <row r="29740" s="160" customFormat="1" x14ac:dyDescent="0.3"/>
    <row r="29741" s="160" customFormat="1" x14ac:dyDescent="0.3"/>
    <row r="29742" s="160" customFormat="1" x14ac:dyDescent="0.3"/>
    <row r="29743" s="160" customFormat="1" x14ac:dyDescent="0.3"/>
    <row r="29744" s="160" customFormat="1" x14ac:dyDescent="0.3"/>
    <row r="29745" s="160" customFormat="1" x14ac:dyDescent="0.3"/>
    <row r="29746" s="160" customFormat="1" x14ac:dyDescent="0.3"/>
    <row r="29747" s="160" customFormat="1" x14ac:dyDescent="0.3"/>
    <row r="29748" s="160" customFormat="1" x14ac:dyDescent="0.3"/>
    <row r="29749" s="160" customFormat="1" x14ac:dyDescent="0.3"/>
    <row r="29750" s="160" customFormat="1" x14ac:dyDescent="0.3"/>
    <row r="29751" s="160" customFormat="1" x14ac:dyDescent="0.3"/>
    <row r="29752" s="160" customFormat="1" x14ac:dyDescent="0.3"/>
    <row r="29753" s="160" customFormat="1" x14ac:dyDescent="0.3"/>
    <row r="29754" s="160" customFormat="1" x14ac:dyDescent="0.3"/>
    <row r="29755" s="160" customFormat="1" x14ac:dyDescent="0.3"/>
    <row r="29756" s="160" customFormat="1" x14ac:dyDescent="0.3"/>
    <row r="29757" s="160" customFormat="1" x14ac:dyDescent="0.3"/>
    <row r="29758" s="160" customFormat="1" x14ac:dyDescent="0.3"/>
    <row r="29759" s="160" customFormat="1" x14ac:dyDescent="0.3"/>
    <row r="29760" s="160" customFormat="1" x14ac:dyDescent="0.3"/>
    <row r="29761" s="160" customFormat="1" x14ac:dyDescent="0.3"/>
    <row r="29762" s="160" customFormat="1" x14ac:dyDescent="0.3"/>
    <row r="29763" s="160" customFormat="1" x14ac:dyDescent="0.3"/>
    <row r="29764" s="160" customFormat="1" x14ac:dyDescent="0.3"/>
    <row r="29765" s="160" customFormat="1" x14ac:dyDescent="0.3"/>
    <row r="29766" s="160" customFormat="1" x14ac:dyDescent="0.3"/>
    <row r="29767" s="160" customFormat="1" x14ac:dyDescent="0.3"/>
    <row r="29768" s="160" customFormat="1" x14ac:dyDescent="0.3"/>
    <row r="29769" s="160" customFormat="1" x14ac:dyDescent="0.3"/>
    <row r="29770" s="160" customFormat="1" x14ac:dyDescent="0.3"/>
    <row r="29771" s="160" customFormat="1" x14ac:dyDescent="0.3"/>
    <row r="29772" s="160" customFormat="1" x14ac:dyDescent="0.3"/>
    <row r="29773" s="160" customFormat="1" x14ac:dyDescent="0.3"/>
    <row r="29774" s="160" customFormat="1" x14ac:dyDescent="0.3"/>
    <row r="29775" s="160" customFormat="1" x14ac:dyDescent="0.3"/>
    <row r="29776" s="160" customFormat="1" x14ac:dyDescent="0.3"/>
    <row r="29777" s="160" customFormat="1" x14ac:dyDescent="0.3"/>
    <row r="29778" s="160" customFormat="1" x14ac:dyDescent="0.3"/>
    <row r="29779" s="160" customFormat="1" x14ac:dyDescent="0.3"/>
    <row r="29780" s="160" customFormat="1" x14ac:dyDescent="0.3"/>
    <row r="29781" s="160" customFormat="1" x14ac:dyDescent="0.3"/>
    <row r="29782" s="160" customFormat="1" x14ac:dyDescent="0.3"/>
    <row r="29783" s="160" customFormat="1" x14ac:dyDescent="0.3"/>
    <row r="29784" s="160" customFormat="1" x14ac:dyDescent="0.3"/>
    <row r="29785" s="160" customFormat="1" x14ac:dyDescent="0.3"/>
    <row r="29786" s="160" customFormat="1" x14ac:dyDescent="0.3"/>
    <row r="29787" s="160" customFormat="1" x14ac:dyDescent="0.3"/>
    <row r="29788" s="160" customFormat="1" x14ac:dyDescent="0.3"/>
    <row r="29789" s="160" customFormat="1" x14ac:dyDescent="0.3"/>
    <row r="29790" s="160" customFormat="1" x14ac:dyDescent="0.3"/>
    <row r="29791" s="160" customFormat="1" x14ac:dyDescent="0.3"/>
    <row r="29792" s="160" customFormat="1" x14ac:dyDescent="0.3"/>
    <row r="29793" s="160" customFormat="1" x14ac:dyDescent="0.3"/>
    <row r="29794" s="160" customFormat="1" x14ac:dyDescent="0.3"/>
    <row r="29795" s="160" customFormat="1" x14ac:dyDescent="0.3"/>
    <row r="29796" s="160" customFormat="1" x14ac:dyDescent="0.3"/>
    <row r="29797" s="160" customFormat="1" x14ac:dyDescent="0.3"/>
    <row r="29798" s="160" customFormat="1" x14ac:dyDescent="0.3"/>
    <row r="29799" s="160" customFormat="1" x14ac:dyDescent="0.3"/>
    <row r="29800" s="160" customFormat="1" x14ac:dyDescent="0.3"/>
    <row r="29801" s="160" customFormat="1" x14ac:dyDescent="0.3"/>
    <row r="29802" s="160" customFormat="1" x14ac:dyDescent="0.3"/>
    <row r="29803" s="160" customFormat="1" x14ac:dyDescent="0.3"/>
    <row r="29804" s="160" customFormat="1" x14ac:dyDescent="0.3"/>
    <row r="29805" s="160" customFormat="1" x14ac:dyDescent="0.3"/>
    <row r="29806" s="160" customFormat="1" x14ac:dyDescent="0.3"/>
    <row r="29807" s="160" customFormat="1" x14ac:dyDescent="0.3"/>
    <row r="29808" s="160" customFormat="1" x14ac:dyDescent="0.3"/>
    <row r="29809" s="160" customFormat="1" x14ac:dyDescent="0.3"/>
    <row r="29810" s="160" customFormat="1" x14ac:dyDescent="0.3"/>
    <row r="29811" s="160" customFormat="1" x14ac:dyDescent="0.3"/>
    <row r="29812" s="160" customFormat="1" x14ac:dyDescent="0.3"/>
    <row r="29813" s="160" customFormat="1" x14ac:dyDescent="0.3"/>
    <row r="29814" s="160" customFormat="1" x14ac:dyDescent="0.3"/>
    <row r="29815" s="160" customFormat="1" x14ac:dyDescent="0.3"/>
    <row r="29816" s="160" customFormat="1" x14ac:dyDescent="0.3"/>
    <row r="29817" s="160" customFormat="1" x14ac:dyDescent="0.3"/>
    <row r="29818" s="160" customFormat="1" x14ac:dyDescent="0.3"/>
    <row r="29819" s="160" customFormat="1" x14ac:dyDescent="0.3"/>
    <row r="29820" s="160" customFormat="1" x14ac:dyDescent="0.3"/>
    <row r="29821" s="160" customFormat="1" x14ac:dyDescent="0.3"/>
    <row r="29822" s="160" customFormat="1" x14ac:dyDescent="0.3"/>
    <row r="29823" s="160" customFormat="1" x14ac:dyDescent="0.3"/>
    <row r="29824" s="160" customFormat="1" x14ac:dyDescent="0.3"/>
    <row r="29825" s="160" customFormat="1" x14ac:dyDescent="0.3"/>
    <row r="29826" s="160" customFormat="1" x14ac:dyDescent="0.3"/>
    <row r="29827" s="160" customFormat="1" x14ac:dyDescent="0.3"/>
    <row r="29828" s="160" customFormat="1" x14ac:dyDescent="0.3"/>
    <row r="29829" s="160" customFormat="1" x14ac:dyDescent="0.3"/>
    <row r="29830" s="160" customFormat="1" x14ac:dyDescent="0.3"/>
    <row r="29831" s="160" customFormat="1" x14ac:dyDescent="0.3"/>
    <row r="29832" s="160" customFormat="1" x14ac:dyDescent="0.3"/>
    <row r="29833" s="160" customFormat="1" x14ac:dyDescent="0.3"/>
    <row r="29834" s="160" customFormat="1" x14ac:dyDescent="0.3"/>
    <row r="29835" s="160" customFormat="1" x14ac:dyDescent="0.3"/>
    <row r="29836" s="160" customFormat="1" x14ac:dyDescent="0.3"/>
    <row r="29837" s="160" customFormat="1" x14ac:dyDescent="0.3"/>
    <row r="29838" s="160" customFormat="1" x14ac:dyDescent="0.3"/>
    <row r="29839" s="160" customFormat="1" x14ac:dyDescent="0.3"/>
    <row r="29840" s="160" customFormat="1" x14ac:dyDescent="0.3"/>
    <row r="29841" s="160" customFormat="1" x14ac:dyDescent="0.3"/>
    <row r="29842" s="160" customFormat="1" x14ac:dyDescent="0.3"/>
    <row r="29843" s="160" customFormat="1" x14ac:dyDescent="0.3"/>
    <row r="29844" s="160" customFormat="1" x14ac:dyDescent="0.3"/>
    <row r="29845" s="160" customFormat="1" x14ac:dyDescent="0.3"/>
    <row r="29846" s="160" customFormat="1" x14ac:dyDescent="0.3"/>
    <row r="29847" s="160" customFormat="1" x14ac:dyDescent="0.3"/>
    <row r="29848" s="160" customFormat="1" x14ac:dyDescent="0.3"/>
    <row r="29849" s="160" customFormat="1" x14ac:dyDescent="0.3"/>
    <row r="29850" s="160" customFormat="1" x14ac:dyDescent="0.3"/>
    <row r="29851" s="160" customFormat="1" x14ac:dyDescent="0.3"/>
    <row r="29852" s="160" customFormat="1" x14ac:dyDescent="0.3"/>
    <row r="29853" s="160" customFormat="1" x14ac:dyDescent="0.3"/>
    <row r="29854" s="160" customFormat="1" x14ac:dyDescent="0.3"/>
    <row r="29855" s="160" customFormat="1" x14ac:dyDescent="0.3"/>
    <row r="29856" s="160" customFormat="1" x14ac:dyDescent="0.3"/>
    <row r="29857" s="160" customFormat="1" x14ac:dyDescent="0.3"/>
    <row r="29858" s="160" customFormat="1" x14ac:dyDescent="0.3"/>
    <row r="29859" s="160" customFormat="1" x14ac:dyDescent="0.3"/>
    <row r="29860" s="160" customFormat="1" x14ac:dyDescent="0.3"/>
    <row r="29861" s="160" customFormat="1" x14ac:dyDescent="0.3"/>
    <row r="29862" s="160" customFormat="1" x14ac:dyDescent="0.3"/>
    <row r="29863" s="160" customFormat="1" x14ac:dyDescent="0.3"/>
    <row r="29864" s="160" customFormat="1" x14ac:dyDescent="0.3"/>
    <row r="29865" s="160" customFormat="1" x14ac:dyDescent="0.3"/>
    <row r="29866" s="160" customFormat="1" x14ac:dyDescent="0.3"/>
    <row r="29867" s="160" customFormat="1" x14ac:dyDescent="0.3"/>
    <row r="29868" s="160" customFormat="1" x14ac:dyDescent="0.3"/>
    <row r="29869" s="160" customFormat="1" x14ac:dyDescent="0.3"/>
    <row r="29870" s="160" customFormat="1" x14ac:dyDescent="0.3"/>
    <row r="29871" s="160" customFormat="1" x14ac:dyDescent="0.3"/>
    <row r="29872" s="160" customFormat="1" x14ac:dyDescent="0.3"/>
    <row r="29873" s="160" customFormat="1" x14ac:dyDescent="0.3"/>
    <row r="29874" s="160" customFormat="1" x14ac:dyDescent="0.3"/>
    <row r="29875" s="160" customFormat="1" x14ac:dyDescent="0.3"/>
    <row r="29876" s="160" customFormat="1" x14ac:dyDescent="0.3"/>
    <row r="29877" s="160" customFormat="1" x14ac:dyDescent="0.3"/>
    <row r="29878" s="160" customFormat="1" x14ac:dyDescent="0.3"/>
    <row r="29879" s="160" customFormat="1" x14ac:dyDescent="0.3"/>
    <row r="29880" s="160" customFormat="1" x14ac:dyDescent="0.3"/>
    <row r="29881" s="160" customFormat="1" x14ac:dyDescent="0.3"/>
    <row r="29882" s="160" customFormat="1" x14ac:dyDescent="0.3"/>
    <row r="29883" s="160" customFormat="1" x14ac:dyDescent="0.3"/>
    <row r="29884" s="160" customFormat="1" x14ac:dyDescent="0.3"/>
    <row r="29885" s="160" customFormat="1" x14ac:dyDescent="0.3"/>
    <row r="29886" s="160" customFormat="1" x14ac:dyDescent="0.3"/>
    <row r="29887" s="160" customFormat="1" x14ac:dyDescent="0.3"/>
    <row r="29888" s="160" customFormat="1" x14ac:dyDescent="0.3"/>
    <row r="29889" s="160" customFormat="1" x14ac:dyDescent="0.3"/>
    <row r="29890" s="160" customFormat="1" x14ac:dyDescent="0.3"/>
    <row r="29891" s="160" customFormat="1" x14ac:dyDescent="0.3"/>
    <row r="29892" s="160" customFormat="1" x14ac:dyDescent="0.3"/>
    <row r="29893" s="160" customFormat="1" x14ac:dyDescent="0.3"/>
    <row r="29894" s="160" customFormat="1" x14ac:dyDescent="0.3"/>
    <row r="29895" s="160" customFormat="1" x14ac:dyDescent="0.3"/>
    <row r="29896" s="160" customFormat="1" x14ac:dyDescent="0.3"/>
    <row r="29897" s="160" customFormat="1" x14ac:dyDescent="0.3"/>
    <row r="29898" s="160" customFormat="1" x14ac:dyDescent="0.3"/>
    <row r="29899" s="160" customFormat="1" x14ac:dyDescent="0.3"/>
    <row r="29900" s="160" customFormat="1" x14ac:dyDescent="0.3"/>
    <row r="29901" s="160" customFormat="1" x14ac:dyDescent="0.3"/>
    <row r="29902" s="160" customFormat="1" x14ac:dyDescent="0.3"/>
    <row r="29903" s="160" customFormat="1" x14ac:dyDescent="0.3"/>
    <row r="29904" s="160" customFormat="1" x14ac:dyDescent="0.3"/>
    <row r="29905" s="160" customFormat="1" x14ac:dyDescent="0.3"/>
    <row r="29906" s="160" customFormat="1" x14ac:dyDescent="0.3"/>
    <row r="29907" s="160" customFormat="1" x14ac:dyDescent="0.3"/>
    <row r="29908" s="160" customFormat="1" x14ac:dyDescent="0.3"/>
    <row r="29909" s="160" customFormat="1" x14ac:dyDescent="0.3"/>
    <row r="29910" s="160" customFormat="1" x14ac:dyDescent="0.3"/>
    <row r="29911" s="160" customFormat="1" x14ac:dyDescent="0.3"/>
    <row r="29912" s="160" customFormat="1" x14ac:dyDescent="0.3"/>
    <row r="29913" s="160" customFormat="1" x14ac:dyDescent="0.3"/>
    <row r="29914" s="160" customFormat="1" x14ac:dyDescent="0.3"/>
    <row r="29915" s="160" customFormat="1" x14ac:dyDescent="0.3"/>
    <row r="29916" s="160" customFormat="1" x14ac:dyDescent="0.3"/>
    <row r="29917" s="160" customFormat="1" x14ac:dyDescent="0.3"/>
    <row r="29918" s="160" customFormat="1" x14ac:dyDescent="0.3"/>
    <row r="29919" s="160" customFormat="1" x14ac:dyDescent="0.3"/>
    <row r="29920" s="160" customFormat="1" x14ac:dyDescent="0.3"/>
    <row r="29921" s="160" customFormat="1" x14ac:dyDescent="0.3"/>
    <row r="29922" s="160" customFormat="1" x14ac:dyDescent="0.3"/>
    <row r="29923" s="160" customFormat="1" x14ac:dyDescent="0.3"/>
    <row r="29924" s="160" customFormat="1" x14ac:dyDescent="0.3"/>
    <row r="29925" s="160" customFormat="1" x14ac:dyDescent="0.3"/>
    <row r="29926" s="160" customFormat="1" x14ac:dyDescent="0.3"/>
    <row r="29927" s="160" customFormat="1" x14ac:dyDescent="0.3"/>
    <row r="29928" s="160" customFormat="1" x14ac:dyDescent="0.3"/>
    <row r="29929" s="160" customFormat="1" x14ac:dyDescent="0.3"/>
    <row r="29930" s="160" customFormat="1" x14ac:dyDescent="0.3"/>
    <row r="29931" s="160" customFormat="1" x14ac:dyDescent="0.3"/>
    <row r="29932" s="160" customFormat="1" x14ac:dyDescent="0.3"/>
    <row r="29933" s="160" customFormat="1" x14ac:dyDescent="0.3"/>
    <row r="29934" s="160" customFormat="1" x14ac:dyDescent="0.3"/>
    <row r="29935" s="160" customFormat="1" x14ac:dyDescent="0.3"/>
    <row r="29936" s="160" customFormat="1" x14ac:dyDescent="0.3"/>
    <row r="29937" s="160" customFormat="1" x14ac:dyDescent="0.3"/>
    <row r="29938" s="160" customFormat="1" x14ac:dyDescent="0.3"/>
    <row r="29939" s="160" customFormat="1" x14ac:dyDescent="0.3"/>
    <row r="29940" s="160" customFormat="1" x14ac:dyDescent="0.3"/>
    <row r="29941" s="160" customFormat="1" x14ac:dyDescent="0.3"/>
    <row r="29942" s="160" customFormat="1" x14ac:dyDescent="0.3"/>
    <row r="29943" s="160" customFormat="1" x14ac:dyDescent="0.3"/>
    <row r="29944" s="160" customFormat="1" x14ac:dyDescent="0.3"/>
    <row r="29945" s="160" customFormat="1" x14ac:dyDescent="0.3"/>
    <row r="29946" s="160" customFormat="1" x14ac:dyDescent="0.3"/>
    <row r="29947" s="160" customFormat="1" x14ac:dyDescent="0.3"/>
    <row r="29948" s="160" customFormat="1" x14ac:dyDescent="0.3"/>
    <row r="29949" s="160" customFormat="1" x14ac:dyDescent="0.3"/>
    <row r="29950" s="160" customFormat="1" x14ac:dyDescent="0.3"/>
    <row r="29951" s="160" customFormat="1" x14ac:dyDescent="0.3"/>
    <row r="29952" s="160" customFormat="1" x14ac:dyDescent="0.3"/>
    <row r="29953" s="160" customFormat="1" x14ac:dyDescent="0.3"/>
    <row r="29954" s="160" customFormat="1" x14ac:dyDescent="0.3"/>
    <row r="29955" s="160" customFormat="1" x14ac:dyDescent="0.3"/>
    <row r="29956" s="160" customFormat="1" x14ac:dyDescent="0.3"/>
    <row r="29957" s="160" customFormat="1" x14ac:dyDescent="0.3"/>
    <row r="29958" s="160" customFormat="1" x14ac:dyDescent="0.3"/>
    <row r="29959" s="160" customFormat="1" x14ac:dyDescent="0.3"/>
    <row r="29960" s="160" customFormat="1" x14ac:dyDescent="0.3"/>
    <row r="29961" s="160" customFormat="1" x14ac:dyDescent="0.3"/>
    <row r="29962" s="160" customFormat="1" x14ac:dyDescent="0.3"/>
    <row r="29963" s="160" customFormat="1" x14ac:dyDescent="0.3"/>
    <row r="29964" s="160" customFormat="1" x14ac:dyDescent="0.3"/>
    <row r="29965" s="160" customFormat="1" x14ac:dyDescent="0.3"/>
    <row r="29966" s="160" customFormat="1" x14ac:dyDescent="0.3"/>
    <row r="29967" s="160" customFormat="1" x14ac:dyDescent="0.3"/>
    <row r="29968" s="160" customFormat="1" x14ac:dyDescent="0.3"/>
    <row r="29969" s="160" customFormat="1" x14ac:dyDescent="0.3"/>
    <row r="29970" s="160" customFormat="1" x14ac:dyDescent="0.3"/>
    <row r="29971" s="160" customFormat="1" x14ac:dyDescent="0.3"/>
    <row r="29972" s="160" customFormat="1" x14ac:dyDescent="0.3"/>
    <row r="29973" s="160" customFormat="1" x14ac:dyDescent="0.3"/>
    <row r="29974" s="160" customFormat="1" x14ac:dyDescent="0.3"/>
    <row r="29975" s="160" customFormat="1" x14ac:dyDescent="0.3"/>
    <row r="29976" s="160" customFormat="1" x14ac:dyDescent="0.3"/>
    <row r="29977" s="160" customFormat="1" x14ac:dyDescent="0.3"/>
    <row r="29978" s="160" customFormat="1" x14ac:dyDescent="0.3"/>
    <row r="29979" s="160" customFormat="1" x14ac:dyDescent="0.3"/>
    <row r="29980" s="160" customFormat="1" x14ac:dyDescent="0.3"/>
    <row r="29981" s="160" customFormat="1" x14ac:dyDescent="0.3"/>
    <row r="29982" s="160" customFormat="1" x14ac:dyDescent="0.3"/>
    <row r="29983" s="160" customFormat="1" x14ac:dyDescent="0.3"/>
    <row r="29984" s="160" customFormat="1" x14ac:dyDescent="0.3"/>
    <row r="29985" s="160" customFormat="1" x14ac:dyDescent="0.3"/>
    <row r="29986" s="160" customFormat="1" x14ac:dyDescent="0.3"/>
    <row r="29987" s="160" customFormat="1" x14ac:dyDescent="0.3"/>
    <row r="29988" s="160" customFormat="1" x14ac:dyDescent="0.3"/>
    <row r="29989" s="160" customFormat="1" x14ac:dyDescent="0.3"/>
    <row r="29990" s="160" customFormat="1" x14ac:dyDescent="0.3"/>
    <row r="29991" s="160" customFormat="1" x14ac:dyDescent="0.3"/>
    <row r="29992" s="160" customFormat="1" x14ac:dyDescent="0.3"/>
    <row r="29993" s="160" customFormat="1" x14ac:dyDescent="0.3"/>
    <row r="29994" s="160" customFormat="1" x14ac:dyDescent="0.3"/>
    <row r="29995" s="160" customFormat="1" x14ac:dyDescent="0.3"/>
    <row r="29996" s="160" customFormat="1" x14ac:dyDescent="0.3"/>
    <row r="29997" s="160" customFormat="1" x14ac:dyDescent="0.3"/>
    <row r="29998" s="160" customFormat="1" x14ac:dyDescent="0.3"/>
    <row r="29999" s="160" customFormat="1" x14ac:dyDescent="0.3"/>
    <row r="30000" s="160" customFormat="1" x14ac:dyDescent="0.3"/>
    <row r="30001" s="160" customFormat="1" x14ac:dyDescent="0.3"/>
    <row r="30002" s="160" customFormat="1" x14ac:dyDescent="0.3"/>
    <row r="30003" s="160" customFormat="1" x14ac:dyDescent="0.3"/>
    <row r="30004" s="160" customFormat="1" x14ac:dyDescent="0.3"/>
    <row r="30005" s="160" customFormat="1" x14ac:dyDescent="0.3"/>
    <row r="30006" s="160" customFormat="1" x14ac:dyDescent="0.3"/>
    <row r="30007" s="160" customFormat="1" x14ac:dyDescent="0.3"/>
    <row r="30008" s="160" customFormat="1" x14ac:dyDescent="0.3"/>
    <row r="30009" s="160" customFormat="1" x14ac:dyDescent="0.3"/>
    <row r="30010" s="160" customFormat="1" x14ac:dyDescent="0.3"/>
    <row r="30011" s="160" customFormat="1" x14ac:dyDescent="0.3"/>
    <row r="30012" s="160" customFormat="1" x14ac:dyDescent="0.3"/>
    <row r="30013" s="160" customFormat="1" x14ac:dyDescent="0.3"/>
    <row r="30014" s="160" customFormat="1" x14ac:dyDescent="0.3"/>
    <row r="30015" s="160" customFormat="1" x14ac:dyDescent="0.3"/>
    <row r="30016" s="160" customFormat="1" x14ac:dyDescent="0.3"/>
    <row r="30017" s="160" customFormat="1" x14ac:dyDescent="0.3"/>
    <row r="30018" s="160" customFormat="1" x14ac:dyDescent="0.3"/>
    <row r="30019" s="160" customFormat="1" x14ac:dyDescent="0.3"/>
    <row r="30020" s="160" customFormat="1" x14ac:dyDescent="0.3"/>
    <row r="30021" s="160" customFormat="1" x14ac:dyDescent="0.3"/>
    <row r="30022" s="160" customFormat="1" x14ac:dyDescent="0.3"/>
    <row r="30023" s="160" customFormat="1" x14ac:dyDescent="0.3"/>
    <row r="30024" s="160" customFormat="1" x14ac:dyDescent="0.3"/>
    <row r="30025" s="160" customFormat="1" x14ac:dyDescent="0.3"/>
    <row r="30026" s="160" customFormat="1" x14ac:dyDescent="0.3"/>
    <row r="30027" s="160" customFormat="1" x14ac:dyDescent="0.3"/>
    <row r="30028" s="160" customFormat="1" x14ac:dyDescent="0.3"/>
    <row r="30029" s="160" customFormat="1" x14ac:dyDescent="0.3"/>
    <row r="30030" s="160" customFormat="1" x14ac:dyDescent="0.3"/>
    <row r="30031" s="160" customFormat="1" x14ac:dyDescent="0.3"/>
    <row r="30032" s="160" customFormat="1" x14ac:dyDescent="0.3"/>
    <row r="30033" s="160" customFormat="1" x14ac:dyDescent="0.3"/>
    <row r="30034" s="160" customFormat="1" x14ac:dyDescent="0.3"/>
    <row r="30035" s="160" customFormat="1" x14ac:dyDescent="0.3"/>
    <row r="30036" s="160" customFormat="1" x14ac:dyDescent="0.3"/>
    <row r="30037" s="160" customFormat="1" x14ac:dyDescent="0.3"/>
    <row r="30038" s="160" customFormat="1" x14ac:dyDescent="0.3"/>
    <row r="30039" s="160" customFormat="1" x14ac:dyDescent="0.3"/>
    <row r="30040" s="160" customFormat="1" x14ac:dyDescent="0.3"/>
    <row r="30041" s="160" customFormat="1" x14ac:dyDescent="0.3"/>
    <row r="30042" s="160" customFormat="1" x14ac:dyDescent="0.3"/>
    <row r="30043" s="160" customFormat="1" x14ac:dyDescent="0.3"/>
    <row r="30044" s="160" customFormat="1" x14ac:dyDescent="0.3"/>
    <row r="30045" s="160" customFormat="1" x14ac:dyDescent="0.3"/>
    <row r="30046" s="160" customFormat="1" x14ac:dyDescent="0.3"/>
    <row r="30047" s="160" customFormat="1" x14ac:dyDescent="0.3"/>
    <row r="30048" s="160" customFormat="1" x14ac:dyDescent="0.3"/>
    <row r="30049" s="160" customFormat="1" x14ac:dyDescent="0.3"/>
    <row r="30050" s="160" customFormat="1" x14ac:dyDescent="0.3"/>
    <row r="30051" s="160" customFormat="1" x14ac:dyDescent="0.3"/>
    <row r="30052" s="160" customFormat="1" x14ac:dyDescent="0.3"/>
    <row r="30053" s="160" customFormat="1" x14ac:dyDescent="0.3"/>
    <row r="30054" s="160" customFormat="1" x14ac:dyDescent="0.3"/>
    <row r="30055" s="160" customFormat="1" x14ac:dyDescent="0.3"/>
    <row r="30056" s="160" customFormat="1" x14ac:dyDescent="0.3"/>
    <row r="30057" s="160" customFormat="1" x14ac:dyDescent="0.3"/>
    <row r="30058" s="160" customFormat="1" x14ac:dyDescent="0.3"/>
    <row r="30059" s="160" customFormat="1" x14ac:dyDescent="0.3"/>
    <row r="30060" s="160" customFormat="1" x14ac:dyDescent="0.3"/>
    <row r="30061" s="160" customFormat="1" x14ac:dyDescent="0.3"/>
    <row r="30062" s="160" customFormat="1" x14ac:dyDescent="0.3"/>
    <row r="30063" s="160" customFormat="1" x14ac:dyDescent="0.3"/>
    <row r="30064" s="160" customFormat="1" x14ac:dyDescent="0.3"/>
    <row r="30065" s="160" customFormat="1" x14ac:dyDescent="0.3"/>
    <row r="30066" s="160" customFormat="1" x14ac:dyDescent="0.3"/>
    <row r="30067" s="160" customFormat="1" x14ac:dyDescent="0.3"/>
    <row r="30068" s="160" customFormat="1" x14ac:dyDescent="0.3"/>
    <row r="30069" s="160" customFormat="1" x14ac:dyDescent="0.3"/>
    <row r="30070" s="160" customFormat="1" x14ac:dyDescent="0.3"/>
    <row r="30071" s="160" customFormat="1" x14ac:dyDescent="0.3"/>
    <row r="30072" s="160" customFormat="1" x14ac:dyDescent="0.3"/>
    <row r="30073" s="160" customFormat="1" x14ac:dyDescent="0.3"/>
    <row r="30074" s="160" customFormat="1" x14ac:dyDescent="0.3"/>
    <row r="30075" s="160" customFormat="1" x14ac:dyDescent="0.3"/>
    <row r="30076" s="160" customFormat="1" x14ac:dyDescent="0.3"/>
    <row r="30077" s="160" customFormat="1" x14ac:dyDescent="0.3"/>
    <row r="30078" s="160" customFormat="1" x14ac:dyDescent="0.3"/>
    <row r="30079" s="160" customFormat="1" x14ac:dyDescent="0.3"/>
    <row r="30080" s="160" customFormat="1" x14ac:dyDescent="0.3"/>
    <row r="30081" s="160" customFormat="1" x14ac:dyDescent="0.3"/>
    <row r="30082" s="160" customFormat="1" x14ac:dyDescent="0.3"/>
    <row r="30083" s="160" customFormat="1" x14ac:dyDescent="0.3"/>
    <row r="30084" s="160" customFormat="1" x14ac:dyDescent="0.3"/>
    <row r="30085" s="160" customFormat="1" x14ac:dyDescent="0.3"/>
    <row r="30086" s="160" customFormat="1" x14ac:dyDescent="0.3"/>
    <row r="30087" s="160" customFormat="1" x14ac:dyDescent="0.3"/>
    <row r="30088" s="160" customFormat="1" x14ac:dyDescent="0.3"/>
    <row r="30089" s="160" customFormat="1" x14ac:dyDescent="0.3"/>
    <row r="30090" s="160" customFormat="1" x14ac:dyDescent="0.3"/>
    <row r="30091" s="160" customFormat="1" x14ac:dyDescent="0.3"/>
    <row r="30092" s="160" customFormat="1" x14ac:dyDescent="0.3"/>
    <row r="30093" s="160" customFormat="1" x14ac:dyDescent="0.3"/>
    <row r="30094" s="160" customFormat="1" x14ac:dyDescent="0.3"/>
    <row r="30095" s="160" customFormat="1" x14ac:dyDescent="0.3"/>
    <row r="30096" s="160" customFormat="1" x14ac:dyDescent="0.3"/>
    <row r="30097" s="160" customFormat="1" x14ac:dyDescent="0.3"/>
    <row r="30098" s="160" customFormat="1" x14ac:dyDescent="0.3"/>
    <row r="30099" s="160" customFormat="1" x14ac:dyDescent="0.3"/>
    <row r="30100" s="160" customFormat="1" x14ac:dyDescent="0.3"/>
    <row r="30101" s="160" customFormat="1" x14ac:dyDescent="0.3"/>
    <row r="30102" s="160" customFormat="1" x14ac:dyDescent="0.3"/>
    <row r="30103" s="160" customFormat="1" x14ac:dyDescent="0.3"/>
    <row r="30104" s="160" customFormat="1" x14ac:dyDescent="0.3"/>
    <row r="30105" s="160" customFormat="1" x14ac:dyDescent="0.3"/>
    <row r="30106" s="160" customFormat="1" x14ac:dyDescent="0.3"/>
    <row r="30107" s="160" customFormat="1" x14ac:dyDescent="0.3"/>
    <row r="30108" s="160" customFormat="1" x14ac:dyDescent="0.3"/>
    <row r="30109" s="160" customFormat="1" x14ac:dyDescent="0.3"/>
    <row r="30110" s="160" customFormat="1" x14ac:dyDescent="0.3"/>
    <row r="30111" s="160" customFormat="1" x14ac:dyDescent="0.3"/>
    <row r="30112" s="160" customFormat="1" x14ac:dyDescent="0.3"/>
    <row r="30113" s="160" customFormat="1" x14ac:dyDescent="0.3"/>
    <row r="30114" s="160" customFormat="1" x14ac:dyDescent="0.3"/>
    <row r="30115" s="160" customFormat="1" x14ac:dyDescent="0.3"/>
    <row r="30116" s="160" customFormat="1" x14ac:dyDescent="0.3"/>
    <row r="30117" s="160" customFormat="1" x14ac:dyDescent="0.3"/>
    <row r="30118" s="160" customFormat="1" x14ac:dyDescent="0.3"/>
    <row r="30119" s="160" customFormat="1" x14ac:dyDescent="0.3"/>
    <row r="30120" s="160" customFormat="1" x14ac:dyDescent="0.3"/>
    <row r="30121" s="160" customFormat="1" x14ac:dyDescent="0.3"/>
    <row r="30122" s="160" customFormat="1" x14ac:dyDescent="0.3"/>
    <row r="30123" s="160" customFormat="1" x14ac:dyDescent="0.3"/>
    <row r="30124" s="160" customFormat="1" x14ac:dyDescent="0.3"/>
    <row r="30125" s="160" customFormat="1" x14ac:dyDescent="0.3"/>
    <row r="30126" s="160" customFormat="1" x14ac:dyDescent="0.3"/>
    <row r="30127" s="160" customFormat="1" x14ac:dyDescent="0.3"/>
    <row r="30128" s="160" customFormat="1" x14ac:dyDescent="0.3"/>
    <row r="30129" s="160" customFormat="1" x14ac:dyDescent="0.3"/>
    <row r="30130" s="160" customFormat="1" x14ac:dyDescent="0.3"/>
    <row r="30131" s="160" customFormat="1" x14ac:dyDescent="0.3"/>
    <row r="30132" s="160" customFormat="1" x14ac:dyDescent="0.3"/>
    <row r="30133" s="160" customFormat="1" x14ac:dyDescent="0.3"/>
    <row r="30134" s="160" customFormat="1" x14ac:dyDescent="0.3"/>
    <row r="30135" s="160" customFormat="1" x14ac:dyDescent="0.3"/>
    <row r="30136" s="160" customFormat="1" x14ac:dyDescent="0.3"/>
    <row r="30137" s="160" customFormat="1" x14ac:dyDescent="0.3"/>
    <row r="30138" s="160" customFormat="1" x14ac:dyDescent="0.3"/>
    <row r="30139" s="160" customFormat="1" x14ac:dyDescent="0.3"/>
    <row r="30140" s="160" customFormat="1" x14ac:dyDescent="0.3"/>
    <row r="30141" s="160" customFormat="1" x14ac:dyDescent="0.3"/>
    <row r="30142" s="160" customFormat="1" x14ac:dyDescent="0.3"/>
    <row r="30143" s="160" customFormat="1" x14ac:dyDescent="0.3"/>
    <row r="30144" s="160" customFormat="1" x14ac:dyDescent="0.3"/>
    <row r="30145" s="160" customFormat="1" x14ac:dyDescent="0.3"/>
    <row r="30146" s="160" customFormat="1" x14ac:dyDescent="0.3"/>
    <row r="30147" s="160" customFormat="1" x14ac:dyDescent="0.3"/>
    <row r="30148" s="160" customFormat="1" x14ac:dyDescent="0.3"/>
    <row r="30149" s="160" customFormat="1" x14ac:dyDescent="0.3"/>
    <row r="30150" s="160" customFormat="1" x14ac:dyDescent="0.3"/>
    <row r="30151" s="160" customFormat="1" x14ac:dyDescent="0.3"/>
    <row r="30152" s="160" customFormat="1" x14ac:dyDescent="0.3"/>
    <row r="30153" s="160" customFormat="1" x14ac:dyDescent="0.3"/>
    <row r="30154" s="160" customFormat="1" x14ac:dyDescent="0.3"/>
    <row r="30155" s="160" customFormat="1" x14ac:dyDescent="0.3"/>
    <row r="30156" s="160" customFormat="1" x14ac:dyDescent="0.3"/>
    <row r="30157" s="160" customFormat="1" x14ac:dyDescent="0.3"/>
    <row r="30158" s="160" customFormat="1" x14ac:dyDescent="0.3"/>
    <row r="30159" s="160" customFormat="1" x14ac:dyDescent="0.3"/>
    <row r="30160" s="160" customFormat="1" x14ac:dyDescent="0.3"/>
    <row r="30161" s="160" customFormat="1" x14ac:dyDescent="0.3"/>
    <row r="30162" s="160" customFormat="1" x14ac:dyDescent="0.3"/>
    <row r="30163" s="160" customFormat="1" x14ac:dyDescent="0.3"/>
    <row r="30164" s="160" customFormat="1" x14ac:dyDescent="0.3"/>
    <row r="30165" s="160" customFormat="1" x14ac:dyDescent="0.3"/>
    <row r="30166" s="160" customFormat="1" x14ac:dyDescent="0.3"/>
    <row r="30167" s="160" customFormat="1" x14ac:dyDescent="0.3"/>
    <row r="30168" s="160" customFormat="1" x14ac:dyDescent="0.3"/>
    <row r="30169" s="160" customFormat="1" x14ac:dyDescent="0.3"/>
    <row r="30170" s="160" customFormat="1" x14ac:dyDescent="0.3"/>
    <row r="30171" s="160" customFormat="1" x14ac:dyDescent="0.3"/>
    <row r="30172" s="160" customFormat="1" x14ac:dyDescent="0.3"/>
    <row r="30173" s="160" customFormat="1" x14ac:dyDescent="0.3"/>
    <row r="30174" s="160" customFormat="1" x14ac:dyDescent="0.3"/>
    <row r="30175" s="160" customFormat="1" x14ac:dyDescent="0.3"/>
    <row r="30176" s="160" customFormat="1" x14ac:dyDescent="0.3"/>
    <row r="30177" s="160" customFormat="1" x14ac:dyDescent="0.3"/>
    <row r="30178" s="160" customFormat="1" x14ac:dyDescent="0.3"/>
    <row r="30179" s="160" customFormat="1" x14ac:dyDescent="0.3"/>
    <row r="30180" s="160" customFormat="1" x14ac:dyDescent="0.3"/>
    <row r="30181" s="160" customFormat="1" x14ac:dyDescent="0.3"/>
    <row r="30182" s="160" customFormat="1" x14ac:dyDescent="0.3"/>
    <row r="30183" s="160" customFormat="1" x14ac:dyDescent="0.3"/>
    <row r="30184" s="160" customFormat="1" x14ac:dyDescent="0.3"/>
    <row r="30185" s="160" customFormat="1" x14ac:dyDescent="0.3"/>
    <row r="30186" s="160" customFormat="1" x14ac:dyDescent="0.3"/>
    <row r="30187" s="160" customFormat="1" x14ac:dyDescent="0.3"/>
    <row r="30188" s="160" customFormat="1" x14ac:dyDescent="0.3"/>
    <row r="30189" s="160" customFormat="1" x14ac:dyDescent="0.3"/>
    <row r="30190" s="160" customFormat="1" x14ac:dyDescent="0.3"/>
    <row r="30191" s="160" customFormat="1" x14ac:dyDescent="0.3"/>
    <row r="30192" s="160" customFormat="1" x14ac:dyDescent="0.3"/>
    <row r="30193" s="160" customFormat="1" x14ac:dyDescent="0.3"/>
    <row r="30194" s="160" customFormat="1" x14ac:dyDescent="0.3"/>
    <row r="30195" s="160" customFormat="1" x14ac:dyDescent="0.3"/>
    <row r="30196" s="160" customFormat="1" x14ac:dyDescent="0.3"/>
    <row r="30197" s="160" customFormat="1" x14ac:dyDescent="0.3"/>
    <row r="30198" s="160" customFormat="1" x14ac:dyDescent="0.3"/>
    <row r="30199" s="160" customFormat="1" x14ac:dyDescent="0.3"/>
    <row r="30200" s="160" customFormat="1" x14ac:dyDescent="0.3"/>
    <row r="30201" s="160" customFormat="1" x14ac:dyDescent="0.3"/>
    <row r="30202" s="160" customFormat="1" x14ac:dyDescent="0.3"/>
    <row r="30203" s="160" customFormat="1" x14ac:dyDescent="0.3"/>
    <row r="30204" s="160" customFormat="1" x14ac:dyDescent="0.3"/>
    <row r="30205" s="160" customFormat="1" x14ac:dyDescent="0.3"/>
    <row r="30206" s="160" customFormat="1" x14ac:dyDescent="0.3"/>
    <row r="30207" s="160" customFormat="1" x14ac:dyDescent="0.3"/>
    <row r="30208" s="160" customFormat="1" x14ac:dyDescent="0.3"/>
    <row r="30209" s="160" customFormat="1" x14ac:dyDescent="0.3"/>
    <row r="30210" s="160" customFormat="1" x14ac:dyDescent="0.3"/>
    <row r="30211" s="160" customFormat="1" x14ac:dyDescent="0.3"/>
    <row r="30212" s="160" customFormat="1" x14ac:dyDescent="0.3"/>
    <row r="30213" s="160" customFormat="1" x14ac:dyDescent="0.3"/>
    <row r="30214" s="160" customFormat="1" x14ac:dyDescent="0.3"/>
    <row r="30215" s="160" customFormat="1" x14ac:dyDescent="0.3"/>
    <row r="30216" s="160" customFormat="1" x14ac:dyDescent="0.3"/>
    <row r="30217" s="160" customFormat="1" x14ac:dyDescent="0.3"/>
    <row r="30218" s="160" customFormat="1" x14ac:dyDescent="0.3"/>
    <row r="30219" s="160" customFormat="1" x14ac:dyDescent="0.3"/>
    <row r="30220" s="160" customFormat="1" x14ac:dyDescent="0.3"/>
    <row r="30221" s="160" customFormat="1" x14ac:dyDescent="0.3"/>
    <row r="30222" s="160" customFormat="1" x14ac:dyDescent="0.3"/>
    <row r="30223" s="160" customFormat="1" x14ac:dyDescent="0.3"/>
    <row r="30224" s="160" customFormat="1" x14ac:dyDescent="0.3"/>
    <row r="30225" s="160" customFormat="1" x14ac:dyDescent="0.3"/>
    <row r="30226" s="160" customFormat="1" x14ac:dyDescent="0.3"/>
    <row r="30227" s="160" customFormat="1" x14ac:dyDescent="0.3"/>
    <row r="30228" s="160" customFormat="1" x14ac:dyDescent="0.3"/>
    <row r="30229" s="160" customFormat="1" x14ac:dyDescent="0.3"/>
    <row r="30230" s="160" customFormat="1" x14ac:dyDescent="0.3"/>
    <row r="30231" s="160" customFormat="1" x14ac:dyDescent="0.3"/>
    <row r="30232" s="160" customFormat="1" x14ac:dyDescent="0.3"/>
    <row r="30233" s="160" customFormat="1" x14ac:dyDescent="0.3"/>
    <row r="30234" s="160" customFormat="1" x14ac:dyDescent="0.3"/>
    <row r="30235" s="160" customFormat="1" x14ac:dyDescent="0.3"/>
    <row r="30236" s="160" customFormat="1" x14ac:dyDescent="0.3"/>
    <row r="30237" s="160" customFormat="1" x14ac:dyDescent="0.3"/>
    <row r="30238" s="160" customFormat="1" x14ac:dyDescent="0.3"/>
    <row r="30239" s="160" customFormat="1" x14ac:dyDescent="0.3"/>
    <row r="30240" s="160" customFormat="1" x14ac:dyDescent="0.3"/>
    <row r="30241" s="160" customFormat="1" x14ac:dyDescent="0.3"/>
    <row r="30242" s="160" customFormat="1" x14ac:dyDescent="0.3"/>
    <row r="30243" s="160" customFormat="1" x14ac:dyDescent="0.3"/>
    <row r="30244" s="160" customFormat="1" x14ac:dyDescent="0.3"/>
    <row r="30245" s="160" customFormat="1" x14ac:dyDescent="0.3"/>
    <row r="30246" s="160" customFormat="1" x14ac:dyDescent="0.3"/>
    <row r="30247" s="160" customFormat="1" x14ac:dyDescent="0.3"/>
    <row r="30248" s="160" customFormat="1" x14ac:dyDescent="0.3"/>
    <row r="30249" s="160" customFormat="1" x14ac:dyDescent="0.3"/>
    <row r="30250" s="160" customFormat="1" x14ac:dyDescent="0.3"/>
    <row r="30251" s="160" customFormat="1" x14ac:dyDescent="0.3"/>
    <row r="30252" s="160" customFormat="1" x14ac:dyDescent="0.3"/>
    <row r="30253" s="160" customFormat="1" x14ac:dyDescent="0.3"/>
    <row r="30254" s="160" customFormat="1" x14ac:dyDescent="0.3"/>
    <row r="30255" s="160" customFormat="1" x14ac:dyDescent="0.3"/>
    <row r="30256" s="160" customFormat="1" x14ac:dyDescent="0.3"/>
    <row r="30257" s="160" customFormat="1" x14ac:dyDescent="0.3"/>
    <row r="30258" s="160" customFormat="1" x14ac:dyDescent="0.3"/>
    <row r="30259" s="160" customFormat="1" x14ac:dyDescent="0.3"/>
    <row r="30260" s="160" customFormat="1" x14ac:dyDescent="0.3"/>
    <row r="30261" s="160" customFormat="1" x14ac:dyDescent="0.3"/>
    <row r="30262" s="160" customFormat="1" x14ac:dyDescent="0.3"/>
    <row r="30263" s="160" customFormat="1" x14ac:dyDescent="0.3"/>
    <row r="30264" s="160" customFormat="1" x14ac:dyDescent="0.3"/>
    <row r="30265" s="160" customFormat="1" x14ac:dyDescent="0.3"/>
    <row r="30266" s="160" customFormat="1" x14ac:dyDescent="0.3"/>
    <row r="30267" s="160" customFormat="1" x14ac:dyDescent="0.3"/>
    <row r="30268" s="160" customFormat="1" x14ac:dyDescent="0.3"/>
    <row r="30269" s="160" customFormat="1" x14ac:dyDescent="0.3"/>
    <row r="30270" s="160" customFormat="1" x14ac:dyDescent="0.3"/>
    <row r="30271" s="160" customFormat="1" x14ac:dyDescent="0.3"/>
    <row r="30272" s="160" customFormat="1" x14ac:dyDescent="0.3"/>
    <row r="30273" s="160" customFormat="1" x14ac:dyDescent="0.3"/>
    <row r="30274" s="160" customFormat="1" x14ac:dyDescent="0.3"/>
    <row r="30275" s="160" customFormat="1" x14ac:dyDescent="0.3"/>
    <row r="30276" s="160" customFormat="1" x14ac:dyDescent="0.3"/>
    <row r="30277" s="160" customFormat="1" x14ac:dyDescent="0.3"/>
    <row r="30278" s="160" customFormat="1" x14ac:dyDescent="0.3"/>
    <row r="30279" s="160" customFormat="1" x14ac:dyDescent="0.3"/>
    <row r="30280" s="160" customFormat="1" x14ac:dyDescent="0.3"/>
    <row r="30281" s="160" customFormat="1" x14ac:dyDescent="0.3"/>
    <row r="30282" s="160" customFormat="1" x14ac:dyDescent="0.3"/>
    <row r="30283" s="160" customFormat="1" x14ac:dyDescent="0.3"/>
    <row r="30284" s="160" customFormat="1" x14ac:dyDescent="0.3"/>
    <row r="30285" s="160" customFormat="1" x14ac:dyDescent="0.3"/>
    <row r="30286" s="160" customFormat="1" x14ac:dyDescent="0.3"/>
    <row r="30287" s="160" customFormat="1" x14ac:dyDescent="0.3"/>
    <row r="30288" s="160" customFormat="1" x14ac:dyDescent="0.3"/>
    <row r="30289" s="160" customFormat="1" x14ac:dyDescent="0.3"/>
    <row r="30290" s="160" customFormat="1" x14ac:dyDescent="0.3"/>
    <row r="30291" s="160" customFormat="1" x14ac:dyDescent="0.3"/>
    <row r="30292" s="160" customFormat="1" x14ac:dyDescent="0.3"/>
    <row r="30293" s="160" customFormat="1" x14ac:dyDescent="0.3"/>
    <row r="30294" s="160" customFormat="1" x14ac:dyDescent="0.3"/>
    <row r="30295" s="160" customFormat="1" x14ac:dyDescent="0.3"/>
    <row r="30296" s="160" customFormat="1" x14ac:dyDescent="0.3"/>
    <row r="30297" s="160" customFormat="1" x14ac:dyDescent="0.3"/>
    <row r="30298" s="160" customFormat="1" x14ac:dyDescent="0.3"/>
    <row r="30299" s="160" customFormat="1" x14ac:dyDescent="0.3"/>
    <row r="30300" s="160" customFormat="1" x14ac:dyDescent="0.3"/>
    <row r="30301" s="160" customFormat="1" x14ac:dyDescent="0.3"/>
    <row r="30302" s="160" customFormat="1" x14ac:dyDescent="0.3"/>
    <row r="30303" s="160" customFormat="1" x14ac:dyDescent="0.3"/>
    <row r="30304" s="160" customFormat="1" x14ac:dyDescent="0.3"/>
    <row r="30305" s="160" customFormat="1" x14ac:dyDescent="0.3"/>
    <row r="30306" s="160" customFormat="1" x14ac:dyDescent="0.3"/>
    <row r="30307" s="160" customFormat="1" x14ac:dyDescent="0.3"/>
    <row r="30308" s="160" customFormat="1" x14ac:dyDescent="0.3"/>
    <row r="30309" s="160" customFormat="1" x14ac:dyDescent="0.3"/>
    <row r="30310" s="160" customFormat="1" x14ac:dyDescent="0.3"/>
    <row r="30311" s="160" customFormat="1" x14ac:dyDescent="0.3"/>
    <row r="30312" s="160" customFormat="1" x14ac:dyDescent="0.3"/>
    <row r="30313" s="160" customFormat="1" x14ac:dyDescent="0.3"/>
    <row r="30314" s="160" customFormat="1" x14ac:dyDescent="0.3"/>
    <row r="30315" s="160" customFormat="1" x14ac:dyDescent="0.3"/>
    <row r="30316" s="160" customFormat="1" x14ac:dyDescent="0.3"/>
    <row r="30317" s="160" customFormat="1" x14ac:dyDescent="0.3"/>
    <row r="30318" s="160" customFormat="1" x14ac:dyDescent="0.3"/>
    <row r="30319" s="160" customFormat="1" x14ac:dyDescent="0.3"/>
    <row r="30320" s="160" customFormat="1" x14ac:dyDescent="0.3"/>
    <row r="30321" s="160" customFormat="1" x14ac:dyDescent="0.3"/>
    <row r="30322" s="160" customFormat="1" x14ac:dyDescent="0.3"/>
    <row r="30323" s="160" customFormat="1" x14ac:dyDescent="0.3"/>
    <row r="30324" s="160" customFormat="1" x14ac:dyDescent="0.3"/>
    <row r="30325" s="160" customFormat="1" x14ac:dyDescent="0.3"/>
    <row r="30326" s="160" customFormat="1" x14ac:dyDescent="0.3"/>
    <row r="30327" s="160" customFormat="1" x14ac:dyDescent="0.3"/>
    <row r="30328" s="160" customFormat="1" x14ac:dyDescent="0.3"/>
    <row r="30329" s="160" customFormat="1" x14ac:dyDescent="0.3"/>
    <row r="30330" s="160" customFormat="1" x14ac:dyDescent="0.3"/>
    <row r="30331" s="160" customFormat="1" x14ac:dyDescent="0.3"/>
    <row r="30332" s="160" customFormat="1" x14ac:dyDescent="0.3"/>
    <row r="30333" s="160" customFormat="1" x14ac:dyDescent="0.3"/>
    <row r="30334" s="160" customFormat="1" x14ac:dyDescent="0.3"/>
    <row r="30335" s="160" customFormat="1" x14ac:dyDescent="0.3"/>
    <row r="30336" s="160" customFormat="1" x14ac:dyDescent="0.3"/>
    <row r="30337" s="160" customFormat="1" x14ac:dyDescent="0.3"/>
    <row r="30338" s="160" customFormat="1" x14ac:dyDescent="0.3"/>
    <row r="30339" s="160" customFormat="1" x14ac:dyDescent="0.3"/>
    <row r="30340" s="160" customFormat="1" x14ac:dyDescent="0.3"/>
    <row r="30341" s="160" customFormat="1" x14ac:dyDescent="0.3"/>
    <row r="30342" s="160" customFormat="1" x14ac:dyDescent="0.3"/>
    <row r="30343" s="160" customFormat="1" x14ac:dyDescent="0.3"/>
    <row r="30344" s="160" customFormat="1" x14ac:dyDescent="0.3"/>
    <row r="30345" s="160" customFormat="1" x14ac:dyDescent="0.3"/>
    <row r="30346" s="160" customFormat="1" x14ac:dyDescent="0.3"/>
    <row r="30347" s="160" customFormat="1" x14ac:dyDescent="0.3"/>
    <row r="30348" s="160" customFormat="1" x14ac:dyDescent="0.3"/>
    <row r="30349" s="160" customFormat="1" x14ac:dyDescent="0.3"/>
    <row r="30350" s="160" customFormat="1" x14ac:dyDescent="0.3"/>
    <row r="30351" s="160" customFormat="1" x14ac:dyDescent="0.3"/>
    <row r="30352" s="160" customFormat="1" x14ac:dyDescent="0.3"/>
    <row r="30353" s="160" customFormat="1" x14ac:dyDescent="0.3"/>
    <row r="30354" s="160" customFormat="1" x14ac:dyDescent="0.3"/>
    <row r="30355" s="160" customFormat="1" x14ac:dyDescent="0.3"/>
    <row r="30356" s="160" customFormat="1" x14ac:dyDescent="0.3"/>
    <row r="30357" s="160" customFormat="1" x14ac:dyDescent="0.3"/>
    <row r="30358" s="160" customFormat="1" x14ac:dyDescent="0.3"/>
    <row r="30359" s="160" customFormat="1" x14ac:dyDescent="0.3"/>
    <row r="30360" s="160" customFormat="1" x14ac:dyDescent="0.3"/>
    <row r="30361" s="160" customFormat="1" x14ac:dyDescent="0.3"/>
    <row r="30362" s="160" customFormat="1" x14ac:dyDescent="0.3"/>
    <row r="30363" s="160" customFormat="1" x14ac:dyDescent="0.3"/>
    <row r="30364" s="160" customFormat="1" x14ac:dyDescent="0.3"/>
    <row r="30365" s="160" customFormat="1" x14ac:dyDescent="0.3"/>
    <row r="30366" s="160" customFormat="1" x14ac:dyDescent="0.3"/>
    <row r="30367" s="160" customFormat="1" x14ac:dyDescent="0.3"/>
    <row r="30368" s="160" customFormat="1" x14ac:dyDescent="0.3"/>
    <row r="30369" s="160" customFormat="1" x14ac:dyDescent="0.3"/>
    <row r="30370" s="160" customFormat="1" x14ac:dyDescent="0.3"/>
    <row r="30371" s="160" customFormat="1" x14ac:dyDescent="0.3"/>
    <row r="30372" s="160" customFormat="1" x14ac:dyDescent="0.3"/>
    <row r="30373" s="160" customFormat="1" x14ac:dyDescent="0.3"/>
    <row r="30374" s="160" customFormat="1" x14ac:dyDescent="0.3"/>
    <row r="30375" s="160" customFormat="1" x14ac:dyDescent="0.3"/>
    <row r="30376" s="160" customFormat="1" x14ac:dyDescent="0.3"/>
    <row r="30377" s="160" customFormat="1" x14ac:dyDescent="0.3"/>
    <row r="30378" s="160" customFormat="1" x14ac:dyDescent="0.3"/>
    <row r="30379" s="160" customFormat="1" x14ac:dyDescent="0.3"/>
    <row r="30380" s="160" customFormat="1" x14ac:dyDescent="0.3"/>
    <row r="30381" s="160" customFormat="1" x14ac:dyDescent="0.3"/>
    <row r="30382" s="160" customFormat="1" x14ac:dyDescent="0.3"/>
    <row r="30383" s="160" customFormat="1" x14ac:dyDescent="0.3"/>
    <row r="30384" s="160" customFormat="1" x14ac:dyDescent="0.3"/>
    <row r="30385" s="160" customFormat="1" x14ac:dyDescent="0.3"/>
    <row r="30386" s="160" customFormat="1" x14ac:dyDescent="0.3"/>
    <row r="30387" s="160" customFormat="1" x14ac:dyDescent="0.3"/>
    <row r="30388" s="160" customFormat="1" x14ac:dyDescent="0.3"/>
    <row r="30389" s="160" customFormat="1" x14ac:dyDescent="0.3"/>
    <row r="30390" s="160" customFormat="1" x14ac:dyDescent="0.3"/>
    <row r="30391" s="160" customFormat="1" x14ac:dyDescent="0.3"/>
    <row r="30392" s="160" customFormat="1" x14ac:dyDescent="0.3"/>
    <row r="30393" s="160" customFormat="1" x14ac:dyDescent="0.3"/>
    <row r="30394" s="160" customFormat="1" x14ac:dyDescent="0.3"/>
    <row r="30395" s="160" customFormat="1" x14ac:dyDescent="0.3"/>
    <row r="30396" s="160" customFormat="1" x14ac:dyDescent="0.3"/>
    <row r="30397" s="160" customFormat="1" x14ac:dyDescent="0.3"/>
    <row r="30398" s="160" customFormat="1" x14ac:dyDescent="0.3"/>
    <row r="30399" s="160" customFormat="1" x14ac:dyDescent="0.3"/>
    <row r="30400" s="160" customFormat="1" x14ac:dyDescent="0.3"/>
    <row r="30401" s="160" customFormat="1" x14ac:dyDescent="0.3"/>
    <row r="30402" s="160" customFormat="1" x14ac:dyDescent="0.3"/>
    <row r="30403" s="160" customFormat="1" x14ac:dyDescent="0.3"/>
    <row r="30404" s="160" customFormat="1" x14ac:dyDescent="0.3"/>
    <row r="30405" s="160" customFormat="1" x14ac:dyDescent="0.3"/>
    <row r="30406" s="160" customFormat="1" x14ac:dyDescent="0.3"/>
    <row r="30407" s="160" customFormat="1" x14ac:dyDescent="0.3"/>
    <row r="30408" s="160" customFormat="1" x14ac:dyDescent="0.3"/>
    <row r="30409" s="160" customFormat="1" x14ac:dyDescent="0.3"/>
    <row r="30410" s="160" customFormat="1" x14ac:dyDescent="0.3"/>
    <row r="30411" s="160" customFormat="1" x14ac:dyDescent="0.3"/>
    <row r="30412" s="160" customFormat="1" x14ac:dyDescent="0.3"/>
    <row r="30413" s="160" customFormat="1" x14ac:dyDescent="0.3"/>
    <row r="30414" s="160" customFormat="1" x14ac:dyDescent="0.3"/>
    <row r="30415" s="160" customFormat="1" x14ac:dyDescent="0.3"/>
    <row r="30416" s="160" customFormat="1" x14ac:dyDescent="0.3"/>
    <row r="30417" s="160" customFormat="1" x14ac:dyDescent="0.3"/>
    <row r="30418" s="160" customFormat="1" x14ac:dyDescent="0.3"/>
    <row r="30419" s="160" customFormat="1" x14ac:dyDescent="0.3"/>
    <row r="30420" s="160" customFormat="1" x14ac:dyDescent="0.3"/>
    <row r="30421" s="160" customFormat="1" x14ac:dyDescent="0.3"/>
    <row r="30422" s="160" customFormat="1" x14ac:dyDescent="0.3"/>
    <row r="30423" s="160" customFormat="1" x14ac:dyDescent="0.3"/>
    <row r="30424" s="160" customFormat="1" x14ac:dyDescent="0.3"/>
    <row r="30425" s="160" customFormat="1" x14ac:dyDescent="0.3"/>
    <row r="30426" s="160" customFormat="1" x14ac:dyDescent="0.3"/>
    <row r="30427" s="160" customFormat="1" x14ac:dyDescent="0.3"/>
    <row r="30428" s="160" customFormat="1" x14ac:dyDescent="0.3"/>
    <row r="30429" s="160" customFormat="1" x14ac:dyDescent="0.3"/>
    <row r="30430" s="160" customFormat="1" x14ac:dyDescent="0.3"/>
    <row r="30431" s="160" customFormat="1" x14ac:dyDescent="0.3"/>
    <row r="30432" s="160" customFormat="1" x14ac:dyDescent="0.3"/>
    <row r="30433" s="160" customFormat="1" x14ac:dyDescent="0.3"/>
    <row r="30434" s="160" customFormat="1" x14ac:dyDescent="0.3"/>
    <row r="30435" s="160" customFormat="1" x14ac:dyDescent="0.3"/>
    <row r="30436" s="160" customFormat="1" x14ac:dyDescent="0.3"/>
    <row r="30437" s="160" customFormat="1" x14ac:dyDescent="0.3"/>
    <row r="30438" s="160" customFormat="1" x14ac:dyDescent="0.3"/>
    <row r="30439" s="160" customFormat="1" x14ac:dyDescent="0.3"/>
    <row r="30440" s="160" customFormat="1" x14ac:dyDescent="0.3"/>
    <row r="30441" s="160" customFormat="1" x14ac:dyDescent="0.3"/>
    <row r="30442" s="160" customFormat="1" x14ac:dyDescent="0.3"/>
    <row r="30443" s="160" customFormat="1" x14ac:dyDescent="0.3"/>
    <row r="30444" s="160" customFormat="1" x14ac:dyDescent="0.3"/>
    <row r="30445" s="160" customFormat="1" x14ac:dyDescent="0.3"/>
    <row r="30446" s="160" customFormat="1" x14ac:dyDescent="0.3"/>
    <row r="30447" s="160" customFormat="1" x14ac:dyDescent="0.3"/>
    <row r="30448" s="160" customFormat="1" x14ac:dyDescent="0.3"/>
    <row r="30449" s="160" customFormat="1" x14ac:dyDescent="0.3"/>
    <row r="30450" s="160" customFormat="1" x14ac:dyDescent="0.3"/>
    <row r="30451" s="160" customFormat="1" x14ac:dyDescent="0.3"/>
    <row r="30452" s="160" customFormat="1" x14ac:dyDescent="0.3"/>
    <row r="30453" s="160" customFormat="1" x14ac:dyDescent="0.3"/>
    <row r="30454" s="160" customFormat="1" x14ac:dyDescent="0.3"/>
    <row r="30455" s="160" customFormat="1" x14ac:dyDescent="0.3"/>
    <row r="30456" s="160" customFormat="1" x14ac:dyDescent="0.3"/>
    <row r="30457" s="160" customFormat="1" x14ac:dyDescent="0.3"/>
    <row r="30458" s="160" customFormat="1" x14ac:dyDescent="0.3"/>
    <row r="30459" s="160" customFormat="1" x14ac:dyDescent="0.3"/>
    <row r="30460" s="160" customFormat="1" x14ac:dyDescent="0.3"/>
    <row r="30461" s="160" customFormat="1" x14ac:dyDescent="0.3"/>
    <row r="30462" s="160" customFormat="1" x14ac:dyDescent="0.3"/>
    <row r="30463" s="160" customFormat="1" x14ac:dyDescent="0.3"/>
    <row r="30464" s="160" customFormat="1" x14ac:dyDescent="0.3"/>
    <row r="30465" s="160" customFormat="1" x14ac:dyDescent="0.3"/>
    <row r="30466" s="160" customFormat="1" x14ac:dyDescent="0.3"/>
    <row r="30467" s="160" customFormat="1" x14ac:dyDescent="0.3"/>
    <row r="30468" s="160" customFormat="1" x14ac:dyDescent="0.3"/>
    <row r="30469" s="160" customFormat="1" x14ac:dyDescent="0.3"/>
    <row r="30470" s="160" customFormat="1" x14ac:dyDescent="0.3"/>
    <row r="30471" s="160" customFormat="1" x14ac:dyDescent="0.3"/>
    <row r="30472" s="160" customFormat="1" x14ac:dyDescent="0.3"/>
    <row r="30473" s="160" customFormat="1" x14ac:dyDescent="0.3"/>
    <row r="30474" s="160" customFormat="1" x14ac:dyDescent="0.3"/>
    <row r="30475" s="160" customFormat="1" x14ac:dyDescent="0.3"/>
    <row r="30476" s="160" customFormat="1" x14ac:dyDescent="0.3"/>
    <row r="30477" s="160" customFormat="1" x14ac:dyDescent="0.3"/>
    <row r="30478" s="160" customFormat="1" x14ac:dyDescent="0.3"/>
    <row r="30479" s="160" customFormat="1" x14ac:dyDescent="0.3"/>
    <row r="30480" s="160" customFormat="1" x14ac:dyDescent="0.3"/>
    <row r="30481" s="160" customFormat="1" x14ac:dyDescent="0.3"/>
    <row r="30482" s="160" customFormat="1" x14ac:dyDescent="0.3"/>
    <row r="30483" s="160" customFormat="1" x14ac:dyDescent="0.3"/>
    <row r="30484" s="160" customFormat="1" x14ac:dyDescent="0.3"/>
    <row r="30485" s="160" customFormat="1" x14ac:dyDescent="0.3"/>
    <row r="30486" s="160" customFormat="1" x14ac:dyDescent="0.3"/>
    <row r="30487" s="160" customFormat="1" x14ac:dyDescent="0.3"/>
    <row r="30488" s="160" customFormat="1" x14ac:dyDescent="0.3"/>
    <row r="30489" s="160" customFormat="1" x14ac:dyDescent="0.3"/>
    <row r="30490" s="160" customFormat="1" x14ac:dyDescent="0.3"/>
    <row r="30491" s="160" customFormat="1" x14ac:dyDescent="0.3"/>
    <row r="30492" s="160" customFormat="1" x14ac:dyDescent="0.3"/>
    <row r="30493" s="160" customFormat="1" x14ac:dyDescent="0.3"/>
    <row r="30494" s="160" customFormat="1" x14ac:dyDescent="0.3"/>
    <row r="30495" s="160" customFormat="1" x14ac:dyDescent="0.3"/>
    <row r="30496" s="160" customFormat="1" x14ac:dyDescent="0.3"/>
    <row r="30497" s="160" customFormat="1" x14ac:dyDescent="0.3"/>
    <row r="30498" s="160" customFormat="1" x14ac:dyDescent="0.3"/>
    <row r="30499" s="160" customFormat="1" x14ac:dyDescent="0.3"/>
    <row r="30500" s="160" customFormat="1" x14ac:dyDescent="0.3"/>
    <row r="30501" s="160" customFormat="1" x14ac:dyDescent="0.3"/>
    <row r="30502" s="160" customFormat="1" x14ac:dyDescent="0.3"/>
    <row r="30503" s="160" customFormat="1" x14ac:dyDescent="0.3"/>
    <row r="30504" s="160" customFormat="1" x14ac:dyDescent="0.3"/>
    <row r="30505" s="160" customFormat="1" x14ac:dyDescent="0.3"/>
    <row r="30506" s="160" customFormat="1" x14ac:dyDescent="0.3"/>
    <row r="30507" s="160" customFormat="1" x14ac:dyDescent="0.3"/>
    <row r="30508" s="160" customFormat="1" x14ac:dyDescent="0.3"/>
    <row r="30509" s="160" customFormat="1" x14ac:dyDescent="0.3"/>
    <row r="30510" s="160" customFormat="1" x14ac:dyDescent="0.3"/>
    <row r="30511" s="160" customFormat="1" x14ac:dyDescent="0.3"/>
    <row r="30512" s="160" customFormat="1" x14ac:dyDescent="0.3"/>
    <row r="30513" s="160" customFormat="1" x14ac:dyDescent="0.3"/>
    <row r="30514" s="160" customFormat="1" x14ac:dyDescent="0.3"/>
    <row r="30515" s="160" customFormat="1" x14ac:dyDescent="0.3"/>
    <row r="30516" s="160" customFormat="1" x14ac:dyDescent="0.3"/>
    <row r="30517" s="160" customFormat="1" x14ac:dyDescent="0.3"/>
    <row r="30518" s="160" customFormat="1" x14ac:dyDescent="0.3"/>
    <row r="30519" s="160" customFormat="1" x14ac:dyDescent="0.3"/>
    <row r="30520" s="160" customFormat="1" x14ac:dyDescent="0.3"/>
    <row r="30521" s="160" customFormat="1" x14ac:dyDescent="0.3"/>
    <row r="30522" s="160" customFormat="1" x14ac:dyDescent="0.3"/>
    <row r="30523" s="160" customFormat="1" x14ac:dyDescent="0.3"/>
    <row r="30524" s="160" customFormat="1" x14ac:dyDescent="0.3"/>
    <row r="30525" s="160" customFormat="1" x14ac:dyDescent="0.3"/>
    <row r="30526" s="160" customFormat="1" x14ac:dyDescent="0.3"/>
    <row r="30527" s="160" customFormat="1" x14ac:dyDescent="0.3"/>
    <row r="30528" s="160" customFormat="1" x14ac:dyDescent="0.3"/>
    <row r="30529" s="160" customFormat="1" x14ac:dyDescent="0.3"/>
    <row r="30530" s="160" customFormat="1" x14ac:dyDescent="0.3"/>
    <row r="30531" s="160" customFormat="1" x14ac:dyDescent="0.3"/>
    <row r="30532" s="160" customFormat="1" x14ac:dyDescent="0.3"/>
    <row r="30533" s="160" customFormat="1" x14ac:dyDescent="0.3"/>
    <row r="30534" s="160" customFormat="1" x14ac:dyDescent="0.3"/>
    <row r="30535" s="160" customFormat="1" x14ac:dyDescent="0.3"/>
    <row r="30536" s="160" customFormat="1" x14ac:dyDescent="0.3"/>
    <row r="30537" s="160" customFormat="1" x14ac:dyDescent="0.3"/>
    <row r="30538" s="160" customFormat="1" x14ac:dyDescent="0.3"/>
    <row r="30539" s="160" customFormat="1" x14ac:dyDescent="0.3"/>
    <row r="30540" s="160" customFormat="1" x14ac:dyDescent="0.3"/>
    <row r="30541" s="160" customFormat="1" x14ac:dyDescent="0.3"/>
    <row r="30542" s="160" customFormat="1" x14ac:dyDescent="0.3"/>
    <row r="30543" s="160" customFormat="1" x14ac:dyDescent="0.3"/>
    <row r="30544" s="160" customFormat="1" x14ac:dyDescent="0.3"/>
    <row r="30545" s="160" customFormat="1" x14ac:dyDescent="0.3"/>
    <row r="30546" s="160" customFormat="1" x14ac:dyDescent="0.3"/>
    <row r="30547" s="160" customFormat="1" x14ac:dyDescent="0.3"/>
    <row r="30548" s="160" customFormat="1" x14ac:dyDescent="0.3"/>
    <row r="30549" s="160" customFormat="1" x14ac:dyDescent="0.3"/>
    <row r="30550" s="160" customFormat="1" x14ac:dyDescent="0.3"/>
    <row r="30551" s="160" customFormat="1" x14ac:dyDescent="0.3"/>
    <row r="30552" s="160" customFormat="1" x14ac:dyDescent="0.3"/>
    <row r="30553" s="160" customFormat="1" x14ac:dyDescent="0.3"/>
    <row r="30554" s="160" customFormat="1" x14ac:dyDescent="0.3"/>
    <row r="30555" s="160" customFormat="1" x14ac:dyDescent="0.3"/>
    <row r="30556" s="160" customFormat="1" x14ac:dyDescent="0.3"/>
    <row r="30557" s="160" customFormat="1" x14ac:dyDescent="0.3"/>
    <row r="30558" s="160" customFormat="1" x14ac:dyDescent="0.3"/>
    <row r="30559" s="160" customFormat="1" x14ac:dyDescent="0.3"/>
    <row r="30560" s="160" customFormat="1" x14ac:dyDescent="0.3"/>
    <row r="30561" s="160" customFormat="1" x14ac:dyDescent="0.3"/>
    <row r="30562" s="160" customFormat="1" x14ac:dyDescent="0.3"/>
    <row r="30563" s="160" customFormat="1" x14ac:dyDescent="0.3"/>
    <row r="30564" s="160" customFormat="1" x14ac:dyDescent="0.3"/>
    <row r="30565" s="160" customFormat="1" x14ac:dyDescent="0.3"/>
    <row r="30566" s="160" customFormat="1" x14ac:dyDescent="0.3"/>
    <row r="30567" s="160" customFormat="1" x14ac:dyDescent="0.3"/>
    <row r="30568" s="160" customFormat="1" x14ac:dyDescent="0.3"/>
    <row r="30569" s="160" customFormat="1" x14ac:dyDescent="0.3"/>
    <row r="30570" s="160" customFormat="1" x14ac:dyDescent="0.3"/>
    <row r="30571" s="160" customFormat="1" x14ac:dyDescent="0.3"/>
    <row r="30572" s="160" customFormat="1" x14ac:dyDescent="0.3"/>
    <row r="30573" s="160" customFormat="1" x14ac:dyDescent="0.3"/>
    <row r="30574" s="160" customFormat="1" x14ac:dyDescent="0.3"/>
    <row r="30575" s="160" customFormat="1" x14ac:dyDescent="0.3"/>
    <row r="30576" s="160" customFormat="1" x14ac:dyDescent="0.3"/>
    <row r="30577" s="160" customFormat="1" x14ac:dyDescent="0.3"/>
    <row r="30578" s="160" customFormat="1" x14ac:dyDescent="0.3"/>
    <row r="30579" s="160" customFormat="1" x14ac:dyDescent="0.3"/>
    <row r="30580" s="160" customFormat="1" x14ac:dyDescent="0.3"/>
    <row r="30581" s="160" customFormat="1" x14ac:dyDescent="0.3"/>
    <row r="30582" s="160" customFormat="1" x14ac:dyDescent="0.3"/>
    <row r="30583" s="160" customFormat="1" x14ac:dyDescent="0.3"/>
    <row r="30584" s="160" customFormat="1" x14ac:dyDescent="0.3"/>
    <row r="30585" s="160" customFormat="1" x14ac:dyDescent="0.3"/>
    <row r="30586" s="160" customFormat="1" x14ac:dyDescent="0.3"/>
    <row r="30587" s="160" customFormat="1" x14ac:dyDescent="0.3"/>
    <row r="30588" s="160" customFormat="1" x14ac:dyDescent="0.3"/>
    <row r="30589" s="160" customFormat="1" x14ac:dyDescent="0.3"/>
    <row r="30590" s="160" customFormat="1" x14ac:dyDescent="0.3"/>
    <row r="30591" s="160" customFormat="1" x14ac:dyDescent="0.3"/>
    <row r="30592" s="160" customFormat="1" x14ac:dyDescent="0.3"/>
    <row r="30593" s="160" customFormat="1" x14ac:dyDescent="0.3"/>
    <row r="30594" s="160" customFormat="1" x14ac:dyDescent="0.3"/>
    <row r="30595" s="160" customFormat="1" x14ac:dyDescent="0.3"/>
    <row r="30596" s="160" customFormat="1" x14ac:dyDescent="0.3"/>
    <row r="30597" s="160" customFormat="1" x14ac:dyDescent="0.3"/>
    <row r="30598" s="160" customFormat="1" x14ac:dyDescent="0.3"/>
    <row r="30599" s="160" customFormat="1" x14ac:dyDescent="0.3"/>
    <row r="30600" s="160" customFormat="1" x14ac:dyDescent="0.3"/>
    <row r="30601" s="160" customFormat="1" x14ac:dyDescent="0.3"/>
    <row r="30602" s="160" customFormat="1" x14ac:dyDescent="0.3"/>
    <row r="30603" s="160" customFormat="1" x14ac:dyDescent="0.3"/>
    <row r="30604" s="160" customFormat="1" x14ac:dyDescent="0.3"/>
    <row r="30605" s="160" customFormat="1" x14ac:dyDescent="0.3"/>
    <row r="30606" s="160" customFormat="1" x14ac:dyDescent="0.3"/>
    <row r="30607" s="160" customFormat="1" x14ac:dyDescent="0.3"/>
    <row r="30608" s="160" customFormat="1" x14ac:dyDescent="0.3"/>
    <row r="30609" s="160" customFormat="1" x14ac:dyDescent="0.3"/>
    <row r="30610" s="160" customFormat="1" x14ac:dyDescent="0.3"/>
    <row r="30611" s="160" customFormat="1" x14ac:dyDescent="0.3"/>
    <row r="30612" s="160" customFormat="1" x14ac:dyDescent="0.3"/>
    <row r="30613" s="160" customFormat="1" x14ac:dyDescent="0.3"/>
    <row r="30614" s="160" customFormat="1" x14ac:dyDescent="0.3"/>
    <row r="30615" s="160" customFormat="1" x14ac:dyDescent="0.3"/>
    <row r="30616" s="160" customFormat="1" x14ac:dyDescent="0.3"/>
    <row r="30617" s="160" customFormat="1" x14ac:dyDescent="0.3"/>
    <row r="30618" s="160" customFormat="1" x14ac:dyDescent="0.3"/>
    <row r="30619" s="160" customFormat="1" x14ac:dyDescent="0.3"/>
    <row r="30620" s="160" customFormat="1" x14ac:dyDescent="0.3"/>
    <row r="30621" s="160" customFormat="1" x14ac:dyDescent="0.3"/>
    <row r="30622" s="160" customFormat="1" x14ac:dyDescent="0.3"/>
    <row r="30623" s="160" customFormat="1" x14ac:dyDescent="0.3"/>
    <row r="30624" s="160" customFormat="1" x14ac:dyDescent="0.3"/>
    <row r="30625" s="160" customFormat="1" x14ac:dyDescent="0.3"/>
    <row r="30626" s="160" customFormat="1" x14ac:dyDescent="0.3"/>
    <row r="30627" s="160" customFormat="1" x14ac:dyDescent="0.3"/>
    <row r="30628" s="160" customFormat="1" x14ac:dyDescent="0.3"/>
    <row r="30629" s="160" customFormat="1" x14ac:dyDescent="0.3"/>
    <row r="30630" s="160" customFormat="1" x14ac:dyDescent="0.3"/>
    <row r="30631" s="160" customFormat="1" x14ac:dyDescent="0.3"/>
    <row r="30632" s="160" customFormat="1" x14ac:dyDescent="0.3"/>
    <row r="30633" s="160" customFormat="1" x14ac:dyDescent="0.3"/>
    <row r="30634" s="160" customFormat="1" x14ac:dyDescent="0.3"/>
    <row r="30635" s="160" customFormat="1" x14ac:dyDescent="0.3"/>
    <row r="30636" s="160" customFormat="1" x14ac:dyDescent="0.3"/>
    <row r="30637" s="160" customFormat="1" x14ac:dyDescent="0.3"/>
    <row r="30638" s="160" customFormat="1" x14ac:dyDescent="0.3"/>
    <row r="30639" s="160" customFormat="1" x14ac:dyDescent="0.3"/>
    <row r="30640" s="160" customFormat="1" x14ac:dyDescent="0.3"/>
    <row r="30641" s="160" customFormat="1" x14ac:dyDescent="0.3"/>
    <row r="30642" s="160" customFormat="1" x14ac:dyDescent="0.3"/>
    <row r="30643" s="160" customFormat="1" x14ac:dyDescent="0.3"/>
    <row r="30644" s="160" customFormat="1" x14ac:dyDescent="0.3"/>
    <row r="30645" s="160" customFormat="1" x14ac:dyDescent="0.3"/>
    <row r="30646" s="160" customFormat="1" x14ac:dyDescent="0.3"/>
    <row r="30647" s="160" customFormat="1" x14ac:dyDescent="0.3"/>
    <row r="30648" s="160" customFormat="1" x14ac:dyDescent="0.3"/>
    <row r="30649" s="160" customFormat="1" x14ac:dyDescent="0.3"/>
    <row r="30650" s="160" customFormat="1" x14ac:dyDescent="0.3"/>
    <row r="30651" s="160" customFormat="1" x14ac:dyDescent="0.3"/>
    <row r="30652" s="160" customFormat="1" x14ac:dyDescent="0.3"/>
    <row r="30653" s="160" customFormat="1" x14ac:dyDescent="0.3"/>
    <row r="30654" s="160" customFormat="1" x14ac:dyDescent="0.3"/>
    <row r="30655" s="160" customFormat="1" x14ac:dyDescent="0.3"/>
    <row r="30656" s="160" customFormat="1" x14ac:dyDescent="0.3"/>
    <row r="30657" s="160" customFormat="1" x14ac:dyDescent="0.3"/>
    <row r="30658" s="160" customFormat="1" x14ac:dyDescent="0.3"/>
    <row r="30659" s="160" customFormat="1" x14ac:dyDescent="0.3"/>
    <row r="30660" s="160" customFormat="1" x14ac:dyDescent="0.3"/>
    <row r="30661" s="160" customFormat="1" x14ac:dyDescent="0.3"/>
    <row r="30662" s="160" customFormat="1" x14ac:dyDescent="0.3"/>
    <row r="30663" s="160" customFormat="1" x14ac:dyDescent="0.3"/>
    <row r="30664" s="160" customFormat="1" x14ac:dyDescent="0.3"/>
    <row r="30665" s="160" customFormat="1" x14ac:dyDescent="0.3"/>
    <row r="30666" s="160" customFormat="1" x14ac:dyDescent="0.3"/>
    <row r="30667" s="160" customFormat="1" x14ac:dyDescent="0.3"/>
    <row r="30668" s="160" customFormat="1" x14ac:dyDescent="0.3"/>
    <row r="30669" s="160" customFormat="1" x14ac:dyDescent="0.3"/>
    <row r="30670" s="160" customFormat="1" x14ac:dyDescent="0.3"/>
    <row r="30671" s="160" customFormat="1" x14ac:dyDescent="0.3"/>
    <row r="30672" s="160" customFormat="1" x14ac:dyDescent="0.3"/>
    <row r="30673" s="160" customFormat="1" x14ac:dyDescent="0.3"/>
    <row r="30674" s="160" customFormat="1" x14ac:dyDescent="0.3"/>
    <row r="30675" s="160" customFormat="1" x14ac:dyDescent="0.3"/>
    <row r="30676" s="160" customFormat="1" x14ac:dyDescent="0.3"/>
    <row r="30677" s="160" customFormat="1" x14ac:dyDescent="0.3"/>
    <row r="30678" s="160" customFormat="1" x14ac:dyDescent="0.3"/>
    <row r="30679" s="160" customFormat="1" x14ac:dyDescent="0.3"/>
    <row r="30680" s="160" customFormat="1" x14ac:dyDescent="0.3"/>
    <row r="30681" s="160" customFormat="1" x14ac:dyDescent="0.3"/>
    <row r="30682" s="160" customFormat="1" x14ac:dyDescent="0.3"/>
    <row r="30683" s="160" customFormat="1" x14ac:dyDescent="0.3"/>
    <row r="30684" s="160" customFormat="1" x14ac:dyDescent="0.3"/>
    <row r="30685" s="160" customFormat="1" x14ac:dyDescent="0.3"/>
    <row r="30686" s="160" customFormat="1" x14ac:dyDescent="0.3"/>
    <row r="30687" s="160" customFormat="1" x14ac:dyDescent="0.3"/>
    <row r="30688" s="160" customFormat="1" x14ac:dyDescent="0.3"/>
    <row r="30689" s="160" customFormat="1" x14ac:dyDescent="0.3"/>
    <row r="30690" s="160" customFormat="1" x14ac:dyDescent="0.3"/>
    <row r="30691" s="160" customFormat="1" x14ac:dyDescent="0.3"/>
    <row r="30692" s="160" customFormat="1" x14ac:dyDescent="0.3"/>
    <row r="30693" s="160" customFormat="1" x14ac:dyDescent="0.3"/>
    <row r="30694" s="160" customFormat="1" x14ac:dyDescent="0.3"/>
    <row r="30695" s="160" customFormat="1" x14ac:dyDescent="0.3"/>
    <row r="30696" s="160" customFormat="1" x14ac:dyDescent="0.3"/>
    <row r="30697" s="160" customFormat="1" x14ac:dyDescent="0.3"/>
    <row r="30698" s="160" customFormat="1" x14ac:dyDescent="0.3"/>
    <row r="30699" s="160" customFormat="1" x14ac:dyDescent="0.3"/>
    <row r="30700" s="160" customFormat="1" x14ac:dyDescent="0.3"/>
    <row r="30701" s="160" customFormat="1" x14ac:dyDescent="0.3"/>
    <row r="30702" s="160" customFormat="1" x14ac:dyDescent="0.3"/>
    <row r="30703" s="160" customFormat="1" x14ac:dyDescent="0.3"/>
    <row r="30704" s="160" customFormat="1" x14ac:dyDescent="0.3"/>
    <row r="30705" s="160" customFormat="1" x14ac:dyDescent="0.3"/>
    <row r="30706" s="160" customFormat="1" x14ac:dyDescent="0.3"/>
    <row r="30707" s="160" customFormat="1" x14ac:dyDescent="0.3"/>
    <row r="30708" s="160" customFormat="1" x14ac:dyDescent="0.3"/>
    <row r="30709" s="160" customFormat="1" x14ac:dyDescent="0.3"/>
    <row r="30710" s="160" customFormat="1" x14ac:dyDescent="0.3"/>
    <row r="30711" s="160" customFormat="1" x14ac:dyDescent="0.3"/>
    <row r="30712" s="160" customFormat="1" x14ac:dyDescent="0.3"/>
    <row r="30713" s="160" customFormat="1" x14ac:dyDescent="0.3"/>
    <row r="30714" s="160" customFormat="1" x14ac:dyDescent="0.3"/>
    <row r="30715" s="160" customFormat="1" x14ac:dyDescent="0.3"/>
    <row r="30716" s="160" customFormat="1" x14ac:dyDescent="0.3"/>
    <row r="30717" s="160" customFormat="1" x14ac:dyDescent="0.3"/>
    <row r="30718" s="160" customFormat="1" x14ac:dyDescent="0.3"/>
    <row r="30719" s="160" customFormat="1" x14ac:dyDescent="0.3"/>
    <row r="30720" s="160" customFormat="1" x14ac:dyDescent="0.3"/>
    <row r="30721" s="160" customFormat="1" x14ac:dyDescent="0.3"/>
    <row r="30722" s="160" customFormat="1" x14ac:dyDescent="0.3"/>
    <row r="30723" s="160" customFormat="1" x14ac:dyDescent="0.3"/>
    <row r="30724" s="160" customFormat="1" x14ac:dyDescent="0.3"/>
    <row r="30725" s="160" customFormat="1" x14ac:dyDescent="0.3"/>
    <row r="30726" s="160" customFormat="1" x14ac:dyDescent="0.3"/>
    <row r="30727" s="160" customFormat="1" x14ac:dyDescent="0.3"/>
    <row r="30728" s="160" customFormat="1" x14ac:dyDescent="0.3"/>
    <row r="30729" s="160" customFormat="1" x14ac:dyDescent="0.3"/>
    <row r="30730" s="160" customFormat="1" x14ac:dyDescent="0.3"/>
    <row r="30731" s="160" customFormat="1" x14ac:dyDescent="0.3"/>
    <row r="30732" s="160" customFormat="1" x14ac:dyDescent="0.3"/>
    <row r="30733" s="160" customFormat="1" x14ac:dyDescent="0.3"/>
    <row r="30734" s="160" customFormat="1" x14ac:dyDescent="0.3"/>
    <row r="30735" s="160" customFormat="1" x14ac:dyDescent="0.3"/>
    <row r="30736" s="160" customFormat="1" x14ac:dyDescent="0.3"/>
    <row r="30737" s="160" customFormat="1" x14ac:dyDescent="0.3"/>
    <row r="30738" s="160" customFormat="1" x14ac:dyDescent="0.3"/>
    <row r="30739" s="160" customFormat="1" x14ac:dyDescent="0.3"/>
    <row r="30740" s="160" customFormat="1" x14ac:dyDescent="0.3"/>
    <row r="30741" s="160" customFormat="1" x14ac:dyDescent="0.3"/>
    <row r="30742" s="160" customFormat="1" x14ac:dyDescent="0.3"/>
    <row r="30743" s="160" customFormat="1" x14ac:dyDescent="0.3"/>
    <row r="30744" s="160" customFormat="1" x14ac:dyDescent="0.3"/>
    <row r="30745" s="160" customFormat="1" x14ac:dyDescent="0.3"/>
    <row r="30746" s="160" customFormat="1" x14ac:dyDescent="0.3"/>
    <row r="30747" s="160" customFormat="1" x14ac:dyDescent="0.3"/>
    <row r="30748" s="160" customFormat="1" x14ac:dyDescent="0.3"/>
    <row r="30749" s="160" customFormat="1" x14ac:dyDescent="0.3"/>
    <row r="30750" s="160" customFormat="1" x14ac:dyDescent="0.3"/>
    <row r="30751" s="160" customFormat="1" x14ac:dyDescent="0.3"/>
    <row r="30752" s="160" customFormat="1" x14ac:dyDescent="0.3"/>
    <row r="30753" s="160" customFormat="1" x14ac:dyDescent="0.3"/>
    <row r="30754" s="160" customFormat="1" x14ac:dyDescent="0.3"/>
    <row r="30755" s="160" customFormat="1" x14ac:dyDescent="0.3"/>
    <row r="30756" s="160" customFormat="1" x14ac:dyDescent="0.3"/>
    <row r="30757" s="160" customFormat="1" x14ac:dyDescent="0.3"/>
    <row r="30758" s="160" customFormat="1" x14ac:dyDescent="0.3"/>
    <row r="30759" s="160" customFormat="1" x14ac:dyDescent="0.3"/>
    <row r="30760" s="160" customFormat="1" x14ac:dyDescent="0.3"/>
    <row r="30761" s="160" customFormat="1" x14ac:dyDescent="0.3"/>
    <row r="30762" s="160" customFormat="1" x14ac:dyDescent="0.3"/>
    <row r="30763" s="160" customFormat="1" x14ac:dyDescent="0.3"/>
    <row r="30764" s="160" customFormat="1" x14ac:dyDescent="0.3"/>
    <row r="30765" s="160" customFormat="1" x14ac:dyDescent="0.3"/>
    <row r="30766" s="160" customFormat="1" x14ac:dyDescent="0.3"/>
    <row r="30767" s="160" customFormat="1" x14ac:dyDescent="0.3"/>
    <row r="30768" s="160" customFormat="1" x14ac:dyDescent="0.3"/>
    <row r="30769" s="160" customFormat="1" x14ac:dyDescent="0.3"/>
    <row r="30770" s="160" customFormat="1" x14ac:dyDescent="0.3"/>
    <row r="30771" s="160" customFormat="1" x14ac:dyDescent="0.3"/>
    <row r="30772" s="160" customFormat="1" x14ac:dyDescent="0.3"/>
    <row r="30773" s="160" customFormat="1" x14ac:dyDescent="0.3"/>
    <row r="30774" s="160" customFormat="1" x14ac:dyDescent="0.3"/>
    <row r="30775" s="160" customFormat="1" x14ac:dyDescent="0.3"/>
    <row r="30776" s="160" customFormat="1" x14ac:dyDescent="0.3"/>
    <row r="30777" s="160" customFormat="1" x14ac:dyDescent="0.3"/>
    <row r="30778" s="160" customFormat="1" x14ac:dyDescent="0.3"/>
    <row r="30779" s="160" customFormat="1" x14ac:dyDescent="0.3"/>
    <row r="30780" s="160" customFormat="1" x14ac:dyDescent="0.3"/>
    <row r="30781" s="160" customFormat="1" x14ac:dyDescent="0.3"/>
    <row r="30782" s="160" customFormat="1" x14ac:dyDescent="0.3"/>
    <row r="30783" s="160" customFormat="1" x14ac:dyDescent="0.3"/>
    <row r="30784" s="160" customFormat="1" x14ac:dyDescent="0.3"/>
    <row r="30785" s="160" customFormat="1" x14ac:dyDescent="0.3"/>
    <row r="30786" s="160" customFormat="1" x14ac:dyDescent="0.3"/>
    <row r="30787" s="160" customFormat="1" x14ac:dyDescent="0.3"/>
    <row r="30788" s="160" customFormat="1" x14ac:dyDescent="0.3"/>
    <row r="30789" s="160" customFormat="1" x14ac:dyDescent="0.3"/>
    <row r="30790" s="160" customFormat="1" x14ac:dyDescent="0.3"/>
    <row r="30791" s="160" customFormat="1" x14ac:dyDescent="0.3"/>
    <row r="30792" s="160" customFormat="1" x14ac:dyDescent="0.3"/>
    <row r="30793" s="160" customFormat="1" x14ac:dyDescent="0.3"/>
    <row r="30794" s="160" customFormat="1" x14ac:dyDescent="0.3"/>
    <row r="30795" s="160" customFormat="1" x14ac:dyDescent="0.3"/>
    <row r="30796" s="160" customFormat="1" x14ac:dyDescent="0.3"/>
    <row r="30797" s="160" customFormat="1" x14ac:dyDescent="0.3"/>
    <row r="30798" s="160" customFormat="1" x14ac:dyDescent="0.3"/>
    <row r="30799" s="160" customFormat="1" x14ac:dyDescent="0.3"/>
    <row r="30800" s="160" customFormat="1" x14ac:dyDescent="0.3"/>
    <row r="30801" s="160" customFormat="1" x14ac:dyDescent="0.3"/>
    <row r="30802" s="160" customFormat="1" x14ac:dyDescent="0.3"/>
    <row r="30803" s="160" customFormat="1" x14ac:dyDescent="0.3"/>
    <row r="30804" s="160" customFormat="1" x14ac:dyDescent="0.3"/>
    <row r="30805" s="160" customFormat="1" x14ac:dyDescent="0.3"/>
    <row r="30806" s="160" customFormat="1" x14ac:dyDescent="0.3"/>
    <row r="30807" s="160" customFormat="1" x14ac:dyDescent="0.3"/>
    <row r="30808" s="160" customFormat="1" x14ac:dyDescent="0.3"/>
    <row r="30809" s="160" customFormat="1" x14ac:dyDescent="0.3"/>
    <row r="30810" s="160" customFormat="1" x14ac:dyDescent="0.3"/>
    <row r="30811" s="160" customFormat="1" x14ac:dyDescent="0.3"/>
    <row r="30812" s="160" customFormat="1" x14ac:dyDescent="0.3"/>
    <row r="30813" s="160" customFormat="1" x14ac:dyDescent="0.3"/>
    <row r="30814" s="160" customFormat="1" x14ac:dyDescent="0.3"/>
    <row r="30815" s="160" customFormat="1" x14ac:dyDescent="0.3"/>
    <row r="30816" s="160" customFormat="1" x14ac:dyDescent="0.3"/>
    <row r="30817" s="160" customFormat="1" x14ac:dyDescent="0.3"/>
    <row r="30818" s="160" customFormat="1" x14ac:dyDescent="0.3"/>
    <row r="30819" s="160" customFormat="1" x14ac:dyDescent="0.3"/>
    <row r="30820" s="160" customFormat="1" x14ac:dyDescent="0.3"/>
    <row r="30821" s="160" customFormat="1" x14ac:dyDescent="0.3"/>
    <row r="30822" s="160" customFormat="1" x14ac:dyDescent="0.3"/>
    <row r="30823" s="160" customFormat="1" x14ac:dyDescent="0.3"/>
    <row r="30824" s="160" customFormat="1" x14ac:dyDescent="0.3"/>
    <row r="30825" s="160" customFormat="1" x14ac:dyDescent="0.3"/>
    <row r="30826" s="160" customFormat="1" x14ac:dyDescent="0.3"/>
    <row r="30827" s="160" customFormat="1" x14ac:dyDescent="0.3"/>
    <row r="30828" s="160" customFormat="1" x14ac:dyDescent="0.3"/>
    <row r="30829" s="160" customFormat="1" x14ac:dyDescent="0.3"/>
    <row r="30830" s="160" customFormat="1" x14ac:dyDescent="0.3"/>
    <row r="30831" s="160" customFormat="1" x14ac:dyDescent="0.3"/>
    <row r="30832" s="160" customFormat="1" x14ac:dyDescent="0.3"/>
    <row r="30833" s="160" customFormat="1" x14ac:dyDescent="0.3"/>
    <row r="30834" s="160" customFormat="1" x14ac:dyDescent="0.3"/>
    <row r="30835" s="160" customFormat="1" x14ac:dyDescent="0.3"/>
    <row r="30836" s="160" customFormat="1" x14ac:dyDescent="0.3"/>
    <row r="30837" s="160" customFormat="1" x14ac:dyDescent="0.3"/>
    <row r="30838" s="160" customFormat="1" x14ac:dyDescent="0.3"/>
    <row r="30839" s="160" customFormat="1" x14ac:dyDescent="0.3"/>
    <row r="30840" s="160" customFormat="1" x14ac:dyDescent="0.3"/>
    <row r="30841" s="160" customFormat="1" x14ac:dyDescent="0.3"/>
    <row r="30842" s="160" customFormat="1" x14ac:dyDescent="0.3"/>
    <row r="30843" s="160" customFormat="1" x14ac:dyDescent="0.3"/>
    <row r="30844" s="160" customFormat="1" x14ac:dyDescent="0.3"/>
    <row r="30845" s="160" customFormat="1" x14ac:dyDescent="0.3"/>
    <row r="30846" s="160" customFormat="1" x14ac:dyDescent="0.3"/>
    <row r="30847" s="160" customFormat="1" x14ac:dyDescent="0.3"/>
    <row r="30848" s="160" customFormat="1" x14ac:dyDescent="0.3"/>
    <row r="30849" s="160" customFormat="1" x14ac:dyDescent="0.3"/>
    <row r="30850" s="160" customFormat="1" x14ac:dyDescent="0.3"/>
    <row r="30851" s="160" customFormat="1" x14ac:dyDescent="0.3"/>
    <row r="30852" s="160" customFormat="1" x14ac:dyDescent="0.3"/>
    <row r="30853" s="160" customFormat="1" x14ac:dyDescent="0.3"/>
    <row r="30854" s="160" customFormat="1" x14ac:dyDescent="0.3"/>
    <row r="30855" s="160" customFormat="1" x14ac:dyDescent="0.3"/>
    <row r="30856" s="160" customFormat="1" x14ac:dyDescent="0.3"/>
    <row r="30857" s="160" customFormat="1" x14ac:dyDescent="0.3"/>
    <row r="30858" s="160" customFormat="1" x14ac:dyDescent="0.3"/>
    <row r="30859" s="160" customFormat="1" x14ac:dyDescent="0.3"/>
    <row r="30860" s="160" customFormat="1" x14ac:dyDescent="0.3"/>
    <row r="30861" s="160" customFormat="1" x14ac:dyDescent="0.3"/>
    <row r="30862" s="160" customFormat="1" x14ac:dyDescent="0.3"/>
    <row r="30863" s="160" customFormat="1" x14ac:dyDescent="0.3"/>
    <row r="30864" s="160" customFormat="1" x14ac:dyDescent="0.3"/>
    <row r="30865" s="160" customFormat="1" x14ac:dyDescent="0.3"/>
    <row r="30866" s="160" customFormat="1" x14ac:dyDescent="0.3"/>
    <row r="30867" s="160" customFormat="1" x14ac:dyDescent="0.3"/>
    <row r="30868" s="160" customFormat="1" x14ac:dyDescent="0.3"/>
    <row r="30869" s="160" customFormat="1" x14ac:dyDescent="0.3"/>
    <row r="30870" s="160" customFormat="1" x14ac:dyDescent="0.3"/>
    <row r="30871" s="160" customFormat="1" x14ac:dyDescent="0.3"/>
    <row r="30872" s="160" customFormat="1" x14ac:dyDescent="0.3"/>
    <row r="30873" s="160" customFormat="1" x14ac:dyDescent="0.3"/>
    <row r="30874" s="160" customFormat="1" x14ac:dyDescent="0.3"/>
    <row r="30875" s="160" customFormat="1" x14ac:dyDescent="0.3"/>
    <row r="30876" s="160" customFormat="1" x14ac:dyDescent="0.3"/>
    <row r="30877" s="160" customFormat="1" x14ac:dyDescent="0.3"/>
    <row r="30878" s="160" customFormat="1" x14ac:dyDescent="0.3"/>
    <row r="30879" s="160" customFormat="1" x14ac:dyDescent="0.3"/>
    <row r="30880" s="160" customFormat="1" x14ac:dyDescent="0.3"/>
    <row r="30881" s="160" customFormat="1" x14ac:dyDescent="0.3"/>
    <row r="30882" s="160" customFormat="1" x14ac:dyDescent="0.3"/>
    <row r="30883" s="160" customFormat="1" x14ac:dyDescent="0.3"/>
    <row r="30884" s="160" customFormat="1" x14ac:dyDescent="0.3"/>
    <row r="30885" s="160" customFormat="1" x14ac:dyDescent="0.3"/>
    <row r="30886" s="160" customFormat="1" x14ac:dyDescent="0.3"/>
    <row r="30887" s="160" customFormat="1" x14ac:dyDescent="0.3"/>
    <row r="30888" s="160" customFormat="1" x14ac:dyDescent="0.3"/>
    <row r="30889" s="160" customFormat="1" x14ac:dyDescent="0.3"/>
    <row r="30890" s="160" customFormat="1" x14ac:dyDescent="0.3"/>
    <row r="30891" s="160" customFormat="1" x14ac:dyDescent="0.3"/>
    <row r="30892" s="160" customFormat="1" x14ac:dyDescent="0.3"/>
    <row r="30893" s="160" customFormat="1" x14ac:dyDescent="0.3"/>
    <row r="30894" s="160" customFormat="1" x14ac:dyDescent="0.3"/>
    <row r="30895" s="160" customFormat="1" x14ac:dyDescent="0.3"/>
    <row r="30896" s="160" customFormat="1" x14ac:dyDescent="0.3"/>
    <row r="30897" s="160" customFormat="1" x14ac:dyDescent="0.3"/>
    <row r="30898" s="160" customFormat="1" x14ac:dyDescent="0.3"/>
    <row r="30899" s="160" customFormat="1" x14ac:dyDescent="0.3"/>
    <row r="30900" s="160" customFormat="1" x14ac:dyDescent="0.3"/>
    <row r="30901" s="160" customFormat="1" x14ac:dyDescent="0.3"/>
    <row r="30902" s="160" customFormat="1" x14ac:dyDescent="0.3"/>
    <row r="30903" s="160" customFormat="1" x14ac:dyDescent="0.3"/>
    <row r="30904" s="160" customFormat="1" x14ac:dyDescent="0.3"/>
    <row r="30905" s="160" customFormat="1" x14ac:dyDescent="0.3"/>
    <row r="30906" s="160" customFormat="1" x14ac:dyDescent="0.3"/>
    <row r="30907" s="160" customFormat="1" x14ac:dyDescent="0.3"/>
    <row r="30908" s="160" customFormat="1" x14ac:dyDescent="0.3"/>
    <row r="30909" s="160" customFormat="1" x14ac:dyDescent="0.3"/>
    <row r="30910" s="160" customFormat="1" x14ac:dyDescent="0.3"/>
    <row r="30911" s="160" customFormat="1" x14ac:dyDescent="0.3"/>
    <row r="30912" s="160" customFormat="1" x14ac:dyDescent="0.3"/>
    <row r="30913" s="160" customFormat="1" x14ac:dyDescent="0.3"/>
    <row r="30914" s="160" customFormat="1" x14ac:dyDescent="0.3"/>
    <row r="30915" s="160" customFormat="1" x14ac:dyDescent="0.3"/>
    <row r="30916" s="160" customFormat="1" x14ac:dyDescent="0.3"/>
    <row r="30917" s="160" customFormat="1" x14ac:dyDescent="0.3"/>
    <row r="30918" s="160" customFormat="1" x14ac:dyDescent="0.3"/>
    <row r="30919" s="160" customFormat="1" x14ac:dyDescent="0.3"/>
    <row r="30920" s="160" customFormat="1" x14ac:dyDescent="0.3"/>
    <row r="30921" s="160" customFormat="1" x14ac:dyDescent="0.3"/>
    <row r="30922" s="160" customFormat="1" x14ac:dyDescent="0.3"/>
    <row r="30923" s="160" customFormat="1" x14ac:dyDescent="0.3"/>
    <row r="30924" s="160" customFormat="1" x14ac:dyDescent="0.3"/>
    <row r="30925" s="160" customFormat="1" x14ac:dyDescent="0.3"/>
    <row r="30926" s="160" customFormat="1" x14ac:dyDescent="0.3"/>
    <row r="30927" s="160" customFormat="1" x14ac:dyDescent="0.3"/>
    <row r="30928" s="160" customFormat="1" x14ac:dyDescent="0.3"/>
    <row r="30929" s="160" customFormat="1" x14ac:dyDescent="0.3"/>
    <row r="30930" s="160" customFormat="1" x14ac:dyDescent="0.3"/>
    <row r="30931" s="160" customFormat="1" x14ac:dyDescent="0.3"/>
    <row r="30932" s="160" customFormat="1" x14ac:dyDescent="0.3"/>
    <row r="30933" s="160" customFormat="1" x14ac:dyDescent="0.3"/>
    <row r="30934" s="160" customFormat="1" x14ac:dyDescent="0.3"/>
    <row r="30935" s="160" customFormat="1" x14ac:dyDescent="0.3"/>
    <row r="30936" s="160" customFormat="1" x14ac:dyDescent="0.3"/>
    <row r="30937" s="160" customFormat="1" x14ac:dyDescent="0.3"/>
    <row r="30938" s="160" customFormat="1" x14ac:dyDescent="0.3"/>
    <row r="30939" s="160" customFormat="1" x14ac:dyDescent="0.3"/>
    <row r="30940" s="160" customFormat="1" x14ac:dyDescent="0.3"/>
    <row r="30941" s="160" customFormat="1" x14ac:dyDescent="0.3"/>
    <row r="30942" s="160" customFormat="1" x14ac:dyDescent="0.3"/>
    <row r="30943" s="160" customFormat="1" x14ac:dyDescent="0.3"/>
    <row r="30944" s="160" customFormat="1" x14ac:dyDescent="0.3"/>
    <row r="30945" s="160" customFormat="1" x14ac:dyDescent="0.3"/>
    <row r="30946" s="160" customFormat="1" x14ac:dyDescent="0.3"/>
    <row r="30947" s="160" customFormat="1" x14ac:dyDescent="0.3"/>
    <row r="30948" s="160" customFormat="1" x14ac:dyDescent="0.3"/>
    <row r="30949" s="160" customFormat="1" x14ac:dyDescent="0.3"/>
    <row r="30950" s="160" customFormat="1" x14ac:dyDescent="0.3"/>
    <row r="30951" s="160" customFormat="1" x14ac:dyDescent="0.3"/>
    <row r="30952" s="160" customFormat="1" x14ac:dyDescent="0.3"/>
    <row r="30953" s="160" customFormat="1" x14ac:dyDescent="0.3"/>
    <row r="30954" s="160" customFormat="1" x14ac:dyDescent="0.3"/>
    <row r="30955" s="160" customFormat="1" x14ac:dyDescent="0.3"/>
    <row r="30956" s="160" customFormat="1" x14ac:dyDescent="0.3"/>
    <row r="30957" s="160" customFormat="1" x14ac:dyDescent="0.3"/>
    <row r="30958" s="160" customFormat="1" x14ac:dyDescent="0.3"/>
    <row r="30959" s="160" customFormat="1" x14ac:dyDescent="0.3"/>
    <row r="30960" s="160" customFormat="1" x14ac:dyDescent="0.3"/>
    <row r="30961" s="160" customFormat="1" x14ac:dyDescent="0.3"/>
    <row r="30962" s="160" customFormat="1" x14ac:dyDescent="0.3"/>
    <row r="30963" s="160" customFormat="1" x14ac:dyDescent="0.3"/>
    <row r="30964" s="160" customFormat="1" x14ac:dyDescent="0.3"/>
    <row r="30965" s="160" customFormat="1" x14ac:dyDescent="0.3"/>
    <row r="30966" s="160" customFormat="1" x14ac:dyDescent="0.3"/>
    <row r="30967" s="160" customFormat="1" x14ac:dyDescent="0.3"/>
    <row r="30968" s="160" customFormat="1" x14ac:dyDescent="0.3"/>
    <row r="30969" s="160" customFormat="1" x14ac:dyDescent="0.3"/>
    <row r="30970" s="160" customFormat="1" x14ac:dyDescent="0.3"/>
    <row r="30971" s="160" customFormat="1" x14ac:dyDescent="0.3"/>
    <row r="30972" s="160" customFormat="1" x14ac:dyDescent="0.3"/>
    <row r="30973" s="160" customFormat="1" x14ac:dyDescent="0.3"/>
    <row r="30974" s="160" customFormat="1" x14ac:dyDescent="0.3"/>
    <row r="30975" s="160" customFormat="1" x14ac:dyDescent="0.3"/>
    <row r="30976" s="160" customFormat="1" x14ac:dyDescent="0.3"/>
    <row r="30977" s="160" customFormat="1" x14ac:dyDescent="0.3"/>
    <row r="30978" s="160" customFormat="1" x14ac:dyDescent="0.3"/>
    <row r="30979" s="160" customFormat="1" x14ac:dyDescent="0.3"/>
    <row r="30980" s="160" customFormat="1" x14ac:dyDescent="0.3"/>
    <row r="30981" s="160" customFormat="1" x14ac:dyDescent="0.3"/>
    <row r="30982" s="160" customFormat="1" x14ac:dyDescent="0.3"/>
    <row r="30983" s="160" customFormat="1" x14ac:dyDescent="0.3"/>
    <row r="30984" s="160" customFormat="1" x14ac:dyDescent="0.3"/>
    <row r="30985" s="160" customFormat="1" x14ac:dyDescent="0.3"/>
    <row r="30986" s="160" customFormat="1" x14ac:dyDescent="0.3"/>
    <row r="30987" s="160" customFormat="1" x14ac:dyDescent="0.3"/>
    <row r="30988" s="160" customFormat="1" x14ac:dyDescent="0.3"/>
    <row r="30989" s="160" customFormat="1" x14ac:dyDescent="0.3"/>
    <row r="30990" s="160" customFormat="1" x14ac:dyDescent="0.3"/>
    <row r="30991" s="160" customFormat="1" x14ac:dyDescent="0.3"/>
    <row r="30992" s="160" customFormat="1" x14ac:dyDescent="0.3"/>
    <row r="30993" s="160" customFormat="1" x14ac:dyDescent="0.3"/>
    <row r="30994" s="160" customFormat="1" x14ac:dyDescent="0.3"/>
    <row r="30995" s="160" customFormat="1" x14ac:dyDescent="0.3"/>
    <row r="30996" s="160" customFormat="1" x14ac:dyDescent="0.3"/>
    <row r="30997" s="160" customFormat="1" x14ac:dyDescent="0.3"/>
    <row r="30998" s="160" customFormat="1" x14ac:dyDescent="0.3"/>
    <row r="30999" s="160" customFormat="1" x14ac:dyDescent="0.3"/>
    <row r="31000" s="160" customFormat="1" x14ac:dyDescent="0.3"/>
    <row r="31001" s="160" customFormat="1" x14ac:dyDescent="0.3"/>
    <row r="31002" s="160" customFormat="1" x14ac:dyDescent="0.3"/>
    <row r="31003" s="160" customFormat="1" x14ac:dyDescent="0.3"/>
    <row r="31004" s="160" customFormat="1" x14ac:dyDescent="0.3"/>
    <row r="31005" s="160" customFormat="1" x14ac:dyDescent="0.3"/>
    <row r="31006" s="160" customFormat="1" x14ac:dyDescent="0.3"/>
    <row r="31007" s="160" customFormat="1" x14ac:dyDescent="0.3"/>
    <row r="31008" s="160" customFormat="1" x14ac:dyDescent="0.3"/>
    <row r="31009" s="160" customFormat="1" x14ac:dyDescent="0.3"/>
    <row r="31010" s="160" customFormat="1" x14ac:dyDescent="0.3"/>
    <row r="31011" s="160" customFormat="1" x14ac:dyDescent="0.3"/>
    <row r="31012" s="160" customFormat="1" x14ac:dyDescent="0.3"/>
    <row r="31013" s="160" customFormat="1" x14ac:dyDescent="0.3"/>
    <row r="31014" s="160" customFormat="1" x14ac:dyDescent="0.3"/>
    <row r="31015" s="160" customFormat="1" x14ac:dyDescent="0.3"/>
    <row r="31016" s="160" customFormat="1" x14ac:dyDescent="0.3"/>
    <row r="31017" s="160" customFormat="1" x14ac:dyDescent="0.3"/>
    <row r="31018" s="160" customFormat="1" x14ac:dyDescent="0.3"/>
    <row r="31019" s="160" customFormat="1" x14ac:dyDescent="0.3"/>
    <row r="31020" s="160" customFormat="1" x14ac:dyDescent="0.3"/>
    <row r="31021" s="160" customFormat="1" x14ac:dyDescent="0.3"/>
    <row r="31022" s="160" customFormat="1" x14ac:dyDescent="0.3"/>
    <row r="31023" s="160" customFormat="1" x14ac:dyDescent="0.3"/>
    <row r="31024" s="160" customFormat="1" x14ac:dyDescent="0.3"/>
    <row r="31025" s="160" customFormat="1" x14ac:dyDescent="0.3"/>
    <row r="31026" s="160" customFormat="1" x14ac:dyDescent="0.3"/>
    <row r="31027" s="160" customFormat="1" x14ac:dyDescent="0.3"/>
    <row r="31028" s="160" customFormat="1" x14ac:dyDescent="0.3"/>
    <row r="31029" s="160" customFormat="1" x14ac:dyDescent="0.3"/>
    <row r="31030" s="160" customFormat="1" x14ac:dyDescent="0.3"/>
    <row r="31031" s="160" customFormat="1" x14ac:dyDescent="0.3"/>
    <row r="31032" s="160" customFormat="1" x14ac:dyDescent="0.3"/>
    <row r="31033" s="160" customFormat="1" x14ac:dyDescent="0.3"/>
    <row r="31034" s="160" customFormat="1" x14ac:dyDescent="0.3"/>
    <row r="31035" s="160" customFormat="1" x14ac:dyDescent="0.3"/>
    <row r="31036" s="160" customFormat="1" x14ac:dyDescent="0.3"/>
    <row r="31037" s="160" customFormat="1" x14ac:dyDescent="0.3"/>
    <row r="31038" s="160" customFormat="1" x14ac:dyDescent="0.3"/>
    <row r="31039" s="160" customFormat="1" x14ac:dyDescent="0.3"/>
    <row r="31040" s="160" customFormat="1" x14ac:dyDescent="0.3"/>
    <row r="31041" s="160" customFormat="1" x14ac:dyDescent="0.3"/>
    <row r="31042" s="160" customFormat="1" x14ac:dyDescent="0.3"/>
    <row r="31043" s="160" customFormat="1" x14ac:dyDescent="0.3"/>
    <row r="31044" s="160" customFormat="1" x14ac:dyDescent="0.3"/>
    <row r="31045" s="160" customFormat="1" x14ac:dyDescent="0.3"/>
    <row r="31046" s="160" customFormat="1" x14ac:dyDescent="0.3"/>
    <row r="31047" s="160" customFormat="1" x14ac:dyDescent="0.3"/>
    <row r="31048" s="160" customFormat="1" x14ac:dyDescent="0.3"/>
    <row r="31049" s="160" customFormat="1" x14ac:dyDescent="0.3"/>
    <row r="31050" s="160" customFormat="1" x14ac:dyDescent="0.3"/>
    <row r="31051" s="160" customFormat="1" x14ac:dyDescent="0.3"/>
    <row r="31052" s="160" customFormat="1" x14ac:dyDescent="0.3"/>
    <row r="31053" s="160" customFormat="1" x14ac:dyDescent="0.3"/>
    <row r="31054" s="160" customFormat="1" x14ac:dyDescent="0.3"/>
    <row r="31055" s="160" customFormat="1" x14ac:dyDescent="0.3"/>
    <row r="31056" s="160" customFormat="1" x14ac:dyDescent="0.3"/>
    <row r="31057" s="160" customFormat="1" x14ac:dyDescent="0.3"/>
    <row r="31058" s="160" customFormat="1" x14ac:dyDescent="0.3"/>
    <row r="31059" s="160" customFormat="1" x14ac:dyDescent="0.3"/>
    <row r="31060" s="160" customFormat="1" x14ac:dyDescent="0.3"/>
    <row r="31061" s="160" customFormat="1" x14ac:dyDescent="0.3"/>
    <row r="31062" s="160" customFormat="1" x14ac:dyDescent="0.3"/>
    <row r="31063" s="160" customFormat="1" x14ac:dyDescent="0.3"/>
    <row r="31064" s="160" customFormat="1" x14ac:dyDescent="0.3"/>
    <row r="31065" s="160" customFormat="1" x14ac:dyDescent="0.3"/>
    <row r="31066" s="160" customFormat="1" x14ac:dyDescent="0.3"/>
    <row r="31067" s="160" customFormat="1" x14ac:dyDescent="0.3"/>
    <row r="31068" s="160" customFormat="1" x14ac:dyDescent="0.3"/>
    <row r="31069" s="160" customFormat="1" x14ac:dyDescent="0.3"/>
    <row r="31070" s="160" customFormat="1" x14ac:dyDescent="0.3"/>
    <row r="31071" s="160" customFormat="1" x14ac:dyDescent="0.3"/>
    <row r="31072" s="160" customFormat="1" x14ac:dyDescent="0.3"/>
    <row r="31073" s="160" customFormat="1" x14ac:dyDescent="0.3"/>
    <row r="31074" s="160" customFormat="1" x14ac:dyDescent="0.3"/>
    <row r="31075" s="160" customFormat="1" x14ac:dyDescent="0.3"/>
    <row r="31076" s="160" customFormat="1" x14ac:dyDescent="0.3"/>
    <row r="31077" s="160" customFormat="1" x14ac:dyDescent="0.3"/>
    <row r="31078" s="160" customFormat="1" x14ac:dyDescent="0.3"/>
    <row r="31079" s="160" customFormat="1" x14ac:dyDescent="0.3"/>
    <row r="31080" s="160" customFormat="1" x14ac:dyDescent="0.3"/>
    <row r="31081" s="160" customFormat="1" x14ac:dyDescent="0.3"/>
    <row r="31082" s="160" customFormat="1" x14ac:dyDescent="0.3"/>
    <row r="31083" s="160" customFormat="1" x14ac:dyDescent="0.3"/>
    <row r="31084" s="160" customFormat="1" x14ac:dyDescent="0.3"/>
    <row r="31085" s="160" customFormat="1" x14ac:dyDescent="0.3"/>
    <row r="31086" s="160" customFormat="1" x14ac:dyDescent="0.3"/>
    <row r="31087" s="160" customFormat="1" x14ac:dyDescent="0.3"/>
    <row r="31088" s="160" customFormat="1" x14ac:dyDescent="0.3"/>
    <row r="31089" s="160" customFormat="1" x14ac:dyDescent="0.3"/>
    <row r="31090" s="160" customFormat="1" x14ac:dyDescent="0.3"/>
    <row r="31091" s="160" customFormat="1" x14ac:dyDescent="0.3"/>
    <row r="31092" s="160" customFormat="1" x14ac:dyDescent="0.3"/>
    <row r="31093" s="160" customFormat="1" x14ac:dyDescent="0.3"/>
    <row r="31094" s="160" customFormat="1" x14ac:dyDescent="0.3"/>
    <row r="31095" s="160" customFormat="1" x14ac:dyDescent="0.3"/>
    <row r="31096" s="160" customFormat="1" x14ac:dyDescent="0.3"/>
    <row r="31097" s="160" customFormat="1" x14ac:dyDescent="0.3"/>
    <row r="31098" s="160" customFormat="1" x14ac:dyDescent="0.3"/>
    <row r="31099" s="160" customFormat="1" x14ac:dyDescent="0.3"/>
    <row r="31100" s="160" customFormat="1" x14ac:dyDescent="0.3"/>
    <row r="31101" s="160" customFormat="1" x14ac:dyDescent="0.3"/>
    <row r="31102" s="160" customFormat="1" x14ac:dyDescent="0.3"/>
    <row r="31103" s="160" customFormat="1" x14ac:dyDescent="0.3"/>
    <row r="31104" s="160" customFormat="1" x14ac:dyDescent="0.3"/>
    <row r="31105" s="160" customFormat="1" x14ac:dyDescent="0.3"/>
    <row r="31106" s="160" customFormat="1" x14ac:dyDescent="0.3"/>
    <row r="31107" s="160" customFormat="1" x14ac:dyDescent="0.3"/>
    <row r="31108" s="160" customFormat="1" x14ac:dyDescent="0.3"/>
    <row r="31109" s="160" customFormat="1" x14ac:dyDescent="0.3"/>
    <row r="31110" s="160" customFormat="1" x14ac:dyDescent="0.3"/>
    <row r="31111" s="160" customFormat="1" x14ac:dyDescent="0.3"/>
    <row r="31112" s="160" customFormat="1" x14ac:dyDescent="0.3"/>
    <row r="31113" s="160" customFormat="1" x14ac:dyDescent="0.3"/>
    <row r="31114" s="160" customFormat="1" x14ac:dyDescent="0.3"/>
    <row r="31115" s="160" customFormat="1" x14ac:dyDescent="0.3"/>
    <row r="31116" s="160" customFormat="1" x14ac:dyDescent="0.3"/>
    <row r="31117" s="160" customFormat="1" x14ac:dyDescent="0.3"/>
    <row r="31118" s="160" customFormat="1" x14ac:dyDescent="0.3"/>
    <row r="31119" s="160" customFormat="1" x14ac:dyDescent="0.3"/>
    <row r="31120" s="160" customFormat="1" x14ac:dyDescent="0.3"/>
    <row r="31121" s="160" customFormat="1" x14ac:dyDescent="0.3"/>
    <row r="31122" s="160" customFormat="1" x14ac:dyDescent="0.3"/>
    <row r="31123" s="160" customFormat="1" x14ac:dyDescent="0.3"/>
    <row r="31124" s="160" customFormat="1" x14ac:dyDescent="0.3"/>
    <row r="31125" s="160" customFormat="1" x14ac:dyDescent="0.3"/>
    <row r="31126" s="160" customFormat="1" x14ac:dyDescent="0.3"/>
    <row r="31127" s="160" customFormat="1" x14ac:dyDescent="0.3"/>
    <row r="31128" s="160" customFormat="1" x14ac:dyDescent="0.3"/>
    <row r="31129" s="160" customFormat="1" x14ac:dyDescent="0.3"/>
    <row r="31130" s="160" customFormat="1" x14ac:dyDescent="0.3"/>
    <row r="31131" s="160" customFormat="1" x14ac:dyDescent="0.3"/>
    <row r="31132" s="160" customFormat="1" x14ac:dyDescent="0.3"/>
    <row r="31133" s="160" customFormat="1" x14ac:dyDescent="0.3"/>
    <row r="31134" s="160" customFormat="1" x14ac:dyDescent="0.3"/>
    <row r="31135" s="160" customFormat="1" x14ac:dyDescent="0.3"/>
    <row r="31136" s="160" customFormat="1" x14ac:dyDescent="0.3"/>
    <row r="31137" s="160" customFormat="1" x14ac:dyDescent="0.3"/>
    <row r="31138" s="160" customFormat="1" x14ac:dyDescent="0.3"/>
    <row r="31139" s="160" customFormat="1" x14ac:dyDescent="0.3"/>
    <row r="31140" s="160" customFormat="1" x14ac:dyDescent="0.3"/>
    <row r="31141" s="160" customFormat="1" x14ac:dyDescent="0.3"/>
    <row r="31142" s="160" customFormat="1" x14ac:dyDescent="0.3"/>
    <row r="31143" s="160" customFormat="1" x14ac:dyDescent="0.3"/>
    <row r="31144" s="160" customFormat="1" x14ac:dyDescent="0.3"/>
    <row r="31145" s="160" customFormat="1" x14ac:dyDescent="0.3"/>
    <row r="31146" s="160" customFormat="1" x14ac:dyDescent="0.3"/>
    <row r="31147" s="160" customFormat="1" x14ac:dyDescent="0.3"/>
    <row r="31148" s="160" customFormat="1" x14ac:dyDescent="0.3"/>
    <row r="31149" s="160" customFormat="1" x14ac:dyDescent="0.3"/>
    <row r="31150" s="160" customFormat="1" x14ac:dyDescent="0.3"/>
    <row r="31151" s="160" customFormat="1" x14ac:dyDescent="0.3"/>
    <row r="31152" s="160" customFormat="1" x14ac:dyDescent="0.3"/>
    <row r="31153" s="160" customFormat="1" x14ac:dyDescent="0.3"/>
    <row r="31154" s="160" customFormat="1" x14ac:dyDescent="0.3"/>
    <row r="31155" s="160" customFormat="1" x14ac:dyDescent="0.3"/>
    <row r="31156" s="160" customFormat="1" x14ac:dyDescent="0.3"/>
    <row r="31157" s="160" customFormat="1" x14ac:dyDescent="0.3"/>
    <row r="31158" s="160" customFormat="1" x14ac:dyDescent="0.3"/>
    <row r="31159" s="160" customFormat="1" x14ac:dyDescent="0.3"/>
    <row r="31160" s="160" customFormat="1" x14ac:dyDescent="0.3"/>
    <row r="31161" s="160" customFormat="1" x14ac:dyDescent="0.3"/>
    <row r="31162" s="160" customFormat="1" x14ac:dyDescent="0.3"/>
    <row r="31163" s="160" customFormat="1" x14ac:dyDescent="0.3"/>
    <row r="31164" s="160" customFormat="1" x14ac:dyDescent="0.3"/>
    <row r="31165" s="160" customFormat="1" x14ac:dyDescent="0.3"/>
    <row r="31166" s="160" customFormat="1" x14ac:dyDescent="0.3"/>
    <row r="31167" s="160" customFormat="1" x14ac:dyDescent="0.3"/>
    <row r="31168" s="160" customFormat="1" x14ac:dyDescent="0.3"/>
    <row r="31169" s="160" customFormat="1" x14ac:dyDescent="0.3"/>
    <row r="31170" s="160" customFormat="1" x14ac:dyDescent="0.3"/>
    <row r="31171" s="160" customFormat="1" x14ac:dyDescent="0.3"/>
    <row r="31172" s="160" customFormat="1" x14ac:dyDescent="0.3"/>
    <row r="31173" s="160" customFormat="1" x14ac:dyDescent="0.3"/>
    <row r="31174" s="160" customFormat="1" x14ac:dyDescent="0.3"/>
    <row r="31175" s="160" customFormat="1" x14ac:dyDescent="0.3"/>
    <row r="31176" s="160" customFormat="1" x14ac:dyDescent="0.3"/>
    <row r="31177" s="160" customFormat="1" x14ac:dyDescent="0.3"/>
    <row r="31178" s="160" customFormat="1" x14ac:dyDescent="0.3"/>
    <row r="31179" s="160" customFormat="1" x14ac:dyDescent="0.3"/>
    <row r="31180" s="160" customFormat="1" x14ac:dyDescent="0.3"/>
    <row r="31181" s="160" customFormat="1" x14ac:dyDescent="0.3"/>
    <row r="31182" s="160" customFormat="1" x14ac:dyDescent="0.3"/>
    <row r="31183" s="160" customFormat="1" x14ac:dyDescent="0.3"/>
    <row r="31184" s="160" customFormat="1" x14ac:dyDescent="0.3"/>
    <row r="31185" s="160" customFormat="1" x14ac:dyDescent="0.3"/>
    <row r="31186" s="160" customFormat="1" x14ac:dyDescent="0.3"/>
    <row r="31187" s="160" customFormat="1" x14ac:dyDescent="0.3"/>
    <row r="31188" s="160" customFormat="1" x14ac:dyDescent="0.3"/>
    <row r="31189" s="160" customFormat="1" x14ac:dyDescent="0.3"/>
    <row r="31190" s="160" customFormat="1" x14ac:dyDescent="0.3"/>
    <row r="31191" s="160" customFormat="1" x14ac:dyDescent="0.3"/>
    <row r="31192" s="160" customFormat="1" x14ac:dyDescent="0.3"/>
    <row r="31193" s="160" customFormat="1" x14ac:dyDescent="0.3"/>
    <row r="31194" s="160" customFormat="1" x14ac:dyDescent="0.3"/>
    <row r="31195" s="160" customFormat="1" x14ac:dyDescent="0.3"/>
    <row r="31196" s="160" customFormat="1" x14ac:dyDescent="0.3"/>
    <row r="31197" s="160" customFormat="1" x14ac:dyDescent="0.3"/>
    <row r="31198" s="160" customFormat="1" x14ac:dyDescent="0.3"/>
    <row r="31199" s="160" customFormat="1" x14ac:dyDescent="0.3"/>
    <row r="31200" s="160" customFormat="1" x14ac:dyDescent="0.3"/>
    <row r="31201" s="160" customFormat="1" x14ac:dyDescent="0.3"/>
    <row r="31202" s="160" customFormat="1" x14ac:dyDescent="0.3"/>
    <row r="31203" s="160" customFormat="1" x14ac:dyDescent="0.3"/>
    <row r="31204" s="160" customFormat="1" x14ac:dyDescent="0.3"/>
    <row r="31205" s="160" customFormat="1" x14ac:dyDescent="0.3"/>
    <row r="31206" s="160" customFormat="1" x14ac:dyDescent="0.3"/>
    <row r="31207" s="160" customFormat="1" x14ac:dyDescent="0.3"/>
    <row r="31208" s="160" customFormat="1" x14ac:dyDescent="0.3"/>
    <row r="31209" s="160" customFormat="1" x14ac:dyDescent="0.3"/>
    <row r="31210" s="160" customFormat="1" x14ac:dyDescent="0.3"/>
    <row r="31211" s="160" customFormat="1" x14ac:dyDescent="0.3"/>
    <row r="31212" s="160" customFormat="1" x14ac:dyDescent="0.3"/>
    <row r="31213" s="160" customFormat="1" x14ac:dyDescent="0.3"/>
    <row r="31214" s="160" customFormat="1" x14ac:dyDescent="0.3"/>
    <row r="31215" s="160" customFormat="1" x14ac:dyDescent="0.3"/>
    <row r="31216" s="160" customFormat="1" x14ac:dyDescent="0.3"/>
    <row r="31217" s="160" customFormat="1" x14ac:dyDescent="0.3"/>
    <row r="31218" s="160" customFormat="1" x14ac:dyDescent="0.3"/>
    <row r="31219" s="160" customFormat="1" x14ac:dyDescent="0.3"/>
    <row r="31220" s="160" customFormat="1" x14ac:dyDescent="0.3"/>
    <row r="31221" s="160" customFormat="1" x14ac:dyDescent="0.3"/>
    <row r="31222" s="160" customFormat="1" x14ac:dyDescent="0.3"/>
    <row r="31223" s="160" customFormat="1" x14ac:dyDescent="0.3"/>
    <row r="31224" s="160" customFormat="1" x14ac:dyDescent="0.3"/>
    <row r="31225" s="160" customFormat="1" x14ac:dyDescent="0.3"/>
    <row r="31226" s="160" customFormat="1" x14ac:dyDescent="0.3"/>
    <row r="31227" s="160" customFormat="1" x14ac:dyDescent="0.3"/>
    <row r="31228" s="160" customFormat="1" x14ac:dyDescent="0.3"/>
    <row r="31229" s="160" customFormat="1" x14ac:dyDescent="0.3"/>
    <row r="31230" s="160" customFormat="1" x14ac:dyDescent="0.3"/>
    <row r="31231" s="160" customFormat="1" x14ac:dyDescent="0.3"/>
    <row r="31232" s="160" customFormat="1" x14ac:dyDescent="0.3"/>
    <row r="31233" s="160" customFormat="1" x14ac:dyDescent="0.3"/>
    <row r="31234" s="160" customFormat="1" x14ac:dyDescent="0.3"/>
    <row r="31235" s="160" customFormat="1" x14ac:dyDescent="0.3"/>
    <row r="31236" s="160" customFormat="1" x14ac:dyDescent="0.3"/>
    <row r="31237" s="160" customFormat="1" x14ac:dyDescent="0.3"/>
    <row r="31238" s="160" customFormat="1" x14ac:dyDescent="0.3"/>
    <row r="31239" s="160" customFormat="1" x14ac:dyDescent="0.3"/>
    <row r="31240" s="160" customFormat="1" x14ac:dyDescent="0.3"/>
    <row r="31241" s="160" customFormat="1" x14ac:dyDescent="0.3"/>
    <row r="31242" s="160" customFormat="1" x14ac:dyDescent="0.3"/>
    <row r="31243" s="160" customFormat="1" x14ac:dyDescent="0.3"/>
    <row r="31244" s="160" customFormat="1" x14ac:dyDescent="0.3"/>
    <row r="31245" s="160" customFormat="1" x14ac:dyDescent="0.3"/>
    <row r="31246" s="160" customFormat="1" x14ac:dyDescent="0.3"/>
    <row r="31247" s="160" customFormat="1" x14ac:dyDescent="0.3"/>
    <row r="31248" s="160" customFormat="1" x14ac:dyDescent="0.3"/>
    <row r="31249" s="160" customFormat="1" x14ac:dyDescent="0.3"/>
    <row r="31250" s="160" customFormat="1" x14ac:dyDescent="0.3"/>
    <row r="31251" s="160" customFormat="1" x14ac:dyDescent="0.3"/>
    <row r="31252" s="160" customFormat="1" x14ac:dyDescent="0.3"/>
    <row r="31253" s="160" customFormat="1" x14ac:dyDescent="0.3"/>
    <row r="31254" s="160" customFormat="1" x14ac:dyDescent="0.3"/>
    <row r="31255" s="160" customFormat="1" x14ac:dyDescent="0.3"/>
    <row r="31256" s="160" customFormat="1" x14ac:dyDescent="0.3"/>
    <row r="31257" s="160" customFormat="1" x14ac:dyDescent="0.3"/>
    <row r="31258" s="160" customFormat="1" x14ac:dyDescent="0.3"/>
    <row r="31259" s="160" customFormat="1" x14ac:dyDescent="0.3"/>
    <row r="31260" s="160" customFormat="1" x14ac:dyDescent="0.3"/>
    <row r="31261" s="160" customFormat="1" x14ac:dyDescent="0.3"/>
    <row r="31262" s="160" customFormat="1" x14ac:dyDescent="0.3"/>
    <row r="31263" s="160" customFormat="1" x14ac:dyDescent="0.3"/>
    <row r="31264" s="160" customFormat="1" x14ac:dyDescent="0.3"/>
    <row r="31265" s="160" customFormat="1" x14ac:dyDescent="0.3"/>
    <row r="31266" s="160" customFormat="1" x14ac:dyDescent="0.3"/>
    <row r="31267" s="160" customFormat="1" x14ac:dyDescent="0.3"/>
    <row r="31268" s="160" customFormat="1" x14ac:dyDescent="0.3"/>
    <row r="31269" s="160" customFormat="1" x14ac:dyDescent="0.3"/>
    <row r="31270" s="160" customFormat="1" x14ac:dyDescent="0.3"/>
    <row r="31271" s="160" customFormat="1" x14ac:dyDescent="0.3"/>
    <row r="31272" s="160" customFormat="1" x14ac:dyDescent="0.3"/>
    <row r="31273" s="160" customFormat="1" x14ac:dyDescent="0.3"/>
    <row r="31274" s="160" customFormat="1" x14ac:dyDescent="0.3"/>
    <row r="31275" s="160" customFormat="1" x14ac:dyDescent="0.3"/>
    <row r="31276" s="160" customFormat="1" x14ac:dyDescent="0.3"/>
    <row r="31277" s="160" customFormat="1" x14ac:dyDescent="0.3"/>
    <row r="31278" s="160" customFormat="1" x14ac:dyDescent="0.3"/>
    <row r="31279" s="160" customFormat="1" x14ac:dyDescent="0.3"/>
    <row r="31280" s="160" customFormat="1" x14ac:dyDescent="0.3"/>
    <row r="31281" s="160" customFormat="1" x14ac:dyDescent="0.3"/>
    <row r="31282" s="160" customFormat="1" x14ac:dyDescent="0.3"/>
    <row r="31283" s="160" customFormat="1" x14ac:dyDescent="0.3"/>
    <row r="31284" s="160" customFormat="1" x14ac:dyDescent="0.3"/>
    <row r="31285" s="160" customFormat="1" x14ac:dyDescent="0.3"/>
    <row r="31286" s="160" customFormat="1" x14ac:dyDescent="0.3"/>
    <row r="31287" s="160" customFormat="1" x14ac:dyDescent="0.3"/>
    <row r="31288" s="160" customFormat="1" x14ac:dyDescent="0.3"/>
    <row r="31289" s="160" customFormat="1" x14ac:dyDescent="0.3"/>
    <row r="31290" s="160" customFormat="1" x14ac:dyDescent="0.3"/>
    <row r="31291" s="160" customFormat="1" x14ac:dyDescent="0.3"/>
    <row r="31292" s="160" customFormat="1" x14ac:dyDescent="0.3"/>
    <row r="31293" s="160" customFormat="1" x14ac:dyDescent="0.3"/>
    <row r="31294" s="160" customFormat="1" x14ac:dyDescent="0.3"/>
    <row r="31295" s="160" customFormat="1" x14ac:dyDescent="0.3"/>
    <row r="31296" s="160" customFormat="1" x14ac:dyDescent="0.3"/>
    <row r="31297" s="160" customFormat="1" x14ac:dyDescent="0.3"/>
    <row r="31298" s="160" customFormat="1" x14ac:dyDescent="0.3"/>
    <row r="31299" s="160" customFormat="1" x14ac:dyDescent="0.3"/>
    <row r="31300" s="160" customFormat="1" x14ac:dyDescent="0.3"/>
    <row r="31301" s="160" customFormat="1" x14ac:dyDescent="0.3"/>
    <row r="31302" s="160" customFormat="1" x14ac:dyDescent="0.3"/>
    <row r="31303" s="160" customFormat="1" x14ac:dyDescent="0.3"/>
    <row r="31304" s="160" customFormat="1" x14ac:dyDescent="0.3"/>
    <row r="31305" s="160" customFormat="1" x14ac:dyDescent="0.3"/>
    <row r="31306" s="160" customFormat="1" x14ac:dyDescent="0.3"/>
    <row r="31307" s="160" customFormat="1" x14ac:dyDescent="0.3"/>
    <row r="31308" s="160" customFormat="1" x14ac:dyDescent="0.3"/>
    <row r="31309" s="160" customFormat="1" x14ac:dyDescent="0.3"/>
    <row r="31310" s="160" customFormat="1" x14ac:dyDescent="0.3"/>
    <row r="31311" s="160" customFormat="1" x14ac:dyDescent="0.3"/>
    <row r="31312" s="160" customFormat="1" x14ac:dyDescent="0.3"/>
    <row r="31313" s="160" customFormat="1" x14ac:dyDescent="0.3"/>
    <row r="31314" s="160" customFormat="1" x14ac:dyDescent="0.3"/>
    <row r="31315" s="160" customFormat="1" x14ac:dyDescent="0.3"/>
    <row r="31316" s="160" customFormat="1" x14ac:dyDescent="0.3"/>
    <row r="31317" s="160" customFormat="1" x14ac:dyDescent="0.3"/>
    <row r="31318" s="160" customFormat="1" x14ac:dyDescent="0.3"/>
    <row r="31319" s="160" customFormat="1" x14ac:dyDescent="0.3"/>
    <row r="31320" s="160" customFormat="1" x14ac:dyDescent="0.3"/>
    <row r="31321" s="160" customFormat="1" x14ac:dyDescent="0.3"/>
    <row r="31322" s="160" customFormat="1" x14ac:dyDescent="0.3"/>
    <row r="31323" s="160" customFormat="1" x14ac:dyDescent="0.3"/>
    <row r="31324" s="160" customFormat="1" x14ac:dyDescent="0.3"/>
    <row r="31325" s="160" customFormat="1" x14ac:dyDescent="0.3"/>
    <row r="31326" s="160" customFormat="1" x14ac:dyDescent="0.3"/>
    <row r="31327" s="160" customFormat="1" x14ac:dyDescent="0.3"/>
    <row r="31328" s="160" customFormat="1" x14ac:dyDescent="0.3"/>
    <row r="31329" s="160" customFormat="1" x14ac:dyDescent="0.3"/>
    <row r="31330" s="160" customFormat="1" x14ac:dyDescent="0.3"/>
    <row r="31331" s="160" customFormat="1" x14ac:dyDescent="0.3"/>
    <row r="31332" s="160" customFormat="1" x14ac:dyDescent="0.3"/>
    <row r="31333" s="160" customFormat="1" x14ac:dyDescent="0.3"/>
    <row r="31334" s="160" customFormat="1" x14ac:dyDescent="0.3"/>
    <row r="31335" s="160" customFormat="1" x14ac:dyDescent="0.3"/>
    <row r="31336" s="160" customFormat="1" x14ac:dyDescent="0.3"/>
    <row r="31337" s="160" customFormat="1" x14ac:dyDescent="0.3"/>
    <row r="31338" s="160" customFormat="1" x14ac:dyDescent="0.3"/>
    <row r="31339" s="160" customFormat="1" x14ac:dyDescent="0.3"/>
    <row r="31340" s="160" customFormat="1" x14ac:dyDescent="0.3"/>
    <row r="31341" s="160" customFormat="1" x14ac:dyDescent="0.3"/>
    <row r="31342" s="160" customFormat="1" x14ac:dyDescent="0.3"/>
    <row r="31343" s="160" customFormat="1" x14ac:dyDescent="0.3"/>
    <row r="31344" s="160" customFormat="1" x14ac:dyDescent="0.3"/>
    <row r="31345" s="160" customFormat="1" x14ac:dyDescent="0.3"/>
    <row r="31346" s="160" customFormat="1" x14ac:dyDescent="0.3"/>
    <row r="31347" s="160" customFormat="1" x14ac:dyDescent="0.3"/>
    <row r="31348" s="160" customFormat="1" x14ac:dyDescent="0.3"/>
    <row r="31349" s="160" customFormat="1" x14ac:dyDescent="0.3"/>
    <row r="31350" s="160" customFormat="1" x14ac:dyDescent="0.3"/>
    <row r="31351" s="160" customFormat="1" x14ac:dyDescent="0.3"/>
    <row r="31352" s="160" customFormat="1" x14ac:dyDescent="0.3"/>
    <row r="31353" s="160" customFormat="1" x14ac:dyDescent="0.3"/>
    <row r="31354" s="160" customFormat="1" x14ac:dyDescent="0.3"/>
    <row r="31355" s="160" customFormat="1" x14ac:dyDescent="0.3"/>
    <row r="31356" s="160" customFormat="1" x14ac:dyDescent="0.3"/>
    <row r="31357" s="160" customFormat="1" x14ac:dyDescent="0.3"/>
    <row r="31358" s="160" customFormat="1" x14ac:dyDescent="0.3"/>
    <row r="31359" s="160" customFormat="1" x14ac:dyDescent="0.3"/>
    <row r="31360" s="160" customFormat="1" x14ac:dyDescent="0.3"/>
    <row r="31361" s="160" customFormat="1" x14ac:dyDescent="0.3"/>
    <row r="31362" s="160" customFormat="1" x14ac:dyDescent="0.3"/>
    <row r="31363" s="160" customFormat="1" x14ac:dyDescent="0.3"/>
    <row r="31364" s="160" customFormat="1" x14ac:dyDescent="0.3"/>
    <row r="31365" s="160" customFormat="1" x14ac:dyDescent="0.3"/>
    <row r="31366" s="160" customFormat="1" x14ac:dyDescent="0.3"/>
    <row r="31367" s="160" customFormat="1" x14ac:dyDescent="0.3"/>
    <row r="31368" s="160" customFormat="1" x14ac:dyDescent="0.3"/>
    <row r="31369" s="160" customFormat="1" x14ac:dyDescent="0.3"/>
    <row r="31370" s="160" customFormat="1" x14ac:dyDescent="0.3"/>
    <row r="31371" s="160" customFormat="1" x14ac:dyDescent="0.3"/>
    <row r="31372" s="160" customFormat="1" x14ac:dyDescent="0.3"/>
    <row r="31373" s="160" customFormat="1" x14ac:dyDescent="0.3"/>
    <row r="31374" s="160" customFormat="1" x14ac:dyDescent="0.3"/>
    <row r="31375" s="160" customFormat="1" x14ac:dyDescent="0.3"/>
    <row r="31376" s="160" customFormat="1" x14ac:dyDescent="0.3"/>
    <row r="31377" s="160" customFormat="1" x14ac:dyDescent="0.3"/>
    <row r="31378" s="160" customFormat="1" x14ac:dyDescent="0.3"/>
    <row r="31379" s="160" customFormat="1" x14ac:dyDescent="0.3"/>
    <row r="31380" s="160" customFormat="1" x14ac:dyDescent="0.3"/>
    <row r="31381" s="160" customFormat="1" x14ac:dyDescent="0.3"/>
    <row r="31382" s="160" customFormat="1" x14ac:dyDescent="0.3"/>
    <row r="31383" s="160" customFormat="1" x14ac:dyDescent="0.3"/>
    <row r="31384" s="160" customFormat="1" x14ac:dyDescent="0.3"/>
    <row r="31385" s="160" customFormat="1" x14ac:dyDescent="0.3"/>
    <row r="31386" s="160" customFormat="1" x14ac:dyDescent="0.3"/>
    <row r="31387" s="160" customFormat="1" x14ac:dyDescent="0.3"/>
    <row r="31388" s="160" customFormat="1" x14ac:dyDescent="0.3"/>
    <row r="31389" s="160" customFormat="1" x14ac:dyDescent="0.3"/>
    <row r="31390" s="160" customFormat="1" x14ac:dyDescent="0.3"/>
    <row r="31391" s="160" customFormat="1" x14ac:dyDescent="0.3"/>
    <row r="31392" s="160" customFormat="1" x14ac:dyDescent="0.3"/>
    <row r="31393" s="160" customFormat="1" x14ac:dyDescent="0.3"/>
    <row r="31394" s="160" customFormat="1" x14ac:dyDescent="0.3"/>
    <row r="31395" s="160" customFormat="1" x14ac:dyDescent="0.3"/>
    <row r="31396" s="160" customFormat="1" x14ac:dyDescent="0.3"/>
    <row r="31397" s="160" customFormat="1" x14ac:dyDescent="0.3"/>
    <row r="31398" s="160" customFormat="1" x14ac:dyDescent="0.3"/>
    <row r="31399" s="160" customFormat="1" x14ac:dyDescent="0.3"/>
    <row r="31400" s="160" customFormat="1" x14ac:dyDescent="0.3"/>
    <row r="31401" s="160" customFormat="1" x14ac:dyDescent="0.3"/>
    <row r="31402" s="160" customFormat="1" x14ac:dyDescent="0.3"/>
    <row r="31403" s="160" customFormat="1" x14ac:dyDescent="0.3"/>
    <row r="31404" s="160" customFormat="1" x14ac:dyDescent="0.3"/>
    <row r="31405" s="160" customFormat="1" x14ac:dyDescent="0.3"/>
    <row r="31406" s="160" customFormat="1" x14ac:dyDescent="0.3"/>
    <row r="31407" s="160" customFormat="1" x14ac:dyDescent="0.3"/>
    <row r="31408" s="160" customFormat="1" x14ac:dyDescent="0.3"/>
    <row r="31409" s="160" customFormat="1" x14ac:dyDescent="0.3"/>
    <row r="31410" s="160" customFormat="1" x14ac:dyDescent="0.3"/>
    <row r="31411" s="160" customFormat="1" x14ac:dyDescent="0.3"/>
    <row r="31412" s="160" customFormat="1" x14ac:dyDescent="0.3"/>
    <row r="31413" s="160" customFormat="1" x14ac:dyDescent="0.3"/>
    <row r="31414" s="160" customFormat="1" x14ac:dyDescent="0.3"/>
    <row r="31415" s="160" customFormat="1" x14ac:dyDescent="0.3"/>
    <row r="31416" s="160" customFormat="1" x14ac:dyDescent="0.3"/>
    <row r="31417" s="160" customFormat="1" x14ac:dyDescent="0.3"/>
    <row r="31418" s="160" customFormat="1" x14ac:dyDescent="0.3"/>
    <row r="31419" s="160" customFormat="1" x14ac:dyDescent="0.3"/>
    <row r="31420" s="160" customFormat="1" x14ac:dyDescent="0.3"/>
    <row r="31421" s="160" customFormat="1" x14ac:dyDescent="0.3"/>
    <row r="31422" s="160" customFormat="1" x14ac:dyDescent="0.3"/>
    <row r="31423" s="160" customFormat="1" x14ac:dyDescent="0.3"/>
    <row r="31424" s="160" customFormat="1" x14ac:dyDescent="0.3"/>
    <row r="31425" s="160" customFormat="1" x14ac:dyDescent="0.3"/>
    <row r="31426" s="160" customFormat="1" x14ac:dyDescent="0.3"/>
    <row r="31427" s="160" customFormat="1" x14ac:dyDescent="0.3"/>
    <row r="31428" s="160" customFormat="1" x14ac:dyDescent="0.3"/>
    <row r="31429" s="160" customFormat="1" x14ac:dyDescent="0.3"/>
    <row r="31430" s="160" customFormat="1" x14ac:dyDescent="0.3"/>
    <row r="31431" s="160" customFormat="1" x14ac:dyDescent="0.3"/>
    <row r="31432" s="160" customFormat="1" x14ac:dyDescent="0.3"/>
    <row r="31433" s="160" customFormat="1" x14ac:dyDescent="0.3"/>
    <row r="31434" s="160" customFormat="1" x14ac:dyDescent="0.3"/>
    <row r="31435" s="160" customFormat="1" x14ac:dyDescent="0.3"/>
    <row r="31436" s="160" customFormat="1" x14ac:dyDescent="0.3"/>
    <row r="31437" s="160" customFormat="1" x14ac:dyDescent="0.3"/>
    <row r="31438" s="160" customFormat="1" x14ac:dyDescent="0.3"/>
    <row r="31439" s="160" customFormat="1" x14ac:dyDescent="0.3"/>
    <row r="31440" s="160" customFormat="1" x14ac:dyDescent="0.3"/>
    <row r="31441" s="160" customFormat="1" x14ac:dyDescent="0.3"/>
    <row r="31442" s="160" customFormat="1" x14ac:dyDescent="0.3"/>
    <row r="31443" s="160" customFormat="1" x14ac:dyDescent="0.3"/>
    <row r="31444" s="160" customFormat="1" x14ac:dyDescent="0.3"/>
    <row r="31445" s="160" customFormat="1" x14ac:dyDescent="0.3"/>
    <row r="31446" s="160" customFormat="1" x14ac:dyDescent="0.3"/>
    <row r="31447" s="160" customFormat="1" x14ac:dyDescent="0.3"/>
    <row r="31448" s="160" customFormat="1" x14ac:dyDescent="0.3"/>
    <row r="31449" s="160" customFormat="1" x14ac:dyDescent="0.3"/>
    <row r="31450" s="160" customFormat="1" x14ac:dyDescent="0.3"/>
    <row r="31451" s="160" customFormat="1" x14ac:dyDescent="0.3"/>
    <row r="31452" s="160" customFormat="1" x14ac:dyDescent="0.3"/>
    <row r="31453" s="160" customFormat="1" x14ac:dyDescent="0.3"/>
    <row r="31454" s="160" customFormat="1" x14ac:dyDescent="0.3"/>
    <row r="31455" s="160" customFormat="1" x14ac:dyDescent="0.3"/>
    <row r="31456" s="160" customFormat="1" x14ac:dyDescent="0.3"/>
    <row r="31457" s="160" customFormat="1" x14ac:dyDescent="0.3"/>
    <row r="31458" s="160" customFormat="1" x14ac:dyDescent="0.3"/>
    <row r="31459" s="160" customFormat="1" x14ac:dyDescent="0.3"/>
    <row r="31460" s="160" customFormat="1" x14ac:dyDescent="0.3"/>
    <row r="31461" s="160" customFormat="1" x14ac:dyDescent="0.3"/>
    <row r="31462" s="160" customFormat="1" x14ac:dyDescent="0.3"/>
    <row r="31463" s="160" customFormat="1" x14ac:dyDescent="0.3"/>
    <row r="31464" s="160" customFormat="1" x14ac:dyDescent="0.3"/>
    <row r="31465" s="160" customFormat="1" x14ac:dyDescent="0.3"/>
    <row r="31466" s="160" customFormat="1" x14ac:dyDescent="0.3"/>
    <row r="31467" s="160" customFormat="1" x14ac:dyDescent="0.3"/>
    <row r="31468" s="160" customFormat="1" x14ac:dyDescent="0.3"/>
    <row r="31469" s="160" customFormat="1" x14ac:dyDescent="0.3"/>
    <row r="31470" s="160" customFormat="1" x14ac:dyDescent="0.3"/>
    <row r="31471" s="160" customFormat="1" x14ac:dyDescent="0.3"/>
    <row r="31472" s="160" customFormat="1" x14ac:dyDescent="0.3"/>
    <row r="31473" s="160" customFormat="1" x14ac:dyDescent="0.3"/>
    <row r="31474" s="160" customFormat="1" x14ac:dyDescent="0.3"/>
    <row r="31475" s="160" customFormat="1" x14ac:dyDescent="0.3"/>
    <row r="31476" s="160" customFormat="1" x14ac:dyDescent="0.3"/>
    <row r="31477" s="160" customFormat="1" x14ac:dyDescent="0.3"/>
    <row r="31478" s="160" customFormat="1" x14ac:dyDescent="0.3"/>
    <row r="31479" s="160" customFormat="1" x14ac:dyDescent="0.3"/>
    <row r="31480" s="160" customFormat="1" x14ac:dyDescent="0.3"/>
    <row r="31481" s="160" customFormat="1" x14ac:dyDescent="0.3"/>
    <row r="31482" s="160" customFormat="1" x14ac:dyDescent="0.3"/>
    <row r="31483" s="160" customFormat="1" x14ac:dyDescent="0.3"/>
    <row r="31484" s="160" customFormat="1" x14ac:dyDescent="0.3"/>
    <row r="31485" s="160" customFormat="1" x14ac:dyDescent="0.3"/>
    <row r="31486" s="160" customFormat="1" x14ac:dyDescent="0.3"/>
    <row r="31487" s="160" customFormat="1" x14ac:dyDescent="0.3"/>
    <row r="31488" s="160" customFormat="1" x14ac:dyDescent="0.3"/>
    <row r="31489" s="160" customFormat="1" x14ac:dyDescent="0.3"/>
    <row r="31490" s="160" customFormat="1" x14ac:dyDescent="0.3"/>
    <row r="31491" s="160" customFormat="1" x14ac:dyDescent="0.3"/>
    <row r="31492" s="160" customFormat="1" x14ac:dyDescent="0.3"/>
    <row r="31493" s="160" customFormat="1" x14ac:dyDescent="0.3"/>
    <row r="31494" s="160" customFormat="1" x14ac:dyDescent="0.3"/>
    <row r="31495" s="160" customFormat="1" x14ac:dyDescent="0.3"/>
    <row r="31496" s="160" customFormat="1" x14ac:dyDescent="0.3"/>
    <row r="31497" s="160" customFormat="1" x14ac:dyDescent="0.3"/>
    <row r="31498" s="160" customFormat="1" x14ac:dyDescent="0.3"/>
    <row r="31499" s="160" customFormat="1" x14ac:dyDescent="0.3"/>
    <row r="31500" s="160" customFormat="1" x14ac:dyDescent="0.3"/>
    <row r="31501" s="160" customFormat="1" x14ac:dyDescent="0.3"/>
    <row r="31502" s="160" customFormat="1" x14ac:dyDescent="0.3"/>
    <row r="31503" s="160" customFormat="1" x14ac:dyDescent="0.3"/>
    <row r="31504" s="160" customFormat="1" x14ac:dyDescent="0.3"/>
    <row r="31505" s="160" customFormat="1" x14ac:dyDescent="0.3"/>
    <row r="31506" s="160" customFormat="1" x14ac:dyDescent="0.3"/>
    <row r="31507" s="160" customFormat="1" x14ac:dyDescent="0.3"/>
    <row r="31508" s="160" customFormat="1" x14ac:dyDescent="0.3"/>
    <row r="31509" s="160" customFormat="1" x14ac:dyDescent="0.3"/>
    <row r="31510" s="160" customFormat="1" x14ac:dyDescent="0.3"/>
    <row r="31511" s="160" customFormat="1" x14ac:dyDescent="0.3"/>
    <row r="31512" s="160" customFormat="1" x14ac:dyDescent="0.3"/>
    <row r="31513" s="160" customFormat="1" x14ac:dyDescent="0.3"/>
    <row r="31514" s="160" customFormat="1" x14ac:dyDescent="0.3"/>
    <row r="31515" s="160" customFormat="1" x14ac:dyDescent="0.3"/>
    <row r="31516" s="160" customFormat="1" x14ac:dyDescent="0.3"/>
    <row r="31517" s="160" customFormat="1" x14ac:dyDescent="0.3"/>
    <row r="31518" s="160" customFormat="1" x14ac:dyDescent="0.3"/>
    <row r="31519" s="160" customFormat="1" x14ac:dyDescent="0.3"/>
    <row r="31520" s="160" customFormat="1" x14ac:dyDescent="0.3"/>
    <row r="31521" s="160" customFormat="1" x14ac:dyDescent="0.3"/>
    <row r="31522" s="160" customFormat="1" x14ac:dyDescent="0.3"/>
    <row r="31523" s="160" customFormat="1" x14ac:dyDescent="0.3"/>
    <row r="31524" s="160" customFormat="1" x14ac:dyDescent="0.3"/>
    <row r="31525" s="160" customFormat="1" x14ac:dyDescent="0.3"/>
    <row r="31526" s="160" customFormat="1" x14ac:dyDescent="0.3"/>
    <row r="31527" s="160" customFormat="1" x14ac:dyDescent="0.3"/>
    <row r="31528" s="160" customFormat="1" x14ac:dyDescent="0.3"/>
    <row r="31529" s="160" customFormat="1" x14ac:dyDescent="0.3"/>
    <row r="31530" s="160" customFormat="1" x14ac:dyDescent="0.3"/>
    <row r="31531" s="160" customFormat="1" x14ac:dyDescent="0.3"/>
    <row r="31532" s="160" customFormat="1" x14ac:dyDescent="0.3"/>
    <row r="31533" s="160" customFormat="1" x14ac:dyDescent="0.3"/>
    <row r="31534" s="160" customFormat="1" x14ac:dyDescent="0.3"/>
    <row r="31535" s="160" customFormat="1" x14ac:dyDescent="0.3"/>
    <row r="31536" s="160" customFormat="1" x14ac:dyDescent="0.3"/>
    <row r="31537" s="160" customFormat="1" x14ac:dyDescent="0.3"/>
    <row r="31538" s="160" customFormat="1" x14ac:dyDescent="0.3"/>
    <row r="31539" s="160" customFormat="1" x14ac:dyDescent="0.3"/>
    <row r="31540" s="160" customFormat="1" x14ac:dyDescent="0.3"/>
    <row r="31541" s="160" customFormat="1" x14ac:dyDescent="0.3"/>
    <row r="31542" s="160" customFormat="1" x14ac:dyDescent="0.3"/>
    <row r="31543" s="160" customFormat="1" x14ac:dyDescent="0.3"/>
    <row r="31544" s="160" customFormat="1" x14ac:dyDescent="0.3"/>
    <row r="31545" s="160" customFormat="1" x14ac:dyDescent="0.3"/>
    <row r="31546" s="160" customFormat="1" x14ac:dyDescent="0.3"/>
    <row r="31547" s="160" customFormat="1" x14ac:dyDescent="0.3"/>
    <row r="31548" s="160" customFormat="1" x14ac:dyDescent="0.3"/>
    <row r="31549" s="160" customFormat="1" x14ac:dyDescent="0.3"/>
    <row r="31550" s="160" customFormat="1" x14ac:dyDescent="0.3"/>
    <row r="31551" s="160" customFormat="1" x14ac:dyDescent="0.3"/>
    <row r="31552" s="160" customFormat="1" x14ac:dyDescent="0.3"/>
    <row r="31553" s="160" customFormat="1" x14ac:dyDescent="0.3"/>
    <row r="31554" s="160" customFormat="1" x14ac:dyDescent="0.3"/>
    <row r="31555" s="160" customFormat="1" x14ac:dyDescent="0.3"/>
    <row r="31556" s="160" customFormat="1" x14ac:dyDescent="0.3"/>
    <row r="31557" s="160" customFormat="1" x14ac:dyDescent="0.3"/>
    <row r="31558" s="160" customFormat="1" x14ac:dyDescent="0.3"/>
    <row r="31559" s="160" customFormat="1" x14ac:dyDescent="0.3"/>
    <row r="31560" s="160" customFormat="1" x14ac:dyDescent="0.3"/>
    <row r="31561" s="160" customFormat="1" x14ac:dyDescent="0.3"/>
    <row r="31562" s="160" customFormat="1" x14ac:dyDescent="0.3"/>
    <row r="31563" s="160" customFormat="1" x14ac:dyDescent="0.3"/>
    <row r="31564" s="160" customFormat="1" x14ac:dyDescent="0.3"/>
    <row r="31565" s="160" customFormat="1" x14ac:dyDescent="0.3"/>
    <row r="31566" s="160" customFormat="1" x14ac:dyDescent="0.3"/>
    <row r="31567" s="160" customFormat="1" x14ac:dyDescent="0.3"/>
    <row r="31568" s="160" customFormat="1" x14ac:dyDescent="0.3"/>
    <row r="31569" s="160" customFormat="1" x14ac:dyDescent="0.3"/>
    <row r="31570" s="160" customFormat="1" x14ac:dyDescent="0.3"/>
    <row r="31571" s="160" customFormat="1" x14ac:dyDescent="0.3"/>
    <row r="31572" s="160" customFormat="1" x14ac:dyDescent="0.3"/>
    <row r="31573" s="160" customFormat="1" x14ac:dyDescent="0.3"/>
    <row r="31574" s="160" customFormat="1" x14ac:dyDescent="0.3"/>
    <row r="31575" s="160" customFormat="1" x14ac:dyDescent="0.3"/>
    <row r="31576" s="160" customFormat="1" x14ac:dyDescent="0.3"/>
    <row r="31577" s="160" customFormat="1" x14ac:dyDescent="0.3"/>
    <row r="31578" s="160" customFormat="1" x14ac:dyDescent="0.3"/>
    <row r="31579" s="160" customFormat="1" x14ac:dyDescent="0.3"/>
    <row r="31580" s="160" customFormat="1" x14ac:dyDescent="0.3"/>
    <row r="31581" s="160" customFormat="1" x14ac:dyDescent="0.3"/>
    <row r="31582" s="160" customFormat="1" x14ac:dyDescent="0.3"/>
    <row r="31583" s="160" customFormat="1" x14ac:dyDescent="0.3"/>
    <row r="31584" s="160" customFormat="1" x14ac:dyDescent="0.3"/>
    <row r="31585" s="160" customFormat="1" x14ac:dyDescent="0.3"/>
    <row r="31586" s="160" customFormat="1" x14ac:dyDescent="0.3"/>
    <row r="31587" s="160" customFormat="1" x14ac:dyDescent="0.3"/>
    <row r="31588" s="160" customFormat="1" x14ac:dyDescent="0.3"/>
    <row r="31589" s="160" customFormat="1" x14ac:dyDescent="0.3"/>
    <row r="31590" s="160" customFormat="1" x14ac:dyDescent="0.3"/>
    <row r="31591" s="160" customFormat="1" x14ac:dyDescent="0.3"/>
    <row r="31592" s="160" customFormat="1" x14ac:dyDescent="0.3"/>
    <row r="31593" s="160" customFormat="1" x14ac:dyDescent="0.3"/>
    <row r="31594" s="160" customFormat="1" x14ac:dyDescent="0.3"/>
    <row r="31595" s="160" customFormat="1" x14ac:dyDescent="0.3"/>
    <row r="31596" s="160" customFormat="1" x14ac:dyDescent="0.3"/>
    <row r="31597" s="160" customFormat="1" x14ac:dyDescent="0.3"/>
    <row r="31598" s="160" customFormat="1" x14ac:dyDescent="0.3"/>
    <row r="31599" s="160" customFormat="1" x14ac:dyDescent="0.3"/>
    <row r="31600" s="160" customFormat="1" x14ac:dyDescent="0.3"/>
    <row r="31601" s="160" customFormat="1" x14ac:dyDescent="0.3"/>
    <row r="31602" s="160" customFormat="1" x14ac:dyDescent="0.3"/>
    <row r="31603" s="160" customFormat="1" x14ac:dyDescent="0.3"/>
    <row r="31604" s="160" customFormat="1" x14ac:dyDescent="0.3"/>
    <row r="31605" s="160" customFormat="1" x14ac:dyDescent="0.3"/>
    <row r="31606" s="160" customFormat="1" x14ac:dyDescent="0.3"/>
    <row r="31607" s="160" customFormat="1" x14ac:dyDescent="0.3"/>
    <row r="31608" s="160" customFormat="1" x14ac:dyDescent="0.3"/>
    <row r="31609" s="160" customFormat="1" x14ac:dyDescent="0.3"/>
    <row r="31610" s="160" customFormat="1" x14ac:dyDescent="0.3"/>
    <row r="31611" s="160" customFormat="1" x14ac:dyDescent="0.3"/>
    <row r="31612" s="160" customFormat="1" x14ac:dyDescent="0.3"/>
    <row r="31613" s="160" customFormat="1" x14ac:dyDescent="0.3"/>
    <row r="31614" s="160" customFormat="1" x14ac:dyDescent="0.3"/>
    <row r="31615" s="160" customFormat="1" x14ac:dyDescent="0.3"/>
    <row r="31616" s="160" customFormat="1" x14ac:dyDescent="0.3"/>
    <row r="31617" s="160" customFormat="1" x14ac:dyDescent="0.3"/>
    <row r="31618" s="160" customFormat="1" x14ac:dyDescent="0.3"/>
    <row r="31619" s="160" customFormat="1" x14ac:dyDescent="0.3"/>
    <row r="31620" s="160" customFormat="1" x14ac:dyDescent="0.3"/>
    <row r="31621" s="160" customFormat="1" x14ac:dyDescent="0.3"/>
    <row r="31622" s="160" customFormat="1" x14ac:dyDescent="0.3"/>
    <row r="31623" s="160" customFormat="1" x14ac:dyDescent="0.3"/>
    <row r="31624" s="160" customFormat="1" x14ac:dyDescent="0.3"/>
    <row r="31625" s="160" customFormat="1" x14ac:dyDescent="0.3"/>
    <row r="31626" s="160" customFormat="1" x14ac:dyDescent="0.3"/>
    <row r="31627" s="160" customFormat="1" x14ac:dyDescent="0.3"/>
    <row r="31628" s="160" customFormat="1" x14ac:dyDescent="0.3"/>
    <row r="31629" s="160" customFormat="1" x14ac:dyDescent="0.3"/>
    <row r="31630" s="160" customFormat="1" x14ac:dyDescent="0.3"/>
    <row r="31631" s="160" customFormat="1" x14ac:dyDescent="0.3"/>
    <row r="31632" s="160" customFormat="1" x14ac:dyDescent="0.3"/>
    <row r="31633" s="160" customFormat="1" x14ac:dyDescent="0.3"/>
    <row r="31634" s="160" customFormat="1" x14ac:dyDescent="0.3"/>
    <row r="31635" s="160" customFormat="1" x14ac:dyDescent="0.3"/>
    <row r="31636" s="160" customFormat="1" x14ac:dyDescent="0.3"/>
    <row r="31637" s="160" customFormat="1" x14ac:dyDescent="0.3"/>
    <row r="31638" s="160" customFormat="1" x14ac:dyDescent="0.3"/>
    <row r="31639" s="160" customFormat="1" x14ac:dyDescent="0.3"/>
    <row r="31640" s="160" customFormat="1" x14ac:dyDescent="0.3"/>
    <row r="31641" s="160" customFormat="1" x14ac:dyDescent="0.3"/>
    <row r="31642" s="160" customFormat="1" x14ac:dyDescent="0.3"/>
    <row r="31643" s="160" customFormat="1" x14ac:dyDescent="0.3"/>
    <row r="31644" s="160" customFormat="1" x14ac:dyDescent="0.3"/>
    <row r="31645" s="160" customFormat="1" x14ac:dyDescent="0.3"/>
    <row r="31646" s="160" customFormat="1" x14ac:dyDescent="0.3"/>
    <row r="31647" s="160" customFormat="1" x14ac:dyDescent="0.3"/>
    <row r="31648" s="160" customFormat="1" x14ac:dyDescent="0.3"/>
    <row r="31649" s="160" customFormat="1" x14ac:dyDescent="0.3"/>
    <row r="31650" s="160" customFormat="1" x14ac:dyDescent="0.3"/>
    <row r="31651" s="160" customFormat="1" x14ac:dyDescent="0.3"/>
    <row r="31652" s="160" customFormat="1" x14ac:dyDescent="0.3"/>
    <row r="31653" s="160" customFormat="1" x14ac:dyDescent="0.3"/>
    <row r="31654" s="160" customFormat="1" x14ac:dyDescent="0.3"/>
    <row r="31655" s="160" customFormat="1" x14ac:dyDescent="0.3"/>
    <row r="31656" s="160" customFormat="1" x14ac:dyDescent="0.3"/>
    <row r="31657" s="160" customFormat="1" x14ac:dyDescent="0.3"/>
    <row r="31658" s="160" customFormat="1" x14ac:dyDescent="0.3"/>
    <row r="31659" s="160" customFormat="1" x14ac:dyDescent="0.3"/>
    <row r="31660" s="160" customFormat="1" x14ac:dyDescent="0.3"/>
    <row r="31661" s="160" customFormat="1" x14ac:dyDescent="0.3"/>
    <row r="31662" s="160" customFormat="1" x14ac:dyDescent="0.3"/>
    <row r="31663" s="160" customFormat="1" x14ac:dyDescent="0.3"/>
    <row r="31664" s="160" customFormat="1" x14ac:dyDescent="0.3"/>
    <row r="31665" s="160" customFormat="1" x14ac:dyDescent="0.3"/>
    <row r="31666" s="160" customFormat="1" x14ac:dyDescent="0.3"/>
    <row r="31667" s="160" customFormat="1" x14ac:dyDescent="0.3"/>
    <row r="31668" s="160" customFormat="1" x14ac:dyDescent="0.3"/>
    <row r="31669" s="160" customFormat="1" x14ac:dyDescent="0.3"/>
    <row r="31670" s="160" customFormat="1" x14ac:dyDescent="0.3"/>
    <row r="31671" s="160" customFormat="1" x14ac:dyDescent="0.3"/>
    <row r="31672" s="160" customFormat="1" x14ac:dyDescent="0.3"/>
    <row r="31673" s="160" customFormat="1" x14ac:dyDescent="0.3"/>
    <row r="31674" s="160" customFormat="1" x14ac:dyDescent="0.3"/>
    <row r="31675" s="160" customFormat="1" x14ac:dyDescent="0.3"/>
    <row r="31676" s="160" customFormat="1" x14ac:dyDescent="0.3"/>
    <row r="31677" s="160" customFormat="1" x14ac:dyDescent="0.3"/>
    <row r="31678" s="160" customFormat="1" x14ac:dyDescent="0.3"/>
    <row r="31679" s="160" customFormat="1" x14ac:dyDescent="0.3"/>
    <row r="31680" s="160" customFormat="1" x14ac:dyDescent="0.3"/>
    <row r="31681" s="160" customFormat="1" x14ac:dyDescent="0.3"/>
    <row r="31682" s="160" customFormat="1" x14ac:dyDescent="0.3"/>
    <row r="31683" s="160" customFormat="1" x14ac:dyDescent="0.3"/>
    <row r="31684" s="160" customFormat="1" x14ac:dyDescent="0.3"/>
    <row r="31685" s="160" customFormat="1" x14ac:dyDescent="0.3"/>
    <row r="31686" s="160" customFormat="1" x14ac:dyDescent="0.3"/>
    <row r="31687" s="160" customFormat="1" x14ac:dyDescent="0.3"/>
    <row r="31688" s="160" customFormat="1" x14ac:dyDescent="0.3"/>
    <row r="31689" s="160" customFormat="1" x14ac:dyDescent="0.3"/>
    <row r="31690" s="160" customFormat="1" x14ac:dyDescent="0.3"/>
    <row r="31691" s="160" customFormat="1" x14ac:dyDescent="0.3"/>
    <row r="31692" s="160" customFormat="1" x14ac:dyDescent="0.3"/>
    <row r="31693" s="160" customFormat="1" x14ac:dyDescent="0.3"/>
    <row r="31694" s="160" customFormat="1" x14ac:dyDescent="0.3"/>
    <row r="31695" s="160" customFormat="1" x14ac:dyDescent="0.3"/>
    <row r="31696" s="160" customFormat="1" x14ac:dyDescent="0.3"/>
    <row r="31697" s="160" customFormat="1" x14ac:dyDescent="0.3"/>
    <row r="31698" s="160" customFormat="1" x14ac:dyDescent="0.3"/>
    <row r="31699" s="160" customFormat="1" x14ac:dyDescent="0.3"/>
    <row r="31700" s="160" customFormat="1" x14ac:dyDescent="0.3"/>
    <row r="31701" s="160" customFormat="1" x14ac:dyDescent="0.3"/>
    <row r="31702" s="160" customFormat="1" x14ac:dyDescent="0.3"/>
    <row r="31703" s="160" customFormat="1" x14ac:dyDescent="0.3"/>
    <row r="31704" s="160" customFormat="1" x14ac:dyDescent="0.3"/>
    <row r="31705" s="160" customFormat="1" x14ac:dyDescent="0.3"/>
    <row r="31706" s="160" customFormat="1" x14ac:dyDescent="0.3"/>
    <row r="31707" s="160" customFormat="1" x14ac:dyDescent="0.3"/>
    <row r="31708" s="160" customFormat="1" x14ac:dyDescent="0.3"/>
    <row r="31709" s="160" customFormat="1" x14ac:dyDescent="0.3"/>
    <row r="31710" s="160" customFormat="1" x14ac:dyDescent="0.3"/>
    <row r="31711" s="160" customFormat="1" x14ac:dyDescent="0.3"/>
    <row r="31712" s="160" customFormat="1" x14ac:dyDescent="0.3"/>
    <row r="31713" s="160" customFormat="1" x14ac:dyDescent="0.3"/>
    <row r="31714" s="160" customFormat="1" x14ac:dyDescent="0.3"/>
    <row r="31715" s="160" customFormat="1" x14ac:dyDescent="0.3"/>
    <row r="31716" s="160" customFormat="1" x14ac:dyDescent="0.3"/>
    <row r="31717" s="160" customFormat="1" x14ac:dyDescent="0.3"/>
    <row r="31718" s="160" customFormat="1" x14ac:dyDescent="0.3"/>
    <row r="31719" s="160" customFormat="1" x14ac:dyDescent="0.3"/>
    <row r="31720" s="160" customFormat="1" x14ac:dyDescent="0.3"/>
    <row r="31721" s="160" customFormat="1" x14ac:dyDescent="0.3"/>
    <row r="31722" s="160" customFormat="1" x14ac:dyDescent="0.3"/>
    <row r="31723" s="160" customFormat="1" x14ac:dyDescent="0.3"/>
    <row r="31724" s="160" customFormat="1" x14ac:dyDescent="0.3"/>
    <row r="31725" s="160" customFormat="1" x14ac:dyDescent="0.3"/>
    <row r="31726" s="160" customFormat="1" x14ac:dyDescent="0.3"/>
    <row r="31727" s="160" customFormat="1" x14ac:dyDescent="0.3"/>
    <row r="31728" s="160" customFormat="1" x14ac:dyDescent="0.3"/>
    <row r="31729" s="160" customFormat="1" x14ac:dyDescent="0.3"/>
    <row r="31730" s="160" customFormat="1" x14ac:dyDescent="0.3"/>
    <row r="31731" s="160" customFormat="1" x14ac:dyDescent="0.3"/>
    <row r="31732" s="160" customFormat="1" x14ac:dyDescent="0.3"/>
    <row r="31733" s="160" customFormat="1" x14ac:dyDescent="0.3"/>
    <row r="31734" s="160" customFormat="1" x14ac:dyDescent="0.3"/>
    <row r="31735" s="160" customFormat="1" x14ac:dyDescent="0.3"/>
    <row r="31736" s="160" customFormat="1" x14ac:dyDescent="0.3"/>
    <row r="31737" s="160" customFormat="1" x14ac:dyDescent="0.3"/>
    <row r="31738" s="160" customFormat="1" x14ac:dyDescent="0.3"/>
    <row r="31739" s="160" customFormat="1" x14ac:dyDescent="0.3"/>
    <row r="31740" s="160" customFormat="1" x14ac:dyDescent="0.3"/>
    <row r="31741" s="160" customFormat="1" x14ac:dyDescent="0.3"/>
    <row r="31742" s="160" customFormat="1" x14ac:dyDescent="0.3"/>
    <row r="31743" s="160" customFormat="1" x14ac:dyDescent="0.3"/>
    <row r="31744" s="160" customFormat="1" x14ac:dyDescent="0.3"/>
    <row r="31745" s="160" customFormat="1" x14ac:dyDescent="0.3"/>
    <row r="31746" s="160" customFormat="1" x14ac:dyDescent="0.3"/>
    <row r="31747" s="160" customFormat="1" x14ac:dyDescent="0.3"/>
    <row r="31748" s="160" customFormat="1" x14ac:dyDescent="0.3"/>
    <row r="31749" s="160" customFormat="1" x14ac:dyDescent="0.3"/>
    <row r="31750" s="160" customFormat="1" x14ac:dyDescent="0.3"/>
    <row r="31751" s="160" customFormat="1" x14ac:dyDescent="0.3"/>
    <row r="31752" s="160" customFormat="1" x14ac:dyDescent="0.3"/>
    <row r="31753" s="160" customFormat="1" x14ac:dyDescent="0.3"/>
    <row r="31754" s="160" customFormat="1" x14ac:dyDescent="0.3"/>
    <row r="31755" s="160" customFormat="1" x14ac:dyDescent="0.3"/>
    <row r="31756" s="160" customFormat="1" x14ac:dyDescent="0.3"/>
    <row r="31757" s="160" customFormat="1" x14ac:dyDescent="0.3"/>
    <row r="31758" s="160" customFormat="1" x14ac:dyDescent="0.3"/>
    <row r="31759" s="160" customFormat="1" x14ac:dyDescent="0.3"/>
    <row r="31760" s="160" customFormat="1" x14ac:dyDescent="0.3"/>
    <row r="31761" s="160" customFormat="1" x14ac:dyDescent="0.3"/>
    <row r="31762" s="160" customFormat="1" x14ac:dyDescent="0.3"/>
    <row r="31763" s="160" customFormat="1" x14ac:dyDescent="0.3"/>
    <row r="31764" s="160" customFormat="1" x14ac:dyDescent="0.3"/>
    <row r="31765" s="160" customFormat="1" x14ac:dyDescent="0.3"/>
    <row r="31766" s="160" customFormat="1" x14ac:dyDescent="0.3"/>
    <row r="31767" s="160" customFormat="1" x14ac:dyDescent="0.3"/>
    <row r="31768" s="160" customFormat="1" x14ac:dyDescent="0.3"/>
    <row r="31769" s="160" customFormat="1" x14ac:dyDescent="0.3"/>
    <row r="31770" s="160" customFormat="1" x14ac:dyDescent="0.3"/>
    <row r="31771" s="160" customFormat="1" x14ac:dyDescent="0.3"/>
    <row r="31772" s="160" customFormat="1" x14ac:dyDescent="0.3"/>
    <row r="31773" s="160" customFormat="1" x14ac:dyDescent="0.3"/>
    <row r="31774" s="160" customFormat="1" x14ac:dyDescent="0.3"/>
    <row r="31775" s="160" customFormat="1" x14ac:dyDescent="0.3"/>
    <row r="31776" s="160" customFormat="1" x14ac:dyDescent="0.3"/>
    <row r="31777" s="160" customFormat="1" x14ac:dyDescent="0.3"/>
    <row r="31778" s="160" customFormat="1" x14ac:dyDescent="0.3"/>
    <row r="31779" s="160" customFormat="1" x14ac:dyDescent="0.3"/>
    <row r="31780" s="160" customFormat="1" x14ac:dyDescent="0.3"/>
    <row r="31781" s="160" customFormat="1" x14ac:dyDescent="0.3"/>
    <row r="31782" s="160" customFormat="1" x14ac:dyDescent="0.3"/>
    <row r="31783" s="160" customFormat="1" x14ac:dyDescent="0.3"/>
    <row r="31784" s="160" customFormat="1" x14ac:dyDescent="0.3"/>
    <row r="31785" s="160" customFormat="1" x14ac:dyDescent="0.3"/>
    <row r="31786" s="160" customFormat="1" x14ac:dyDescent="0.3"/>
    <row r="31787" s="160" customFormat="1" x14ac:dyDescent="0.3"/>
    <row r="31788" s="160" customFormat="1" x14ac:dyDescent="0.3"/>
    <row r="31789" s="160" customFormat="1" x14ac:dyDescent="0.3"/>
    <row r="31790" s="160" customFormat="1" x14ac:dyDescent="0.3"/>
    <row r="31791" s="160" customFormat="1" x14ac:dyDescent="0.3"/>
    <row r="31792" s="160" customFormat="1" x14ac:dyDescent="0.3"/>
    <row r="31793" s="160" customFormat="1" x14ac:dyDescent="0.3"/>
    <row r="31794" s="160" customFormat="1" x14ac:dyDescent="0.3"/>
    <row r="31795" s="160" customFormat="1" x14ac:dyDescent="0.3"/>
    <row r="31796" s="160" customFormat="1" x14ac:dyDescent="0.3"/>
    <row r="31797" s="160" customFormat="1" x14ac:dyDescent="0.3"/>
    <row r="31798" s="160" customFormat="1" x14ac:dyDescent="0.3"/>
    <row r="31799" s="160" customFormat="1" x14ac:dyDescent="0.3"/>
    <row r="31800" s="160" customFormat="1" x14ac:dyDescent="0.3"/>
    <row r="31801" s="160" customFormat="1" x14ac:dyDescent="0.3"/>
    <row r="31802" s="160" customFormat="1" x14ac:dyDescent="0.3"/>
    <row r="31803" s="160" customFormat="1" x14ac:dyDescent="0.3"/>
    <row r="31804" s="160" customFormat="1" x14ac:dyDescent="0.3"/>
    <row r="31805" s="160" customFormat="1" x14ac:dyDescent="0.3"/>
    <row r="31806" s="160" customFormat="1" x14ac:dyDescent="0.3"/>
    <row r="31807" s="160" customFormat="1" x14ac:dyDescent="0.3"/>
    <row r="31808" s="160" customFormat="1" x14ac:dyDescent="0.3"/>
    <row r="31809" s="160" customFormat="1" x14ac:dyDescent="0.3"/>
    <row r="31810" s="160" customFormat="1" x14ac:dyDescent="0.3"/>
    <row r="31811" s="160" customFormat="1" x14ac:dyDescent="0.3"/>
    <row r="31812" s="160" customFormat="1" x14ac:dyDescent="0.3"/>
    <row r="31813" s="160" customFormat="1" x14ac:dyDescent="0.3"/>
    <row r="31814" s="160" customFormat="1" x14ac:dyDescent="0.3"/>
    <row r="31815" s="160" customFormat="1" x14ac:dyDescent="0.3"/>
    <row r="31816" s="160" customFormat="1" x14ac:dyDescent="0.3"/>
    <row r="31817" s="160" customFormat="1" x14ac:dyDescent="0.3"/>
    <row r="31818" s="160" customFormat="1" x14ac:dyDescent="0.3"/>
    <row r="31819" s="160" customFormat="1" x14ac:dyDescent="0.3"/>
    <row r="31820" s="160" customFormat="1" x14ac:dyDescent="0.3"/>
    <row r="31821" s="160" customFormat="1" x14ac:dyDescent="0.3"/>
    <row r="31822" s="160" customFormat="1" x14ac:dyDescent="0.3"/>
    <row r="31823" s="160" customFormat="1" x14ac:dyDescent="0.3"/>
    <row r="31824" s="160" customFormat="1" x14ac:dyDescent="0.3"/>
    <row r="31825" s="160" customFormat="1" x14ac:dyDescent="0.3"/>
    <row r="31826" s="160" customFormat="1" x14ac:dyDescent="0.3"/>
    <row r="31827" s="160" customFormat="1" x14ac:dyDescent="0.3"/>
    <row r="31828" s="160" customFormat="1" x14ac:dyDescent="0.3"/>
    <row r="31829" s="160" customFormat="1" x14ac:dyDescent="0.3"/>
    <row r="31830" s="160" customFormat="1" x14ac:dyDescent="0.3"/>
    <row r="31831" s="160" customFormat="1" x14ac:dyDescent="0.3"/>
    <row r="31832" s="160" customFormat="1" x14ac:dyDescent="0.3"/>
    <row r="31833" s="160" customFormat="1" x14ac:dyDescent="0.3"/>
    <row r="31834" s="160" customFormat="1" x14ac:dyDescent="0.3"/>
    <row r="31835" s="160" customFormat="1" x14ac:dyDescent="0.3"/>
    <row r="31836" s="160" customFormat="1" x14ac:dyDescent="0.3"/>
    <row r="31837" s="160" customFormat="1" x14ac:dyDescent="0.3"/>
    <row r="31838" s="160" customFormat="1" x14ac:dyDescent="0.3"/>
    <row r="31839" s="160" customFormat="1" x14ac:dyDescent="0.3"/>
    <row r="31840" s="160" customFormat="1" x14ac:dyDescent="0.3"/>
    <row r="31841" s="160" customFormat="1" x14ac:dyDescent="0.3"/>
    <row r="31842" s="160" customFormat="1" x14ac:dyDescent="0.3"/>
    <row r="31843" s="160" customFormat="1" x14ac:dyDescent="0.3"/>
    <row r="31844" s="160" customFormat="1" x14ac:dyDescent="0.3"/>
    <row r="31845" s="160" customFormat="1" x14ac:dyDescent="0.3"/>
    <row r="31846" s="160" customFormat="1" x14ac:dyDescent="0.3"/>
    <row r="31847" s="160" customFormat="1" x14ac:dyDescent="0.3"/>
    <row r="31848" s="160" customFormat="1" x14ac:dyDescent="0.3"/>
    <row r="31849" s="160" customFormat="1" x14ac:dyDescent="0.3"/>
    <row r="31850" s="160" customFormat="1" x14ac:dyDescent="0.3"/>
    <row r="31851" s="160" customFormat="1" x14ac:dyDescent="0.3"/>
    <row r="31852" s="160" customFormat="1" x14ac:dyDescent="0.3"/>
    <row r="31853" s="160" customFormat="1" x14ac:dyDescent="0.3"/>
    <row r="31854" s="160" customFormat="1" x14ac:dyDescent="0.3"/>
    <row r="31855" s="160" customFormat="1" x14ac:dyDescent="0.3"/>
    <row r="31856" s="160" customFormat="1" x14ac:dyDescent="0.3"/>
    <row r="31857" s="160" customFormat="1" x14ac:dyDescent="0.3"/>
    <row r="31858" s="160" customFormat="1" x14ac:dyDescent="0.3"/>
    <row r="31859" s="160" customFormat="1" x14ac:dyDescent="0.3"/>
    <row r="31860" s="160" customFormat="1" x14ac:dyDescent="0.3"/>
    <row r="31861" s="160" customFormat="1" x14ac:dyDescent="0.3"/>
    <row r="31862" s="160" customFormat="1" x14ac:dyDescent="0.3"/>
    <row r="31863" s="160" customFormat="1" x14ac:dyDescent="0.3"/>
    <row r="31864" s="160" customFormat="1" x14ac:dyDescent="0.3"/>
    <row r="31865" s="160" customFormat="1" x14ac:dyDescent="0.3"/>
    <row r="31866" s="160" customFormat="1" x14ac:dyDescent="0.3"/>
    <row r="31867" s="160" customFormat="1" x14ac:dyDescent="0.3"/>
    <row r="31868" s="160" customFormat="1" x14ac:dyDescent="0.3"/>
    <row r="31869" s="160" customFormat="1" x14ac:dyDescent="0.3"/>
    <row r="31870" s="160" customFormat="1" x14ac:dyDescent="0.3"/>
    <row r="31871" s="160" customFormat="1" x14ac:dyDescent="0.3"/>
    <row r="31872" s="160" customFormat="1" x14ac:dyDescent="0.3"/>
    <row r="31873" s="160" customFormat="1" x14ac:dyDescent="0.3"/>
    <row r="31874" s="160" customFormat="1" x14ac:dyDescent="0.3"/>
    <row r="31875" s="160" customFormat="1" x14ac:dyDescent="0.3"/>
    <row r="31876" s="160" customFormat="1" x14ac:dyDescent="0.3"/>
    <row r="31877" s="160" customFormat="1" x14ac:dyDescent="0.3"/>
    <row r="31878" s="160" customFormat="1" x14ac:dyDescent="0.3"/>
    <row r="31879" s="160" customFormat="1" x14ac:dyDescent="0.3"/>
    <row r="31880" s="160" customFormat="1" x14ac:dyDescent="0.3"/>
    <row r="31881" s="160" customFormat="1" x14ac:dyDescent="0.3"/>
    <row r="31882" s="160" customFormat="1" x14ac:dyDescent="0.3"/>
    <row r="31883" s="160" customFormat="1" x14ac:dyDescent="0.3"/>
    <row r="31884" s="160" customFormat="1" x14ac:dyDescent="0.3"/>
    <row r="31885" s="160" customFormat="1" x14ac:dyDescent="0.3"/>
    <row r="31886" s="160" customFormat="1" x14ac:dyDescent="0.3"/>
    <row r="31887" s="160" customFormat="1" x14ac:dyDescent="0.3"/>
    <row r="31888" s="160" customFormat="1" x14ac:dyDescent="0.3"/>
    <row r="31889" s="160" customFormat="1" x14ac:dyDescent="0.3"/>
    <row r="31890" s="160" customFormat="1" x14ac:dyDescent="0.3"/>
    <row r="31891" s="160" customFormat="1" x14ac:dyDescent="0.3"/>
    <row r="31892" s="160" customFormat="1" x14ac:dyDescent="0.3"/>
    <row r="31893" s="160" customFormat="1" x14ac:dyDescent="0.3"/>
    <row r="31894" s="160" customFormat="1" x14ac:dyDescent="0.3"/>
    <row r="31895" s="160" customFormat="1" x14ac:dyDescent="0.3"/>
    <row r="31896" s="160" customFormat="1" x14ac:dyDescent="0.3"/>
    <row r="31897" s="160" customFormat="1" x14ac:dyDescent="0.3"/>
    <row r="31898" s="160" customFormat="1" x14ac:dyDescent="0.3"/>
    <row r="31899" s="160" customFormat="1" x14ac:dyDescent="0.3"/>
    <row r="31900" s="160" customFormat="1" x14ac:dyDescent="0.3"/>
    <row r="31901" s="160" customFormat="1" x14ac:dyDescent="0.3"/>
    <row r="31902" s="160" customFormat="1" x14ac:dyDescent="0.3"/>
    <row r="31903" s="160" customFormat="1" x14ac:dyDescent="0.3"/>
    <row r="31904" s="160" customFormat="1" x14ac:dyDescent="0.3"/>
    <row r="31905" s="160" customFormat="1" x14ac:dyDescent="0.3"/>
    <row r="31906" s="160" customFormat="1" x14ac:dyDescent="0.3"/>
    <row r="31907" s="160" customFormat="1" x14ac:dyDescent="0.3"/>
    <row r="31908" s="160" customFormat="1" x14ac:dyDescent="0.3"/>
    <row r="31909" s="160" customFormat="1" x14ac:dyDescent="0.3"/>
    <row r="31910" s="160" customFormat="1" x14ac:dyDescent="0.3"/>
    <row r="31911" s="160" customFormat="1" x14ac:dyDescent="0.3"/>
    <row r="31912" s="160" customFormat="1" x14ac:dyDescent="0.3"/>
    <row r="31913" s="160" customFormat="1" x14ac:dyDescent="0.3"/>
    <row r="31914" s="160" customFormat="1" x14ac:dyDescent="0.3"/>
    <row r="31915" s="160" customFormat="1" x14ac:dyDescent="0.3"/>
    <row r="31916" s="160" customFormat="1" x14ac:dyDescent="0.3"/>
    <row r="31917" s="160" customFormat="1" x14ac:dyDescent="0.3"/>
    <row r="31918" s="160" customFormat="1" x14ac:dyDescent="0.3"/>
    <row r="31919" s="160" customFormat="1" x14ac:dyDescent="0.3"/>
    <row r="31920" s="160" customFormat="1" x14ac:dyDescent="0.3"/>
    <row r="31921" s="160" customFormat="1" x14ac:dyDescent="0.3"/>
    <row r="31922" s="160" customFormat="1" x14ac:dyDescent="0.3"/>
    <row r="31923" s="160" customFormat="1" x14ac:dyDescent="0.3"/>
    <row r="31924" s="160" customFormat="1" x14ac:dyDescent="0.3"/>
    <row r="31925" s="160" customFormat="1" x14ac:dyDescent="0.3"/>
    <row r="31926" s="160" customFormat="1" x14ac:dyDescent="0.3"/>
    <row r="31927" s="160" customFormat="1" x14ac:dyDescent="0.3"/>
    <row r="31928" s="160" customFormat="1" x14ac:dyDescent="0.3"/>
    <row r="31929" s="160" customFormat="1" x14ac:dyDescent="0.3"/>
    <row r="31930" s="160" customFormat="1" x14ac:dyDescent="0.3"/>
    <row r="31931" s="160" customFormat="1" x14ac:dyDescent="0.3"/>
    <row r="31932" s="160" customFormat="1" x14ac:dyDescent="0.3"/>
    <row r="31933" s="160" customFormat="1" x14ac:dyDescent="0.3"/>
    <row r="31934" s="160" customFormat="1" x14ac:dyDescent="0.3"/>
    <row r="31935" s="160" customFormat="1" x14ac:dyDescent="0.3"/>
    <row r="31936" s="160" customFormat="1" x14ac:dyDescent="0.3"/>
    <row r="31937" s="160" customFormat="1" x14ac:dyDescent="0.3"/>
    <row r="31938" s="160" customFormat="1" x14ac:dyDescent="0.3"/>
    <row r="31939" s="160" customFormat="1" x14ac:dyDescent="0.3"/>
    <row r="31940" s="160" customFormat="1" x14ac:dyDescent="0.3"/>
    <row r="31941" s="160" customFormat="1" x14ac:dyDescent="0.3"/>
    <row r="31942" s="160" customFormat="1" x14ac:dyDescent="0.3"/>
    <row r="31943" s="160" customFormat="1" x14ac:dyDescent="0.3"/>
    <row r="31944" s="160" customFormat="1" x14ac:dyDescent="0.3"/>
    <row r="31945" s="160" customFormat="1" x14ac:dyDescent="0.3"/>
    <row r="31946" s="160" customFormat="1" x14ac:dyDescent="0.3"/>
    <row r="31947" s="160" customFormat="1" x14ac:dyDescent="0.3"/>
    <row r="31948" s="160" customFormat="1" x14ac:dyDescent="0.3"/>
    <row r="31949" s="160" customFormat="1" x14ac:dyDescent="0.3"/>
    <row r="31950" s="160" customFormat="1" x14ac:dyDescent="0.3"/>
    <row r="31951" s="160" customFormat="1" x14ac:dyDescent="0.3"/>
    <row r="31952" s="160" customFormat="1" x14ac:dyDescent="0.3"/>
    <row r="31953" s="160" customFormat="1" x14ac:dyDescent="0.3"/>
    <row r="31954" s="160" customFormat="1" x14ac:dyDescent="0.3"/>
    <row r="31955" s="160" customFormat="1" x14ac:dyDescent="0.3"/>
    <row r="31956" s="160" customFormat="1" x14ac:dyDescent="0.3"/>
    <row r="31957" s="160" customFormat="1" x14ac:dyDescent="0.3"/>
    <row r="31958" s="160" customFormat="1" x14ac:dyDescent="0.3"/>
    <row r="31959" s="160" customFormat="1" x14ac:dyDescent="0.3"/>
    <row r="31960" s="160" customFormat="1" x14ac:dyDescent="0.3"/>
    <row r="31961" s="160" customFormat="1" x14ac:dyDescent="0.3"/>
    <row r="31962" s="160" customFormat="1" x14ac:dyDescent="0.3"/>
    <row r="31963" s="160" customFormat="1" x14ac:dyDescent="0.3"/>
    <row r="31964" s="160" customFormat="1" x14ac:dyDescent="0.3"/>
    <row r="31965" s="160" customFormat="1" x14ac:dyDescent="0.3"/>
    <row r="31966" s="160" customFormat="1" x14ac:dyDescent="0.3"/>
    <row r="31967" s="160" customFormat="1" x14ac:dyDescent="0.3"/>
    <row r="31968" s="160" customFormat="1" x14ac:dyDescent="0.3"/>
    <row r="31969" s="160" customFormat="1" x14ac:dyDescent="0.3"/>
    <row r="31970" s="160" customFormat="1" x14ac:dyDescent="0.3"/>
    <row r="31971" s="160" customFormat="1" x14ac:dyDescent="0.3"/>
    <row r="31972" s="160" customFormat="1" x14ac:dyDescent="0.3"/>
    <row r="31973" s="160" customFormat="1" x14ac:dyDescent="0.3"/>
    <row r="31974" s="160" customFormat="1" x14ac:dyDescent="0.3"/>
    <row r="31975" s="160" customFormat="1" x14ac:dyDescent="0.3"/>
    <row r="31976" s="160" customFormat="1" x14ac:dyDescent="0.3"/>
    <row r="31977" s="160" customFormat="1" x14ac:dyDescent="0.3"/>
    <row r="31978" s="160" customFormat="1" x14ac:dyDescent="0.3"/>
    <row r="31979" s="160" customFormat="1" x14ac:dyDescent="0.3"/>
    <row r="31980" s="160" customFormat="1" x14ac:dyDescent="0.3"/>
    <row r="31981" s="160" customFormat="1" x14ac:dyDescent="0.3"/>
    <row r="31982" s="160" customFormat="1" x14ac:dyDescent="0.3"/>
    <row r="31983" s="160" customFormat="1" x14ac:dyDescent="0.3"/>
    <row r="31984" s="160" customFormat="1" x14ac:dyDescent="0.3"/>
    <row r="31985" s="160" customFormat="1" x14ac:dyDescent="0.3"/>
    <row r="31986" s="160" customFormat="1" x14ac:dyDescent="0.3"/>
    <row r="31987" s="160" customFormat="1" x14ac:dyDescent="0.3"/>
    <row r="31988" s="160" customFormat="1" x14ac:dyDescent="0.3"/>
    <row r="31989" s="160" customFormat="1" x14ac:dyDescent="0.3"/>
    <row r="31990" s="160" customFormat="1" x14ac:dyDescent="0.3"/>
    <row r="31991" s="160" customFormat="1" x14ac:dyDescent="0.3"/>
    <row r="31992" s="160" customFormat="1" x14ac:dyDescent="0.3"/>
    <row r="31993" s="160" customFormat="1" x14ac:dyDescent="0.3"/>
    <row r="31994" s="160" customFormat="1" x14ac:dyDescent="0.3"/>
    <row r="31995" s="160" customFormat="1" x14ac:dyDescent="0.3"/>
    <row r="31996" s="160" customFormat="1" x14ac:dyDescent="0.3"/>
    <row r="31997" s="160" customFormat="1" x14ac:dyDescent="0.3"/>
    <row r="31998" s="160" customFormat="1" x14ac:dyDescent="0.3"/>
    <row r="31999" s="160" customFormat="1" x14ac:dyDescent="0.3"/>
    <row r="32000" s="160" customFormat="1" x14ac:dyDescent="0.3"/>
    <row r="32001" s="160" customFormat="1" x14ac:dyDescent="0.3"/>
    <row r="32002" s="160" customFormat="1" x14ac:dyDescent="0.3"/>
    <row r="32003" s="160" customFormat="1" x14ac:dyDescent="0.3"/>
    <row r="32004" s="160" customFormat="1" x14ac:dyDescent="0.3"/>
    <row r="32005" s="160" customFormat="1" x14ac:dyDescent="0.3"/>
    <row r="32006" s="160" customFormat="1" x14ac:dyDescent="0.3"/>
    <row r="32007" s="160" customFormat="1" x14ac:dyDescent="0.3"/>
    <row r="32008" s="160" customFormat="1" x14ac:dyDescent="0.3"/>
    <row r="32009" s="160" customFormat="1" x14ac:dyDescent="0.3"/>
    <row r="32010" s="160" customFormat="1" x14ac:dyDescent="0.3"/>
    <row r="32011" s="160" customFormat="1" x14ac:dyDescent="0.3"/>
    <row r="32012" s="160" customFormat="1" x14ac:dyDescent="0.3"/>
    <row r="32013" s="160" customFormat="1" x14ac:dyDescent="0.3"/>
    <row r="32014" s="160" customFormat="1" x14ac:dyDescent="0.3"/>
    <row r="32015" s="160" customFormat="1" x14ac:dyDescent="0.3"/>
    <row r="32016" s="160" customFormat="1" x14ac:dyDescent="0.3"/>
    <row r="32017" s="160" customFormat="1" x14ac:dyDescent="0.3"/>
    <row r="32018" s="160" customFormat="1" x14ac:dyDescent="0.3"/>
    <row r="32019" s="160" customFormat="1" x14ac:dyDescent="0.3"/>
    <row r="32020" s="160" customFormat="1" x14ac:dyDescent="0.3"/>
    <row r="32021" s="160" customFormat="1" x14ac:dyDescent="0.3"/>
    <row r="32022" s="160" customFormat="1" x14ac:dyDescent="0.3"/>
    <row r="32023" s="160" customFormat="1" x14ac:dyDescent="0.3"/>
    <row r="32024" s="160" customFormat="1" x14ac:dyDescent="0.3"/>
    <row r="32025" s="160" customFormat="1" x14ac:dyDescent="0.3"/>
    <row r="32026" s="160" customFormat="1" x14ac:dyDescent="0.3"/>
    <row r="32027" s="160" customFormat="1" x14ac:dyDescent="0.3"/>
    <row r="32028" s="160" customFormat="1" x14ac:dyDescent="0.3"/>
    <row r="32029" s="160" customFormat="1" x14ac:dyDescent="0.3"/>
    <row r="32030" s="160" customFormat="1" x14ac:dyDescent="0.3"/>
    <row r="32031" s="160" customFormat="1" x14ac:dyDescent="0.3"/>
    <row r="32032" s="160" customFormat="1" x14ac:dyDescent="0.3"/>
    <row r="32033" s="160" customFormat="1" x14ac:dyDescent="0.3"/>
    <row r="32034" s="160" customFormat="1" x14ac:dyDescent="0.3"/>
    <row r="32035" s="160" customFormat="1" x14ac:dyDescent="0.3"/>
    <row r="32036" s="160" customFormat="1" x14ac:dyDescent="0.3"/>
    <row r="32037" s="160" customFormat="1" x14ac:dyDescent="0.3"/>
    <row r="32038" s="160" customFormat="1" x14ac:dyDescent="0.3"/>
    <row r="32039" s="160" customFormat="1" x14ac:dyDescent="0.3"/>
    <row r="32040" s="160" customFormat="1" x14ac:dyDescent="0.3"/>
    <row r="32041" s="160" customFormat="1" x14ac:dyDescent="0.3"/>
    <row r="32042" s="160" customFormat="1" x14ac:dyDescent="0.3"/>
    <row r="32043" s="160" customFormat="1" x14ac:dyDescent="0.3"/>
    <row r="32044" s="160" customFormat="1" x14ac:dyDescent="0.3"/>
    <row r="32045" s="160" customFormat="1" x14ac:dyDescent="0.3"/>
    <row r="32046" s="160" customFormat="1" x14ac:dyDescent="0.3"/>
    <row r="32047" s="160" customFormat="1" x14ac:dyDescent="0.3"/>
    <row r="32048" s="160" customFormat="1" x14ac:dyDescent="0.3"/>
    <row r="32049" s="160" customFormat="1" x14ac:dyDescent="0.3"/>
    <row r="32050" s="160" customFormat="1" x14ac:dyDescent="0.3"/>
    <row r="32051" s="160" customFormat="1" x14ac:dyDescent="0.3"/>
    <row r="32052" s="160" customFormat="1" x14ac:dyDescent="0.3"/>
    <row r="32053" s="160" customFormat="1" x14ac:dyDescent="0.3"/>
    <row r="32054" s="160" customFormat="1" x14ac:dyDescent="0.3"/>
    <row r="32055" s="160" customFormat="1" x14ac:dyDescent="0.3"/>
    <row r="32056" s="160" customFormat="1" x14ac:dyDescent="0.3"/>
    <row r="32057" s="160" customFormat="1" x14ac:dyDescent="0.3"/>
    <row r="32058" s="160" customFormat="1" x14ac:dyDescent="0.3"/>
    <row r="32059" s="160" customFormat="1" x14ac:dyDescent="0.3"/>
    <row r="32060" s="160" customFormat="1" x14ac:dyDescent="0.3"/>
    <row r="32061" s="160" customFormat="1" x14ac:dyDescent="0.3"/>
    <row r="32062" s="160" customFormat="1" x14ac:dyDescent="0.3"/>
    <row r="32063" s="160" customFormat="1" x14ac:dyDescent="0.3"/>
    <row r="32064" s="160" customFormat="1" x14ac:dyDescent="0.3"/>
    <row r="32065" s="160" customFormat="1" x14ac:dyDescent="0.3"/>
    <row r="32066" s="160" customFormat="1" x14ac:dyDescent="0.3"/>
    <row r="32067" s="160" customFormat="1" x14ac:dyDescent="0.3"/>
    <row r="32068" s="160" customFormat="1" x14ac:dyDescent="0.3"/>
    <row r="32069" s="160" customFormat="1" x14ac:dyDescent="0.3"/>
    <row r="32070" s="160" customFormat="1" x14ac:dyDescent="0.3"/>
    <row r="32071" s="160" customFormat="1" x14ac:dyDescent="0.3"/>
    <row r="32072" s="160" customFormat="1" x14ac:dyDescent="0.3"/>
    <row r="32073" s="160" customFormat="1" x14ac:dyDescent="0.3"/>
    <row r="32074" s="160" customFormat="1" x14ac:dyDescent="0.3"/>
    <row r="32075" s="160" customFormat="1" x14ac:dyDescent="0.3"/>
    <row r="32076" s="160" customFormat="1" x14ac:dyDescent="0.3"/>
    <row r="32077" s="160" customFormat="1" x14ac:dyDescent="0.3"/>
    <row r="32078" s="160" customFormat="1" x14ac:dyDescent="0.3"/>
    <row r="32079" s="160" customFormat="1" x14ac:dyDescent="0.3"/>
    <row r="32080" s="160" customFormat="1" x14ac:dyDescent="0.3"/>
    <row r="32081" s="160" customFormat="1" x14ac:dyDescent="0.3"/>
    <row r="32082" s="160" customFormat="1" x14ac:dyDescent="0.3"/>
    <row r="32083" s="160" customFormat="1" x14ac:dyDescent="0.3"/>
    <row r="32084" s="160" customFormat="1" x14ac:dyDescent="0.3"/>
    <row r="32085" s="160" customFormat="1" x14ac:dyDescent="0.3"/>
    <row r="32086" s="160" customFormat="1" x14ac:dyDescent="0.3"/>
    <row r="32087" s="160" customFormat="1" x14ac:dyDescent="0.3"/>
    <row r="32088" s="160" customFormat="1" x14ac:dyDescent="0.3"/>
    <row r="32089" s="160" customFormat="1" x14ac:dyDescent="0.3"/>
    <row r="32090" s="160" customFormat="1" x14ac:dyDescent="0.3"/>
    <row r="32091" s="160" customFormat="1" x14ac:dyDescent="0.3"/>
    <row r="32092" s="160" customFormat="1" x14ac:dyDescent="0.3"/>
    <row r="32093" s="160" customFormat="1" x14ac:dyDescent="0.3"/>
    <row r="32094" s="160" customFormat="1" x14ac:dyDescent="0.3"/>
    <row r="32095" s="160" customFormat="1" x14ac:dyDescent="0.3"/>
    <row r="32096" s="160" customFormat="1" x14ac:dyDescent="0.3"/>
    <row r="32097" s="160" customFormat="1" x14ac:dyDescent="0.3"/>
    <row r="32098" s="160" customFormat="1" x14ac:dyDescent="0.3"/>
    <row r="32099" s="160" customFormat="1" x14ac:dyDescent="0.3"/>
    <row r="32100" s="160" customFormat="1" x14ac:dyDescent="0.3"/>
    <row r="32101" s="160" customFormat="1" x14ac:dyDescent="0.3"/>
    <row r="32102" s="160" customFormat="1" x14ac:dyDescent="0.3"/>
    <row r="32103" s="160" customFormat="1" x14ac:dyDescent="0.3"/>
    <row r="32104" s="160" customFormat="1" x14ac:dyDescent="0.3"/>
    <row r="32105" s="160" customFormat="1" x14ac:dyDescent="0.3"/>
    <row r="32106" s="160" customFormat="1" x14ac:dyDescent="0.3"/>
    <row r="32107" s="160" customFormat="1" x14ac:dyDescent="0.3"/>
    <row r="32108" s="160" customFormat="1" x14ac:dyDescent="0.3"/>
    <row r="32109" s="160" customFormat="1" x14ac:dyDescent="0.3"/>
    <row r="32110" s="160" customFormat="1" x14ac:dyDescent="0.3"/>
    <row r="32111" s="160" customFormat="1" x14ac:dyDescent="0.3"/>
    <row r="32112" s="160" customFormat="1" x14ac:dyDescent="0.3"/>
    <row r="32113" s="160" customFormat="1" x14ac:dyDescent="0.3"/>
    <row r="32114" s="160" customFormat="1" x14ac:dyDescent="0.3"/>
    <row r="32115" s="160" customFormat="1" x14ac:dyDescent="0.3"/>
    <row r="32116" s="160" customFormat="1" x14ac:dyDescent="0.3"/>
    <row r="32117" s="160" customFormat="1" x14ac:dyDescent="0.3"/>
    <row r="32118" s="160" customFormat="1" x14ac:dyDescent="0.3"/>
    <row r="32119" s="160" customFormat="1" x14ac:dyDescent="0.3"/>
    <row r="32120" s="160" customFormat="1" x14ac:dyDescent="0.3"/>
    <row r="32121" s="160" customFormat="1" x14ac:dyDescent="0.3"/>
    <row r="32122" s="160" customFormat="1" x14ac:dyDescent="0.3"/>
    <row r="32123" s="160" customFormat="1" x14ac:dyDescent="0.3"/>
    <row r="32124" s="160" customFormat="1" x14ac:dyDescent="0.3"/>
    <row r="32125" s="160" customFormat="1" x14ac:dyDescent="0.3"/>
    <row r="32126" s="160" customFormat="1" x14ac:dyDescent="0.3"/>
    <row r="32127" s="160" customFormat="1" x14ac:dyDescent="0.3"/>
    <row r="32128" s="160" customFormat="1" x14ac:dyDescent="0.3"/>
    <row r="32129" s="160" customFormat="1" x14ac:dyDescent="0.3"/>
    <row r="32130" s="160" customFormat="1" x14ac:dyDescent="0.3"/>
    <row r="32131" s="160" customFormat="1" x14ac:dyDescent="0.3"/>
    <row r="32132" s="160" customFormat="1" x14ac:dyDescent="0.3"/>
    <row r="32133" s="160" customFormat="1" x14ac:dyDescent="0.3"/>
    <row r="32134" s="160" customFormat="1" x14ac:dyDescent="0.3"/>
    <row r="32135" s="160" customFormat="1" x14ac:dyDescent="0.3"/>
    <row r="32136" s="160" customFormat="1" x14ac:dyDescent="0.3"/>
    <row r="32137" s="160" customFormat="1" x14ac:dyDescent="0.3"/>
    <row r="32138" s="160" customFormat="1" x14ac:dyDescent="0.3"/>
    <row r="32139" s="160" customFormat="1" x14ac:dyDescent="0.3"/>
    <row r="32140" s="160" customFormat="1" x14ac:dyDescent="0.3"/>
    <row r="32141" s="160" customFormat="1" x14ac:dyDescent="0.3"/>
    <row r="32142" s="160" customFormat="1" x14ac:dyDescent="0.3"/>
    <row r="32143" s="160" customFormat="1" x14ac:dyDescent="0.3"/>
    <row r="32144" s="160" customFormat="1" x14ac:dyDescent="0.3"/>
    <row r="32145" s="160" customFormat="1" x14ac:dyDescent="0.3"/>
    <row r="32146" s="160" customFormat="1" x14ac:dyDescent="0.3"/>
    <row r="32147" s="160" customFormat="1" x14ac:dyDescent="0.3"/>
    <row r="32148" s="160" customFormat="1" x14ac:dyDescent="0.3"/>
    <row r="32149" s="160" customFormat="1" x14ac:dyDescent="0.3"/>
    <row r="32150" s="160" customFormat="1" x14ac:dyDescent="0.3"/>
    <row r="32151" s="160" customFormat="1" x14ac:dyDescent="0.3"/>
    <row r="32152" s="160" customFormat="1" x14ac:dyDescent="0.3"/>
    <row r="32153" s="160" customFormat="1" x14ac:dyDescent="0.3"/>
    <row r="32154" s="160" customFormat="1" x14ac:dyDescent="0.3"/>
    <row r="32155" s="160" customFormat="1" x14ac:dyDescent="0.3"/>
    <row r="32156" s="160" customFormat="1" x14ac:dyDescent="0.3"/>
    <row r="32157" s="160" customFormat="1" x14ac:dyDescent="0.3"/>
    <row r="32158" s="160" customFormat="1" x14ac:dyDescent="0.3"/>
    <row r="32159" s="160" customFormat="1" x14ac:dyDescent="0.3"/>
    <row r="32160" s="160" customFormat="1" x14ac:dyDescent="0.3"/>
    <row r="32161" s="160" customFormat="1" x14ac:dyDescent="0.3"/>
    <row r="32162" s="160" customFormat="1" x14ac:dyDescent="0.3"/>
    <row r="32163" s="160" customFormat="1" x14ac:dyDescent="0.3"/>
    <row r="32164" s="160" customFormat="1" x14ac:dyDescent="0.3"/>
    <row r="32165" s="160" customFormat="1" x14ac:dyDescent="0.3"/>
    <row r="32166" s="160" customFormat="1" x14ac:dyDescent="0.3"/>
    <row r="32167" s="160" customFormat="1" x14ac:dyDescent="0.3"/>
    <row r="32168" s="160" customFormat="1" x14ac:dyDescent="0.3"/>
    <row r="32169" s="160" customFormat="1" x14ac:dyDescent="0.3"/>
    <row r="32170" s="160" customFormat="1" x14ac:dyDescent="0.3"/>
    <row r="32171" s="160" customFormat="1" x14ac:dyDescent="0.3"/>
    <row r="32172" s="160" customFormat="1" x14ac:dyDescent="0.3"/>
    <row r="32173" s="160" customFormat="1" x14ac:dyDescent="0.3"/>
    <row r="32174" s="160" customFormat="1" x14ac:dyDescent="0.3"/>
    <row r="32175" s="160" customFormat="1" x14ac:dyDescent="0.3"/>
    <row r="32176" s="160" customFormat="1" x14ac:dyDescent="0.3"/>
    <row r="32177" s="160" customFormat="1" x14ac:dyDescent="0.3"/>
    <row r="32178" s="160" customFormat="1" x14ac:dyDescent="0.3"/>
    <row r="32179" s="160" customFormat="1" x14ac:dyDescent="0.3"/>
    <row r="32180" s="160" customFormat="1" x14ac:dyDescent="0.3"/>
    <row r="32181" s="160" customFormat="1" x14ac:dyDescent="0.3"/>
    <row r="32182" s="160" customFormat="1" x14ac:dyDescent="0.3"/>
    <row r="32183" s="160" customFormat="1" x14ac:dyDescent="0.3"/>
    <row r="32184" s="160" customFormat="1" x14ac:dyDescent="0.3"/>
    <row r="32185" s="160" customFormat="1" x14ac:dyDescent="0.3"/>
    <row r="32186" s="160" customFormat="1" x14ac:dyDescent="0.3"/>
    <row r="32187" s="160" customFormat="1" x14ac:dyDescent="0.3"/>
    <row r="32188" s="160" customFormat="1" x14ac:dyDescent="0.3"/>
    <row r="32189" s="160" customFormat="1" x14ac:dyDescent="0.3"/>
    <row r="32190" s="160" customFormat="1" x14ac:dyDescent="0.3"/>
    <row r="32191" s="160" customFormat="1" x14ac:dyDescent="0.3"/>
    <row r="32192" s="160" customFormat="1" x14ac:dyDescent="0.3"/>
    <row r="32193" s="160" customFormat="1" x14ac:dyDescent="0.3"/>
    <row r="32194" s="160" customFormat="1" x14ac:dyDescent="0.3"/>
    <row r="32195" s="160" customFormat="1" x14ac:dyDescent="0.3"/>
    <row r="32196" s="160" customFormat="1" x14ac:dyDescent="0.3"/>
    <row r="32197" s="160" customFormat="1" x14ac:dyDescent="0.3"/>
    <row r="32198" s="160" customFormat="1" x14ac:dyDescent="0.3"/>
    <row r="32199" s="160" customFormat="1" x14ac:dyDescent="0.3"/>
    <row r="32200" s="160" customFormat="1" x14ac:dyDescent="0.3"/>
    <row r="32201" s="160" customFormat="1" x14ac:dyDescent="0.3"/>
    <row r="32202" s="160" customFormat="1" x14ac:dyDescent="0.3"/>
    <row r="32203" s="160" customFormat="1" x14ac:dyDescent="0.3"/>
    <row r="32204" s="160" customFormat="1" x14ac:dyDescent="0.3"/>
    <row r="32205" s="160" customFormat="1" x14ac:dyDescent="0.3"/>
    <row r="32206" s="160" customFormat="1" x14ac:dyDescent="0.3"/>
    <row r="32207" s="160" customFormat="1" x14ac:dyDescent="0.3"/>
    <row r="32208" s="160" customFormat="1" x14ac:dyDescent="0.3"/>
    <row r="32209" s="160" customFormat="1" x14ac:dyDescent="0.3"/>
    <row r="32210" s="160" customFormat="1" x14ac:dyDescent="0.3"/>
    <row r="32211" s="160" customFormat="1" x14ac:dyDescent="0.3"/>
    <row r="32212" s="160" customFormat="1" x14ac:dyDescent="0.3"/>
    <row r="32213" s="160" customFormat="1" x14ac:dyDescent="0.3"/>
    <row r="32214" s="160" customFormat="1" x14ac:dyDescent="0.3"/>
    <row r="32215" s="160" customFormat="1" x14ac:dyDescent="0.3"/>
    <row r="32216" s="160" customFormat="1" x14ac:dyDescent="0.3"/>
    <row r="32217" s="160" customFormat="1" x14ac:dyDescent="0.3"/>
    <row r="32218" s="160" customFormat="1" x14ac:dyDescent="0.3"/>
    <row r="32219" s="160" customFormat="1" x14ac:dyDescent="0.3"/>
    <row r="32220" s="160" customFormat="1" x14ac:dyDescent="0.3"/>
    <row r="32221" s="160" customFormat="1" x14ac:dyDescent="0.3"/>
    <row r="32222" s="160" customFormat="1" x14ac:dyDescent="0.3"/>
    <row r="32223" s="160" customFormat="1" x14ac:dyDescent="0.3"/>
    <row r="32224" s="160" customFormat="1" x14ac:dyDescent="0.3"/>
    <row r="32225" s="160" customFormat="1" x14ac:dyDescent="0.3"/>
    <row r="32226" s="160" customFormat="1" x14ac:dyDescent="0.3"/>
    <row r="32227" s="160" customFormat="1" x14ac:dyDescent="0.3"/>
    <row r="32228" s="160" customFormat="1" x14ac:dyDescent="0.3"/>
    <row r="32229" s="160" customFormat="1" x14ac:dyDescent="0.3"/>
    <row r="32230" s="160" customFormat="1" x14ac:dyDescent="0.3"/>
    <row r="32231" s="160" customFormat="1" x14ac:dyDescent="0.3"/>
    <row r="32232" s="160" customFormat="1" x14ac:dyDescent="0.3"/>
    <row r="32233" s="160" customFormat="1" x14ac:dyDescent="0.3"/>
    <row r="32234" s="160" customFormat="1" x14ac:dyDescent="0.3"/>
    <row r="32235" s="160" customFormat="1" x14ac:dyDescent="0.3"/>
    <row r="32236" s="160" customFormat="1" x14ac:dyDescent="0.3"/>
    <row r="32237" s="160" customFormat="1" x14ac:dyDescent="0.3"/>
    <row r="32238" s="160" customFormat="1" x14ac:dyDescent="0.3"/>
    <row r="32239" s="160" customFormat="1" x14ac:dyDescent="0.3"/>
    <row r="32240" s="160" customFormat="1" x14ac:dyDescent="0.3"/>
    <row r="32241" s="160" customFormat="1" x14ac:dyDescent="0.3"/>
    <row r="32242" s="160" customFormat="1" x14ac:dyDescent="0.3"/>
    <row r="32243" s="160" customFormat="1" x14ac:dyDescent="0.3"/>
    <row r="32244" s="160" customFormat="1" x14ac:dyDescent="0.3"/>
    <row r="32245" s="160" customFormat="1" x14ac:dyDescent="0.3"/>
    <row r="32246" s="160" customFormat="1" x14ac:dyDescent="0.3"/>
    <row r="32247" s="160" customFormat="1" x14ac:dyDescent="0.3"/>
    <row r="32248" s="160" customFormat="1" x14ac:dyDescent="0.3"/>
    <row r="32249" s="160" customFormat="1" x14ac:dyDescent="0.3"/>
    <row r="32250" s="160" customFormat="1" x14ac:dyDescent="0.3"/>
    <row r="32251" s="160" customFormat="1" x14ac:dyDescent="0.3"/>
    <row r="32252" s="160" customFormat="1" x14ac:dyDescent="0.3"/>
    <row r="32253" s="160" customFormat="1" x14ac:dyDescent="0.3"/>
    <row r="32254" s="160" customFormat="1" x14ac:dyDescent="0.3"/>
    <row r="32255" s="160" customFormat="1" x14ac:dyDescent="0.3"/>
    <row r="32256" s="160" customFormat="1" x14ac:dyDescent="0.3"/>
    <row r="32257" s="160" customFormat="1" x14ac:dyDescent="0.3"/>
    <row r="32258" s="160" customFormat="1" x14ac:dyDescent="0.3"/>
    <row r="32259" s="160" customFormat="1" x14ac:dyDescent="0.3"/>
    <row r="32260" s="160" customFormat="1" x14ac:dyDescent="0.3"/>
    <row r="32261" s="160" customFormat="1" x14ac:dyDescent="0.3"/>
    <row r="32262" s="160" customFormat="1" x14ac:dyDescent="0.3"/>
    <row r="32263" s="160" customFormat="1" x14ac:dyDescent="0.3"/>
    <row r="32264" s="160" customFormat="1" x14ac:dyDescent="0.3"/>
    <row r="32265" s="160" customFormat="1" x14ac:dyDescent="0.3"/>
    <row r="32266" s="160" customFormat="1" x14ac:dyDescent="0.3"/>
    <row r="32267" s="160" customFormat="1" x14ac:dyDescent="0.3"/>
    <row r="32268" s="160" customFormat="1" x14ac:dyDescent="0.3"/>
    <row r="32269" s="160" customFormat="1" x14ac:dyDescent="0.3"/>
    <row r="32270" s="160" customFormat="1" x14ac:dyDescent="0.3"/>
    <row r="32271" s="160" customFormat="1" x14ac:dyDescent="0.3"/>
    <row r="32272" s="160" customFormat="1" x14ac:dyDescent="0.3"/>
    <row r="32273" s="160" customFormat="1" x14ac:dyDescent="0.3"/>
    <row r="32274" s="160" customFormat="1" x14ac:dyDescent="0.3"/>
    <row r="32275" s="160" customFormat="1" x14ac:dyDescent="0.3"/>
    <row r="32276" s="160" customFormat="1" x14ac:dyDescent="0.3"/>
    <row r="32277" s="160" customFormat="1" x14ac:dyDescent="0.3"/>
    <row r="32278" s="160" customFormat="1" x14ac:dyDescent="0.3"/>
    <row r="32279" s="160" customFormat="1" x14ac:dyDescent="0.3"/>
    <row r="32280" s="160" customFormat="1" x14ac:dyDescent="0.3"/>
    <row r="32281" s="160" customFormat="1" x14ac:dyDescent="0.3"/>
    <row r="32282" s="160" customFormat="1" x14ac:dyDescent="0.3"/>
    <row r="32283" s="160" customFormat="1" x14ac:dyDescent="0.3"/>
    <row r="32284" s="160" customFormat="1" x14ac:dyDescent="0.3"/>
    <row r="32285" s="160" customFormat="1" x14ac:dyDescent="0.3"/>
    <row r="32286" s="160" customFormat="1" x14ac:dyDescent="0.3"/>
    <row r="32287" s="160" customFormat="1" x14ac:dyDescent="0.3"/>
    <row r="32288" s="160" customFormat="1" x14ac:dyDescent="0.3"/>
    <row r="32289" s="160" customFormat="1" x14ac:dyDescent="0.3"/>
    <row r="32290" s="160" customFormat="1" x14ac:dyDescent="0.3"/>
    <row r="32291" s="160" customFormat="1" x14ac:dyDescent="0.3"/>
    <row r="32292" s="160" customFormat="1" x14ac:dyDescent="0.3"/>
    <row r="32293" s="160" customFormat="1" x14ac:dyDescent="0.3"/>
    <row r="32294" s="160" customFormat="1" x14ac:dyDescent="0.3"/>
    <row r="32295" s="160" customFormat="1" x14ac:dyDescent="0.3"/>
    <row r="32296" s="160" customFormat="1" x14ac:dyDescent="0.3"/>
    <row r="32297" s="160" customFormat="1" x14ac:dyDescent="0.3"/>
    <row r="32298" s="160" customFormat="1" x14ac:dyDescent="0.3"/>
    <row r="32299" s="160" customFormat="1" x14ac:dyDescent="0.3"/>
    <row r="32300" s="160" customFormat="1" x14ac:dyDescent="0.3"/>
    <row r="32301" s="160" customFormat="1" x14ac:dyDescent="0.3"/>
    <row r="32302" s="160" customFormat="1" x14ac:dyDescent="0.3"/>
    <row r="32303" s="160" customFormat="1" x14ac:dyDescent="0.3"/>
    <row r="32304" s="160" customFormat="1" x14ac:dyDescent="0.3"/>
    <row r="32305" s="160" customFormat="1" x14ac:dyDescent="0.3"/>
    <row r="32306" s="160" customFormat="1" x14ac:dyDescent="0.3"/>
    <row r="32307" s="160" customFormat="1" x14ac:dyDescent="0.3"/>
    <row r="32308" s="160" customFormat="1" x14ac:dyDescent="0.3"/>
    <row r="32309" s="160" customFormat="1" x14ac:dyDescent="0.3"/>
    <row r="32310" s="160" customFormat="1" x14ac:dyDescent="0.3"/>
    <row r="32311" s="160" customFormat="1" x14ac:dyDescent="0.3"/>
    <row r="32312" s="160" customFormat="1" x14ac:dyDescent="0.3"/>
    <row r="32313" s="160" customFormat="1" x14ac:dyDescent="0.3"/>
    <row r="32314" s="160" customFormat="1" x14ac:dyDescent="0.3"/>
    <row r="32315" s="160" customFormat="1" x14ac:dyDescent="0.3"/>
    <row r="32316" s="160" customFormat="1" x14ac:dyDescent="0.3"/>
    <row r="32317" s="160" customFormat="1" x14ac:dyDescent="0.3"/>
    <row r="32318" s="160" customFormat="1" x14ac:dyDescent="0.3"/>
    <row r="32319" s="160" customFormat="1" x14ac:dyDescent="0.3"/>
    <row r="32320" s="160" customFormat="1" x14ac:dyDescent="0.3"/>
    <row r="32321" s="160" customFormat="1" x14ac:dyDescent="0.3"/>
    <row r="32322" s="160" customFormat="1" x14ac:dyDescent="0.3"/>
    <row r="32323" s="160" customFormat="1" x14ac:dyDescent="0.3"/>
    <row r="32324" s="160" customFormat="1" x14ac:dyDescent="0.3"/>
    <row r="32325" s="160" customFormat="1" x14ac:dyDescent="0.3"/>
    <row r="32326" s="160" customFormat="1" x14ac:dyDescent="0.3"/>
    <row r="32327" s="160" customFormat="1" x14ac:dyDescent="0.3"/>
    <row r="32328" s="160" customFormat="1" x14ac:dyDescent="0.3"/>
    <row r="32329" s="160" customFormat="1" x14ac:dyDescent="0.3"/>
    <row r="32330" s="160" customFormat="1" x14ac:dyDescent="0.3"/>
    <row r="32331" s="160" customFormat="1" x14ac:dyDescent="0.3"/>
    <row r="32332" s="160" customFormat="1" x14ac:dyDescent="0.3"/>
    <row r="32333" s="160" customFormat="1" x14ac:dyDescent="0.3"/>
    <row r="32334" s="160" customFormat="1" x14ac:dyDescent="0.3"/>
    <row r="32335" s="160" customFormat="1" x14ac:dyDescent="0.3"/>
    <row r="32336" s="160" customFormat="1" x14ac:dyDescent="0.3"/>
    <row r="32337" s="160" customFormat="1" x14ac:dyDescent="0.3"/>
    <row r="32338" s="160" customFormat="1" x14ac:dyDescent="0.3"/>
    <row r="32339" s="160" customFormat="1" x14ac:dyDescent="0.3"/>
    <row r="32340" s="160" customFormat="1" x14ac:dyDescent="0.3"/>
    <row r="32341" s="160" customFormat="1" x14ac:dyDescent="0.3"/>
    <row r="32342" s="160" customFormat="1" x14ac:dyDescent="0.3"/>
    <row r="32343" s="160" customFormat="1" x14ac:dyDescent="0.3"/>
    <row r="32344" s="160" customFormat="1" x14ac:dyDescent="0.3"/>
    <row r="32345" s="160" customFormat="1" x14ac:dyDescent="0.3"/>
    <row r="32346" s="160" customFormat="1" x14ac:dyDescent="0.3"/>
    <row r="32347" s="160" customFormat="1" x14ac:dyDescent="0.3"/>
    <row r="32348" s="160" customFormat="1" x14ac:dyDescent="0.3"/>
    <row r="32349" s="160" customFormat="1" x14ac:dyDescent="0.3"/>
    <row r="32350" s="160" customFormat="1" x14ac:dyDescent="0.3"/>
    <row r="32351" s="160" customFormat="1" x14ac:dyDescent="0.3"/>
    <row r="32352" s="160" customFormat="1" x14ac:dyDescent="0.3"/>
    <row r="32353" s="160" customFormat="1" x14ac:dyDescent="0.3"/>
    <row r="32354" s="160" customFormat="1" x14ac:dyDescent="0.3"/>
    <row r="32355" s="160" customFormat="1" x14ac:dyDescent="0.3"/>
    <row r="32356" s="160" customFormat="1" x14ac:dyDescent="0.3"/>
    <row r="32357" s="160" customFormat="1" x14ac:dyDescent="0.3"/>
    <row r="32358" s="160" customFormat="1" x14ac:dyDescent="0.3"/>
    <row r="32359" s="160" customFormat="1" x14ac:dyDescent="0.3"/>
    <row r="32360" s="160" customFormat="1" x14ac:dyDescent="0.3"/>
    <row r="32361" s="160" customFormat="1" x14ac:dyDescent="0.3"/>
    <row r="32362" s="160" customFormat="1" x14ac:dyDescent="0.3"/>
    <row r="32363" s="160" customFormat="1" x14ac:dyDescent="0.3"/>
    <row r="32364" s="160" customFormat="1" x14ac:dyDescent="0.3"/>
    <row r="32365" s="160" customFormat="1" x14ac:dyDescent="0.3"/>
    <row r="32366" s="160" customFormat="1" x14ac:dyDescent="0.3"/>
    <row r="32367" s="160" customFormat="1" x14ac:dyDescent="0.3"/>
    <row r="32368" s="160" customFormat="1" x14ac:dyDescent="0.3"/>
    <row r="32369" s="160" customFormat="1" x14ac:dyDescent="0.3"/>
    <row r="32370" s="160" customFormat="1" x14ac:dyDescent="0.3"/>
    <row r="32371" s="160" customFormat="1" x14ac:dyDescent="0.3"/>
    <row r="32372" s="160" customFormat="1" x14ac:dyDescent="0.3"/>
    <row r="32373" s="160" customFormat="1" x14ac:dyDescent="0.3"/>
    <row r="32374" s="160" customFormat="1" x14ac:dyDescent="0.3"/>
    <row r="32375" s="160" customFormat="1" x14ac:dyDescent="0.3"/>
    <row r="32376" s="160" customFormat="1" x14ac:dyDescent="0.3"/>
    <row r="32377" s="160" customFormat="1" x14ac:dyDescent="0.3"/>
    <row r="32378" s="160" customFormat="1" x14ac:dyDescent="0.3"/>
    <row r="32379" s="160" customFormat="1" x14ac:dyDescent="0.3"/>
    <row r="32380" s="160" customFormat="1" x14ac:dyDescent="0.3"/>
    <row r="32381" s="160" customFormat="1" x14ac:dyDescent="0.3"/>
    <row r="32382" s="160" customFormat="1" x14ac:dyDescent="0.3"/>
    <row r="32383" s="160" customFormat="1" x14ac:dyDescent="0.3"/>
    <row r="32384" s="160" customFormat="1" x14ac:dyDescent="0.3"/>
    <row r="32385" s="160" customFormat="1" x14ac:dyDescent="0.3"/>
    <row r="32386" s="160" customFormat="1" x14ac:dyDescent="0.3"/>
    <row r="32387" s="160" customFormat="1" x14ac:dyDescent="0.3"/>
    <row r="32388" s="160" customFormat="1" x14ac:dyDescent="0.3"/>
    <row r="32389" s="160" customFormat="1" x14ac:dyDescent="0.3"/>
    <row r="32390" s="160" customFormat="1" x14ac:dyDescent="0.3"/>
    <row r="32391" s="160" customFormat="1" x14ac:dyDescent="0.3"/>
    <row r="32392" s="160" customFormat="1" x14ac:dyDescent="0.3"/>
    <row r="32393" s="160" customFormat="1" x14ac:dyDescent="0.3"/>
    <row r="32394" s="160" customFormat="1" x14ac:dyDescent="0.3"/>
    <row r="32395" s="160" customFormat="1" x14ac:dyDescent="0.3"/>
    <row r="32396" s="160" customFormat="1" x14ac:dyDescent="0.3"/>
    <row r="32397" s="160" customFormat="1" x14ac:dyDescent="0.3"/>
    <row r="32398" s="160" customFormat="1" x14ac:dyDescent="0.3"/>
    <row r="32399" s="160" customFormat="1" x14ac:dyDescent="0.3"/>
    <row r="32400" s="160" customFormat="1" x14ac:dyDescent="0.3"/>
    <row r="32401" s="160" customFormat="1" x14ac:dyDescent="0.3"/>
    <row r="32402" s="160" customFormat="1" x14ac:dyDescent="0.3"/>
    <row r="32403" s="160" customFormat="1" x14ac:dyDescent="0.3"/>
    <row r="32404" s="160" customFormat="1" x14ac:dyDescent="0.3"/>
    <row r="32405" s="160" customFormat="1" x14ac:dyDescent="0.3"/>
    <row r="32406" s="160" customFormat="1" x14ac:dyDescent="0.3"/>
    <row r="32407" s="160" customFormat="1" x14ac:dyDescent="0.3"/>
    <row r="32408" s="160" customFormat="1" x14ac:dyDescent="0.3"/>
    <row r="32409" s="160" customFormat="1" x14ac:dyDescent="0.3"/>
    <row r="32410" s="160" customFormat="1" x14ac:dyDescent="0.3"/>
    <row r="32411" s="160" customFormat="1" x14ac:dyDescent="0.3"/>
    <row r="32412" s="160" customFormat="1" x14ac:dyDescent="0.3"/>
    <row r="32413" s="160" customFormat="1" x14ac:dyDescent="0.3"/>
    <row r="32414" s="160" customFormat="1" x14ac:dyDescent="0.3"/>
    <row r="32415" s="160" customFormat="1" x14ac:dyDescent="0.3"/>
    <row r="32416" s="160" customFormat="1" x14ac:dyDescent="0.3"/>
    <row r="32417" s="160" customFormat="1" x14ac:dyDescent="0.3"/>
    <row r="32418" s="160" customFormat="1" x14ac:dyDescent="0.3"/>
    <row r="32419" s="160" customFormat="1" x14ac:dyDescent="0.3"/>
    <row r="32420" s="160" customFormat="1" x14ac:dyDescent="0.3"/>
    <row r="32421" s="160" customFormat="1" x14ac:dyDescent="0.3"/>
    <row r="32422" s="160" customFormat="1" x14ac:dyDescent="0.3"/>
    <row r="32423" s="160" customFormat="1" x14ac:dyDescent="0.3"/>
    <row r="32424" s="160" customFormat="1" x14ac:dyDescent="0.3"/>
    <row r="32425" s="160" customFormat="1" x14ac:dyDescent="0.3"/>
    <row r="32426" s="160" customFormat="1" x14ac:dyDescent="0.3"/>
    <row r="32427" s="160" customFormat="1" x14ac:dyDescent="0.3"/>
    <row r="32428" s="160" customFormat="1" x14ac:dyDescent="0.3"/>
    <row r="32429" s="160" customFormat="1" x14ac:dyDescent="0.3"/>
    <row r="32430" s="160" customFormat="1" x14ac:dyDescent="0.3"/>
    <row r="32431" s="160" customFormat="1" x14ac:dyDescent="0.3"/>
    <row r="32432" s="160" customFormat="1" x14ac:dyDescent="0.3"/>
    <row r="32433" s="160" customFormat="1" x14ac:dyDescent="0.3"/>
    <row r="32434" s="160" customFormat="1" x14ac:dyDescent="0.3"/>
    <row r="32435" s="160" customFormat="1" x14ac:dyDescent="0.3"/>
    <row r="32436" s="160" customFormat="1" x14ac:dyDescent="0.3"/>
    <row r="32437" s="160" customFormat="1" x14ac:dyDescent="0.3"/>
    <row r="32438" s="160" customFormat="1" x14ac:dyDescent="0.3"/>
    <row r="32439" s="160" customFormat="1" x14ac:dyDescent="0.3"/>
    <row r="32440" s="160" customFormat="1" x14ac:dyDescent="0.3"/>
    <row r="32441" s="160" customFormat="1" x14ac:dyDescent="0.3"/>
    <row r="32442" s="160" customFormat="1" x14ac:dyDescent="0.3"/>
    <row r="32443" s="160" customFormat="1" x14ac:dyDescent="0.3"/>
    <row r="32444" s="160" customFormat="1" x14ac:dyDescent="0.3"/>
    <row r="32445" s="160" customFormat="1" x14ac:dyDescent="0.3"/>
    <row r="32446" s="160" customFormat="1" x14ac:dyDescent="0.3"/>
    <row r="32447" s="160" customFormat="1" x14ac:dyDescent="0.3"/>
    <row r="32448" s="160" customFormat="1" x14ac:dyDescent="0.3"/>
    <row r="32449" s="160" customFormat="1" x14ac:dyDescent="0.3"/>
    <row r="32450" s="160" customFormat="1" x14ac:dyDescent="0.3"/>
    <row r="32451" s="160" customFormat="1" x14ac:dyDescent="0.3"/>
    <row r="32452" s="160" customFormat="1" x14ac:dyDescent="0.3"/>
    <row r="32453" s="160" customFormat="1" x14ac:dyDescent="0.3"/>
    <row r="32454" s="160" customFormat="1" x14ac:dyDescent="0.3"/>
    <row r="32455" s="160" customFormat="1" x14ac:dyDescent="0.3"/>
    <row r="32456" s="160" customFormat="1" x14ac:dyDescent="0.3"/>
    <row r="32457" s="160" customFormat="1" x14ac:dyDescent="0.3"/>
    <row r="32458" s="160" customFormat="1" x14ac:dyDescent="0.3"/>
    <row r="32459" s="160" customFormat="1" x14ac:dyDescent="0.3"/>
    <row r="32460" s="160" customFormat="1" x14ac:dyDescent="0.3"/>
    <row r="32461" s="160" customFormat="1" x14ac:dyDescent="0.3"/>
    <row r="32462" s="160" customFormat="1" x14ac:dyDescent="0.3"/>
    <row r="32463" s="160" customFormat="1" x14ac:dyDescent="0.3"/>
    <row r="32464" s="160" customFormat="1" x14ac:dyDescent="0.3"/>
    <row r="32465" s="160" customFormat="1" x14ac:dyDescent="0.3"/>
    <row r="32466" s="160" customFormat="1" x14ac:dyDescent="0.3"/>
    <row r="32467" s="160" customFormat="1" x14ac:dyDescent="0.3"/>
    <row r="32468" s="160" customFormat="1" x14ac:dyDescent="0.3"/>
    <row r="32469" s="160" customFormat="1" x14ac:dyDescent="0.3"/>
    <row r="32470" s="160" customFormat="1" x14ac:dyDescent="0.3"/>
    <row r="32471" s="160" customFormat="1" x14ac:dyDescent="0.3"/>
    <row r="32472" s="160" customFormat="1" x14ac:dyDescent="0.3"/>
    <row r="32473" s="160" customFormat="1" x14ac:dyDescent="0.3"/>
    <row r="32474" s="160" customFormat="1" x14ac:dyDescent="0.3"/>
    <row r="32475" s="160" customFormat="1" x14ac:dyDescent="0.3"/>
    <row r="32476" s="160" customFormat="1" x14ac:dyDescent="0.3"/>
    <row r="32477" s="160" customFormat="1" x14ac:dyDescent="0.3"/>
    <row r="32478" s="160" customFormat="1" x14ac:dyDescent="0.3"/>
    <row r="32479" s="160" customFormat="1" x14ac:dyDescent="0.3"/>
    <row r="32480" s="160" customFormat="1" x14ac:dyDescent="0.3"/>
    <row r="32481" s="160" customFormat="1" x14ac:dyDescent="0.3"/>
    <row r="32482" s="160" customFormat="1" x14ac:dyDescent="0.3"/>
    <row r="32483" s="160" customFormat="1" x14ac:dyDescent="0.3"/>
    <row r="32484" s="160" customFormat="1" x14ac:dyDescent="0.3"/>
    <row r="32485" s="160" customFormat="1" x14ac:dyDescent="0.3"/>
    <row r="32486" s="160" customFormat="1" x14ac:dyDescent="0.3"/>
    <row r="32487" s="160" customFormat="1" x14ac:dyDescent="0.3"/>
    <row r="32488" s="160" customFormat="1" x14ac:dyDescent="0.3"/>
    <row r="32489" s="160" customFormat="1" x14ac:dyDescent="0.3"/>
    <row r="32490" s="160" customFormat="1" x14ac:dyDescent="0.3"/>
    <row r="32491" s="160" customFormat="1" x14ac:dyDescent="0.3"/>
    <row r="32492" s="160" customFormat="1" x14ac:dyDescent="0.3"/>
    <row r="32493" s="160" customFormat="1" x14ac:dyDescent="0.3"/>
    <row r="32494" s="160" customFormat="1" x14ac:dyDescent="0.3"/>
    <row r="32495" s="160" customFormat="1" x14ac:dyDescent="0.3"/>
    <row r="32496" s="160" customFormat="1" x14ac:dyDescent="0.3"/>
    <row r="32497" s="160" customFormat="1" x14ac:dyDescent="0.3"/>
    <row r="32498" s="160" customFormat="1" x14ac:dyDescent="0.3"/>
    <row r="32499" s="160" customFormat="1" x14ac:dyDescent="0.3"/>
    <row r="32500" s="160" customFormat="1" x14ac:dyDescent="0.3"/>
    <row r="32501" s="160" customFormat="1" x14ac:dyDescent="0.3"/>
    <row r="32502" s="160" customFormat="1" x14ac:dyDescent="0.3"/>
    <row r="32503" s="160" customFormat="1" x14ac:dyDescent="0.3"/>
    <row r="32504" s="160" customFormat="1" x14ac:dyDescent="0.3"/>
    <row r="32505" s="160" customFormat="1" x14ac:dyDescent="0.3"/>
    <row r="32506" s="160" customFormat="1" x14ac:dyDescent="0.3"/>
    <row r="32507" s="160" customFormat="1" x14ac:dyDescent="0.3"/>
    <row r="32508" s="160" customFormat="1" x14ac:dyDescent="0.3"/>
    <row r="32509" s="160" customFormat="1" x14ac:dyDescent="0.3"/>
    <row r="32510" s="160" customFormat="1" x14ac:dyDescent="0.3"/>
    <row r="32511" s="160" customFormat="1" x14ac:dyDescent="0.3"/>
    <row r="32512" s="160" customFormat="1" x14ac:dyDescent="0.3"/>
    <row r="32513" s="160" customFormat="1" x14ac:dyDescent="0.3"/>
    <row r="32514" s="160" customFormat="1" x14ac:dyDescent="0.3"/>
    <row r="32515" s="160" customFormat="1" x14ac:dyDescent="0.3"/>
    <row r="32516" s="160" customFormat="1" x14ac:dyDescent="0.3"/>
    <row r="32517" s="160" customFormat="1" x14ac:dyDescent="0.3"/>
    <row r="32518" s="160" customFormat="1" x14ac:dyDescent="0.3"/>
    <row r="32519" s="160" customFormat="1" x14ac:dyDescent="0.3"/>
    <row r="32520" s="160" customFormat="1" x14ac:dyDescent="0.3"/>
    <row r="32521" s="160" customFormat="1" x14ac:dyDescent="0.3"/>
    <row r="32522" s="160" customFormat="1" x14ac:dyDescent="0.3"/>
    <row r="32523" s="160" customFormat="1" x14ac:dyDescent="0.3"/>
    <row r="32524" s="160" customFormat="1" x14ac:dyDescent="0.3"/>
    <row r="32525" s="160" customFormat="1" x14ac:dyDescent="0.3"/>
    <row r="32526" s="160" customFormat="1" x14ac:dyDescent="0.3"/>
    <row r="32527" s="160" customFormat="1" x14ac:dyDescent="0.3"/>
    <row r="32528" s="160" customFormat="1" x14ac:dyDescent="0.3"/>
    <row r="32529" s="160" customFormat="1" x14ac:dyDescent="0.3"/>
    <row r="32530" s="160" customFormat="1" x14ac:dyDescent="0.3"/>
    <row r="32531" s="160" customFormat="1" x14ac:dyDescent="0.3"/>
    <row r="32532" s="160" customFormat="1" x14ac:dyDescent="0.3"/>
    <row r="32533" s="160" customFormat="1" x14ac:dyDescent="0.3"/>
    <row r="32534" s="160" customFormat="1" x14ac:dyDescent="0.3"/>
    <row r="32535" s="160" customFormat="1" x14ac:dyDescent="0.3"/>
    <row r="32536" s="160" customFormat="1" x14ac:dyDescent="0.3"/>
    <row r="32537" s="160" customFormat="1" x14ac:dyDescent="0.3"/>
    <row r="32538" s="160" customFormat="1" x14ac:dyDescent="0.3"/>
    <row r="32539" s="160" customFormat="1" x14ac:dyDescent="0.3"/>
    <row r="32540" s="160" customFormat="1" x14ac:dyDescent="0.3"/>
    <row r="32541" s="160" customFormat="1" x14ac:dyDescent="0.3"/>
    <row r="32542" s="160" customFormat="1" x14ac:dyDescent="0.3"/>
    <row r="32543" s="160" customFormat="1" x14ac:dyDescent="0.3"/>
    <row r="32544" s="160" customFormat="1" x14ac:dyDescent="0.3"/>
    <row r="32545" s="160" customFormat="1" x14ac:dyDescent="0.3"/>
    <row r="32546" s="160" customFormat="1" x14ac:dyDescent="0.3"/>
    <row r="32547" s="160" customFormat="1" x14ac:dyDescent="0.3"/>
    <row r="32548" s="160" customFormat="1" x14ac:dyDescent="0.3"/>
    <row r="32549" s="160" customFormat="1" x14ac:dyDescent="0.3"/>
    <row r="32550" s="160" customFormat="1" x14ac:dyDescent="0.3"/>
    <row r="32551" s="160" customFormat="1" x14ac:dyDescent="0.3"/>
    <row r="32552" s="160" customFormat="1" x14ac:dyDescent="0.3"/>
    <row r="32553" s="160" customFormat="1" x14ac:dyDescent="0.3"/>
    <row r="32554" s="160" customFormat="1" x14ac:dyDescent="0.3"/>
    <row r="32555" s="160" customFormat="1" x14ac:dyDescent="0.3"/>
    <row r="32556" s="160" customFormat="1" x14ac:dyDescent="0.3"/>
    <row r="32557" s="160" customFormat="1" x14ac:dyDescent="0.3"/>
    <row r="32558" s="160" customFormat="1" x14ac:dyDescent="0.3"/>
    <row r="32559" s="160" customFormat="1" x14ac:dyDescent="0.3"/>
    <row r="32560" s="160" customFormat="1" x14ac:dyDescent="0.3"/>
    <row r="32561" s="160" customFormat="1" x14ac:dyDescent="0.3"/>
    <row r="32562" s="160" customFormat="1" x14ac:dyDescent="0.3"/>
    <row r="32563" s="160" customFormat="1" x14ac:dyDescent="0.3"/>
    <row r="32564" s="160" customFormat="1" x14ac:dyDescent="0.3"/>
    <row r="32565" s="160" customFormat="1" x14ac:dyDescent="0.3"/>
    <row r="32566" s="160" customFormat="1" x14ac:dyDescent="0.3"/>
    <row r="32567" s="160" customFormat="1" x14ac:dyDescent="0.3"/>
    <row r="32568" s="160" customFormat="1" x14ac:dyDescent="0.3"/>
    <row r="32569" s="160" customFormat="1" x14ac:dyDescent="0.3"/>
    <row r="32570" s="160" customFormat="1" x14ac:dyDescent="0.3"/>
    <row r="32571" s="160" customFormat="1" x14ac:dyDescent="0.3"/>
    <row r="32572" s="160" customFormat="1" x14ac:dyDescent="0.3"/>
    <row r="32573" s="160" customFormat="1" x14ac:dyDescent="0.3"/>
    <row r="32574" s="160" customFormat="1" x14ac:dyDescent="0.3"/>
    <row r="32575" s="160" customFormat="1" x14ac:dyDescent="0.3"/>
    <row r="32576" s="160" customFormat="1" x14ac:dyDescent="0.3"/>
    <row r="32577" s="160" customFormat="1" x14ac:dyDescent="0.3"/>
    <row r="32578" s="160" customFormat="1" x14ac:dyDescent="0.3"/>
    <row r="32579" s="160" customFormat="1" x14ac:dyDescent="0.3"/>
    <row r="32580" s="160" customFormat="1" x14ac:dyDescent="0.3"/>
    <row r="32581" s="160" customFormat="1" x14ac:dyDescent="0.3"/>
    <row r="32582" s="160" customFormat="1" x14ac:dyDescent="0.3"/>
    <row r="32583" s="160" customFormat="1" x14ac:dyDescent="0.3"/>
    <row r="32584" s="160" customFormat="1" x14ac:dyDescent="0.3"/>
    <row r="32585" s="160" customFormat="1" x14ac:dyDescent="0.3"/>
    <row r="32586" s="160" customFormat="1" x14ac:dyDescent="0.3"/>
    <row r="32587" s="160" customFormat="1" x14ac:dyDescent="0.3"/>
    <row r="32588" s="160" customFormat="1" x14ac:dyDescent="0.3"/>
    <row r="32589" s="160" customFormat="1" x14ac:dyDescent="0.3"/>
    <row r="32590" s="160" customFormat="1" x14ac:dyDescent="0.3"/>
    <row r="32591" s="160" customFormat="1" x14ac:dyDescent="0.3"/>
    <row r="32592" s="160" customFormat="1" x14ac:dyDescent="0.3"/>
    <row r="32593" s="160" customFormat="1" x14ac:dyDescent="0.3"/>
    <row r="32594" s="160" customFormat="1" x14ac:dyDescent="0.3"/>
    <row r="32595" s="160" customFormat="1" x14ac:dyDescent="0.3"/>
    <row r="32596" s="160" customFormat="1" x14ac:dyDescent="0.3"/>
    <row r="32597" s="160" customFormat="1" x14ac:dyDescent="0.3"/>
    <row r="32598" s="160" customFormat="1" x14ac:dyDescent="0.3"/>
    <row r="32599" s="160" customFormat="1" x14ac:dyDescent="0.3"/>
    <row r="32600" s="160" customFormat="1" x14ac:dyDescent="0.3"/>
    <row r="32601" s="160" customFormat="1" x14ac:dyDescent="0.3"/>
    <row r="32602" s="160" customFormat="1" x14ac:dyDescent="0.3"/>
    <row r="32603" s="160" customFormat="1" x14ac:dyDescent="0.3"/>
    <row r="32604" s="160" customFormat="1" x14ac:dyDescent="0.3"/>
    <row r="32605" s="160" customFormat="1" x14ac:dyDescent="0.3"/>
    <row r="32606" s="160" customFormat="1" x14ac:dyDescent="0.3"/>
    <row r="32607" s="160" customFormat="1" x14ac:dyDescent="0.3"/>
    <row r="32608" s="160" customFormat="1" x14ac:dyDescent="0.3"/>
    <row r="32609" s="160" customFormat="1" x14ac:dyDescent="0.3"/>
    <row r="32610" s="160" customFormat="1" x14ac:dyDescent="0.3"/>
    <row r="32611" s="160" customFormat="1" x14ac:dyDescent="0.3"/>
    <row r="32612" s="160" customFormat="1" x14ac:dyDescent="0.3"/>
    <row r="32613" s="160" customFormat="1" x14ac:dyDescent="0.3"/>
    <row r="32614" s="160" customFormat="1" x14ac:dyDescent="0.3"/>
    <row r="32615" s="160" customFormat="1" x14ac:dyDescent="0.3"/>
    <row r="32616" s="160" customFormat="1" x14ac:dyDescent="0.3"/>
    <row r="32617" s="160" customFormat="1" x14ac:dyDescent="0.3"/>
    <row r="32618" s="160" customFormat="1" x14ac:dyDescent="0.3"/>
    <row r="32619" s="160" customFormat="1" x14ac:dyDescent="0.3"/>
    <row r="32620" s="160" customFormat="1" x14ac:dyDescent="0.3"/>
    <row r="32621" s="160" customFormat="1" x14ac:dyDescent="0.3"/>
    <row r="32622" s="160" customFormat="1" x14ac:dyDescent="0.3"/>
    <row r="32623" s="160" customFormat="1" x14ac:dyDescent="0.3"/>
    <row r="32624" s="160" customFormat="1" x14ac:dyDescent="0.3"/>
    <row r="32625" s="160" customFormat="1" x14ac:dyDescent="0.3"/>
    <row r="32626" s="160" customFormat="1" x14ac:dyDescent="0.3"/>
    <row r="32627" s="160" customFormat="1" x14ac:dyDescent="0.3"/>
    <row r="32628" s="160" customFormat="1" x14ac:dyDescent="0.3"/>
    <row r="32629" s="160" customFormat="1" x14ac:dyDescent="0.3"/>
    <row r="32630" s="160" customFormat="1" x14ac:dyDescent="0.3"/>
    <row r="32631" s="160" customFormat="1" x14ac:dyDescent="0.3"/>
    <row r="32632" s="160" customFormat="1" x14ac:dyDescent="0.3"/>
    <row r="32633" s="160" customFormat="1" x14ac:dyDescent="0.3"/>
    <row r="32634" s="160" customFormat="1" x14ac:dyDescent="0.3"/>
    <row r="32635" s="160" customFormat="1" x14ac:dyDescent="0.3"/>
    <row r="32636" s="160" customFormat="1" x14ac:dyDescent="0.3"/>
    <row r="32637" s="160" customFormat="1" x14ac:dyDescent="0.3"/>
    <row r="32638" s="160" customFormat="1" x14ac:dyDescent="0.3"/>
    <row r="32639" s="160" customFormat="1" x14ac:dyDescent="0.3"/>
    <row r="32640" s="160" customFormat="1" x14ac:dyDescent="0.3"/>
    <row r="32641" s="160" customFormat="1" x14ac:dyDescent="0.3"/>
    <row r="32642" s="160" customFormat="1" x14ac:dyDescent="0.3"/>
    <row r="32643" s="160" customFormat="1" x14ac:dyDescent="0.3"/>
    <row r="32644" s="160" customFormat="1" x14ac:dyDescent="0.3"/>
    <row r="32645" s="160" customFormat="1" x14ac:dyDescent="0.3"/>
    <row r="32646" s="160" customFormat="1" x14ac:dyDescent="0.3"/>
    <row r="32647" s="160" customFormat="1" x14ac:dyDescent="0.3"/>
    <row r="32648" s="160" customFormat="1" x14ac:dyDescent="0.3"/>
    <row r="32649" s="160" customFormat="1" x14ac:dyDescent="0.3"/>
    <row r="32650" s="160" customFormat="1" x14ac:dyDescent="0.3"/>
    <row r="32651" s="160" customFormat="1" x14ac:dyDescent="0.3"/>
    <row r="32652" s="160" customFormat="1" x14ac:dyDescent="0.3"/>
    <row r="32653" s="160" customFormat="1" x14ac:dyDescent="0.3"/>
    <row r="32654" s="160" customFormat="1" x14ac:dyDescent="0.3"/>
    <row r="32655" s="160" customFormat="1" x14ac:dyDescent="0.3"/>
    <row r="32656" s="160" customFormat="1" x14ac:dyDescent="0.3"/>
    <row r="32657" s="160" customFormat="1" x14ac:dyDescent="0.3"/>
    <row r="32658" s="160" customFormat="1" x14ac:dyDescent="0.3"/>
    <row r="32659" s="160" customFormat="1" x14ac:dyDescent="0.3"/>
    <row r="32660" s="160" customFormat="1" x14ac:dyDescent="0.3"/>
    <row r="32661" s="160" customFormat="1" x14ac:dyDescent="0.3"/>
    <row r="32662" s="160" customFormat="1" x14ac:dyDescent="0.3"/>
    <row r="32663" s="160" customFormat="1" x14ac:dyDescent="0.3"/>
    <row r="32664" s="160" customFormat="1" x14ac:dyDescent="0.3"/>
    <row r="32665" s="160" customFormat="1" x14ac:dyDescent="0.3"/>
    <row r="32666" s="160" customFormat="1" x14ac:dyDescent="0.3"/>
    <row r="32667" s="160" customFormat="1" x14ac:dyDescent="0.3"/>
    <row r="32668" s="160" customFormat="1" x14ac:dyDescent="0.3"/>
    <row r="32669" s="160" customFormat="1" x14ac:dyDescent="0.3"/>
    <row r="32670" s="160" customFormat="1" x14ac:dyDescent="0.3"/>
    <row r="32671" s="160" customFormat="1" x14ac:dyDescent="0.3"/>
    <row r="32672" s="160" customFormat="1" x14ac:dyDescent="0.3"/>
    <row r="32673" s="160" customFormat="1" x14ac:dyDescent="0.3"/>
    <row r="32674" s="160" customFormat="1" x14ac:dyDescent="0.3"/>
    <row r="32675" s="160" customFormat="1" x14ac:dyDescent="0.3"/>
    <row r="32676" s="160" customFormat="1" x14ac:dyDescent="0.3"/>
    <row r="32677" s="160" customFormat="1" x14ac:dyDescent="0.3"/>
    <row r="32678" s="160" customFormat="1" x14ac:dyDescent="0.3"/>
    <row r="32679" s="160" customFormat="1" x14ac:dyDescent="0.3"/>
    <row r="32680" s="160" customFormat="1" x14ac:dyDescent="0.3"/>
    <row r="32681" s="160" customFormat="1" x14ac:dyDescent="0.3"/>
    <row r="32682" s="160" customFormat="1" x14ac:dyDescent="0.3"/>
    <row r="32683" s="160" customFormat="1" x14ac:dyDescent="0.3"/>
    <row r="32684" s="160" customFormat="1" x14ac:dyDescent="0.3"/>
    <row r="32685" s="160" customFormat="1" x14ac:dyDescent="0.3"/>
    <row r="32686" s="160" customFormat="1" x14ac:dyDescent="0.3"/>
    <row r="32687" s="160" customFormat="1" x14ac:dyDescent="0.3"/>
    <row r="32688" s="160" customFormat="1" x14ac:dyDescent="0.3"/>
    <row r="32689" s="160" customFormat="1" x14ac:dyDescent="0.3"/>
    <row r="32690" s="160" customFormat="1" x14ac:dyDescent="0.3"/>
    <row r="32691" s="160" customFormat="1" x14ac:dyDescent="0.3"/>
    <row r="32692" s="160" customFormat="1" x14ac:dyDescent="0.3"/>
    <row r="32693" s="160" customFormat="1" x14ac:dyDescent="0.3"/>
    <row r="32694" s="160" customFormat="1" x14ac:dyDescent="0.3"/>
    <row r="32695" s="160" customFormat="1" x14ac:dyDescent="0.3"/>
    <row r="32696" s="160" customFormat="1" x14ac:dyDescent="0.3"/>
    <row r="32697" s="160" customFormat="1" x14ac:dyDescent="0.3"/>
    <row r="32698" s="160" customFormat="1" x14ac:dyDescent="0.3"/>
    <row r="32699" s="160" customFormat="1" x14ac:dyDescent="0.3"/>
    <row r="32700" s="160" customFormat="1" x14ac:dyDescent="0.3"/>
    <row r="32701" s="160" customFormat="1" x14ac:dyDescent="0.3"/>
    <row r="32702" s="160" customFormat="1" x14ac:dyDescent="0.3"/>
    <row r="32703" s="160" customFormat="1" x14ac:dyDescent="0.3"/>
    <row r="32704" s="160" customFormat="1" x14ac:dyDescent="0.3"/>
    <row r="32705" s="160" customFormat="1" x14ac:dyDescent="0.3"/>
    <row r="32706" s="160" customFormat="1" x14ac:dyDescent="0.3"/>
    <row r="32707" s="160" customFormat="1" x14ac:dyDescent="0.3"/>
    <row r="32708" s="160" customFormat="1" x14ac:dyDescent="0.3"/>
    <row r="32709" s="160" customFormat="1" x14ac:dyDescent="0.3"/>
    <row r="32710" s="160" customFormat="1" x14ac:dyDescent="0.3"/>
    <row r="32711" s="160" customFormat="1" x14ac:dyDescent="0.3"/>
    <row r="32712" s="160" customFormat="1" x14ac:dyDescent="0.3"/>
    <row r="32713" s="160" customFormat="1" x14ac:dyDescent="0.3"/>
    <row r="32714" s="160" customFormat="1" x14ac:dyDescent="0.3"/>
    <row r="32715" s="160" customFormat="1" x14ac:dyDescent="0.3"/>
    <row r="32716" s="160" customFormat="1" x14ac:dyDescent="0.3"/>
    <row r="32717" s="160" customFormat="1" x14ac:dyDescent="0.3"/>
    <row r="32718" s="160" customFormat="1" x14ac:dyDescent="0.3"/>
    <row r="32719" s="160" customFormat="1" x14ac:dyDescent="0.3"/>
    <row r="32720" s="160" customFormat="1" x14ac:dyDescent="0.3"/>
    <row r="32721" s="160" customFormat="1" x14ac:dyDescent="0.3"/>
    <row r="32722" s="160" customFormat="1" x14ac:dyDescent="0.3"/>
    <row r="32723" s="160" customFormat="1" x14ac:dyDescent="0.3"/>
    <row r="32724" s="160" customFormat="1" x14ac:dyDescent="0.3"/>
    <row r="32725" s="160" customFormat="1" x14ac:dyDescent="0.3"/>
    <row r="32726" s="160" customFormat="1" x14ac:dyDescent="0.3"/>
    <row r="32727" s="160" customFormat="1" x14ac:dyDescent="0.3"/>
    <row r="32728" s="160" customFormat="1" x14ac:dyDescent="0.3"/>
    <row r="32729" s="160" customFormat="1" x14ac:dyDescent="0.3"/>
    <row r="32730" s="160" customFormat="1" x14ac:dyDescent="0.3"/>
    <row r="32731" s="160" customFormat="1" x14ac:dyDescent="0.3"/>
    <row r="32732" s="160" customFormat="1" x14ac:dyDescent="0.3"/>
    <row r="32733" s="160" customFormat="1" x14ac:dyDescent="0.3"/>
    <row r="32734" s="160" customFormat="1" x14ac:dyDescent="0.3"/>
    <row r="32735" s="160" customFormat="1" x14ac:dyDescent="0.3"/>
    <row r="32736" s="160" customFormat="1" x14ac:dyDescent="0.3"/>
    <row r="32737" s="160" customFormat="1" x14ac:dyDescent="0.3"/>
    <row r="32738" s="160" customFormat="1" x14ac:dyDescent="0.3"/>
    <row r="32739" s="160" customFormat="1" x14ac:dyDescent="0.3"/>
    <row r="32740" s="160" customFormat="1" x14ac:dyDescent="0.3"/>
    <row r="32741" s="160" customFormat="1" x14ac:dyDescent="0.3"/>
    <row r="32742" s="160" customFormat="1" x14ac:dyDescent="0.3"/>
    <row r="32743" s="160" customFormat="1" x14ac:dyDescent="0.3"/>
    <row r="32744" s="160" customFormat="1" x14ac:dyDescent="0.3"/>
    <row r="32745" s="160" customFormat="1" x14ac:dyDescent="0.3"/>
    <row r="32746" s="160" customFormat="1" x14ac:dyDescent="0.3"/>
    <row r="32747" s="160" customFormat="1" x14ac:dyDescent="0.3"/>
    <row r="32748" s="160" customFormat="1" x14ac:dyDescent="0.3"/>
    <row r="32749" s="160" customFormat="1" x14ac:dyDescent="0.3"/>
    <row r="32750" s="160" customFormat="1" x14ac:dyDescent="0.3"/>
    <row r="32751" s="160" customFormat="1" x14ac:dyDescent="0.3"/>
    <row r="32752" s="160" customFormat="1" x14ac:dyDescent="0.3"/>
    <row r="32753" s="160" customFormat="1" x14ac:dyDescent="0.3"/>
    <row r="32754" s="160" customFormat="1" x14ac:dyDescent="0.3"/>
    <row r="32755" s="160" customFormat="1" x14ac:dyDescent="0.3"/>
    <row r="32756" s="160" customFormat="1" x14ac:dyDescent="0.3"/>
    <row r="32757" s="160" customFormat="1" x14ac:dyDescent="0.3"/>
    <row r="32758" s="160" customFormat="1" x14ac:dyDescent="0.3"/>
    <row r="32759" s="160" customFormat="1" x14ac:dyDescent="0.3"/>
    <row r="32760" s="160" customFormat="1" x14ac:dyDescent="0.3"/>
    <row r="32761" s="160" customFormat="1" x14ac:dyDescent="0.3"/>
    <row r="32762" s="160" customFormat="1" x14ac:dyDescent="0.3"/>
    <row r="32763" s="160" customFormat="1" x14ac:dyDescent="0.3"/>
    <row r="32764" s="160" customFormat="1" x14ac:dyDescent="0.3"/>
    <row r="32765" s="160" customFormat="1" x14ac:dyDescent="0.3"/>
    <row r="32766" s="160" customFormat="1" x14ac:dyDescent="0.3"/>
    <row r="32767" s="160" customFormat="1" x14ac:dyDescent="0.3"/>
    <row r="32768" s="160" customFormat="1" x14ac:dyDescent="0.3"/>
    <row r="32769" s="160" customFormat="1" x14ac:dyDescent="0.3"/>
    <row r="32770" s="160" customFormat="1" x14ac:dyDescent="0.3"/>
    <row r="32771" s="160" customFormat="1" x14ac:dyDescent="0.3"/>
    <row r="32772" s="160" customFormat="1" x14ac:dyDescent="0.3"/>
    <row r="32773" s="160" customFormat="1" x14ac:dyDescent="0.3"/>
    <row r="32774" s="160" customFormat="1" x14ac:dyDescent="0.3"/>
    <row r="32775" s="160" customFormat="1" x14ac:dyDescent="0.3"/>
    <row r="32776" s="160" customFormat="1" x14ac:dyDescent="0.3"/>
    <row r="32777" s="160" customFormat="1" x14ac:dyDescent="0.3"/>
    <row r="32778" s="160" customFormat="1" x14ac:dyDescent="0.3"/>
    <row r="32779" s="160" customFormat="1" x14ac:dyDescent="0.3"/>
    <row r="32780" s="160" customFormat="1" x14ac:dyDescent="0.3"/>
    <row r="32781" s="160" customFormat="1" x14ac:dyDescent="0.3"/>
    <row r="32782" s="160" customFormat="1" x14ac:dyDescent="0.3"/>
    <row r="32783" s="160" customFormat="1" x14ac:dyDescent="0.3"/>
    <row r="32784" s="160" customFormat="1" x14ac:dyDescent="0.3"/>
    <row r="32785" s="160" customFormat="1" x14ac:dyDescent="0.3"/>
    <row r="32786" s="160" customFormat="1" x14ac:dyDescent="0.3"/>
    <row r="32787" s="160" customFormat="1" x14ac:dyDescent="0.3"/>
    <row r="32788" s="160" customFormat="1" x14ac:dyDescent="0.3"/>
    <row r="32789" s="160" customFormat="1" x14ac:dyDescent="0.3"/>
    <row r="32790" s="160" customFormat="1" x14ac:dyDescent="0.3"/>
    <row r="32791" s="160" customFormat="1" x14ac:dyDescent="0.3"/>
    <row r="32792" s="160" customFormat="1" x14ac:dyDescent="0.3"/>
    <row r="32793" s="160" customFormat="1" x14ac:dyDescent="0.3"/>
    <row r="32794" s="160" customFormat="1" x14ac:dyDescent="0.3"/>
    <row r="32795" s="160" customFormat="1" x14ac:dyDescent="0.3"/>
    <row r="32796" s="160" customFormat="1" x14ac:dyDescent="0.3"/>
    <row r="32797" s="160" customFormat="1" x14ac:dyDescent="0.3"/>
    <row r="32798" s="160" customFormat="1" x14ac:dyDescent="0.3"/>
    <row r="32799" s="160" customFormat="1" x14ac:dyDescent="0.3"/>
    <row r="32800" s="160" customFormat="1" x14ac:dyDescent="0.3"/>
    <row r="32801" s="160" customFormat="1" x14ac:dyDescent="0.3"/>
    <row r="32802" s="160" customFormat="1" x14ac:dyDescent="0.3"/>
    <row r="32803" s="160" customFormat="1" x14ac:dyDescent="0.3"/>
    <row r="32804" s="160" customFormat="1" x14ac:dyDescent="0.3"/>
    <row r="32805" s="160" customFormat="1" x14ac:dyDescent="0.3"/>
    <row r="32806" s="160" customFormat="1" x14ac:dyDescent="0.3"/>
    <row r="32807" s="160" customFormat="1" x14ac:dyDescent="0.3"/>
    <row r="32808" s="160" customFormat="1" x14ac:dyDescent="0.3"/>
    <row r="32809" s="160" customFormat="1" x14ac:dyDescent="0.3"/>
    <row r="32810" s="160" customFormat="1" x14ac:dyDescent="0.3"/>
    <row r="32811" s="160" customFormat="1" x14ac:dyDescent="0.3"/>
    <row r="32812" s="160" customFormat="1" x14ac:dyDescent="0.3"/>
    <row r="32813" s="160" customFormat="1" x14ac:dyDescent="0.3"/>
    <row r="32814" s="160" customFormat="1" x14ac:dyDescent="0.3"/>
    <row r="32815" s="160" customFormat="1" x14ac:dyDescent="0.3"/>
    <row r="32816" s="160" customFormat="1" x14ac:dyDescent="0.3"/>
    <row r="32817" s="160" customFormat="1" x14ac:dyDescent="0.3"/>
    <row r="32818" s="160" customFormat="1" x14ac:dyDescent="0.3"/>
    <row r="32819" s="160" customFormat="1" x14ac:dyDescent="0.3"/>
    <row r="32820" s="160" customFormat="1" x14ac:dyDescent="0.3"/>
    <row r="32821" s="160" customFormat="1" x14ac:dyDescent="0.3"/>
    <row r="32822" s="160" customFormat="1" x14ac:dyDescent="0.3"/>
    <row r="32823" s="160" customFormat="1" x14ac:dyDescent="0.3"/>
    <row r="32824" s="160" customFormat="1" x14ac:dyDescent="0.3"/>
    <row r="32825" s="160" customFormat="1" x14ac:dyDescent="0.3"/>
    <row r="32826" s="160" customFormat="1" x14ac:dyDescent="0.3"/>
    <row r="32827" s="160" customFormat="1" x14ac:dyDescent="0.3"/>
    <row r="32828" s="160" customFormat="1" x14ac:dyDescent="0.3"/>
    <row r="32829" s="160" customFormat="1" x14ac:dyDescent="0.3"/>
    <row r="32830" s="160" customFormat="1" x14ac:dyDescent="0.3"/>
    <row r="32831" s="160" customFormat="1" x14ac:dyDescent="0.3"/>
    <row r="32832" s="160" customFormat="1" x14ac:dyDescent="0.3"/>
    <row r="32833" s="160" customFormat="1" x14ac:dyDescent="0.3"/>
    <row r="32834" s="160" customFormat="1" x14ac:dyDescent="0.3"/>
    <row r="32835" s="160" customFormat="1" x14ac:dyDescent="0.3"/>
    <row r="32836" s="160" customFormat="1" x14ac:dyDescent="0.3"/>
    <row r="32837" s="160" customFormat="1" x14ac:dyDescent="0.3"/>
    <row r="32838" s="160" customFormat="1" x14ac:dyDescent="0.3"/>
    <row r="32839" s="160" customFormat="1" x14ac:dyDescent="0.3"/>
    <row r="32840" s="160" customFormat="1" x14ac:dyDescent="0.3"/>
    <row r="32841" s="160" customFormat="1" x14ac:dyDescent="0.3"/>
    <row r="32842" s="160" customFormat="1" x14ac:dyDescent="0.3"/>
    <row r="32843" s="160" customFormat="1" x14ac:dyDescent="0.3"/>
    <row r="32844" s="160" customFormat="1" x14ac:dyDescent="0.3"/>
    <row r="32845" s="160" customFormat="1" x14ac:dyDescent="0.3"/>
    <row r="32846" s="160" customFormat="1" x14ac:dyDescent="0.3"/>
    <row r="32847" s="160" customFormat="1" x14ac:dyDescent="0.3"/>
    <row r="32848" s="160" customFormat="1" x14ac:dyDescent="0.3"/>
    <row r="32849" s="160" customFormat="1" x14ac:dyDescent="0.3"/>
    <row r="32850" s="160" customFormat="1" x14ac:dyDescent="0.3"/>
    <row r="32851" s="160" customFormat="1" x14ac:dyDescent="0.3"/>
    <row r="32852" s="160" customFormat="1" x14ac:dyDescent="0.3"/>
    <row r="32853" s="160" customFormat="1" x14ac:dyDescent="0.3"/>
    <row r="32854" s="160" customFormat="1" x14ac:dyDescent="0.3"/>
    <row r="32855" s="160" customFormat="1" x14ac:dyDescent="0.3"/>
    <row r="32856" s="160" customFormat="1" x14ac:dyDescent="0.3"/>
    <row r="32857" s="160" customFormat="1" x14ac:dyDescent="0.3"/>
    <row r="32858" s="160" customFormat="1" x14ac:dyDescent="0.3"/>
    <row r="32859" s="160" customFormat="1" x14ac:dyDescent="0.3"/>
    <row r="32860" s="160" customFormat="1" x14ac:dyDescent="0.3"/>
    <row r="32861" s="160" customFormat="1" x14ac:dyDescent="0.3"/>
    <row r="32862" s="160" customFormat="1" x14ac:dyDescent="0.3"/>
    <row r="32863" s="160" customFormat="1" x14ac:dyDescent="0.3"/>
    <row r="32864" s="160" customFormat="1" x14ac:dyDescent="0.3"/>
    <row r="32865" s="160" customFormat="1" x14ac:dyDescent="0.3"/>
    <row r="32866" s="160" customFormat="1" x14ac:dyDescent="0.3"/>
    <row r="32867" s="160" customFormat="1" x14ac:dyDescent="0.3"/>
    <row r="32868" s="160" customFormat="1" x14ac:dyDescent="0.3"/>
    <row r="32869" s="160" customFormat="1" x14ac:dyDescent="0.3"/>
    <row r="32870" s="160" customFormat="1" x14ac:dyDescent="0.3"/>
    <row r="32871" s="160" customFormat="1" x14ac:dyDescent="0.3"/>
    <row r="32872" s="160" customFormat="1" x14ac:dyDescent="0.3"/>
    <row r="32873" s="160" customFormat="1" x14ac:dyDescent="0.3"/>
    <row r="32874" s="160" customFormat="1" x14ac:dyDescent="0.3"/>
    <row r="32875" s="160" customFormat="1" x14ac:dyDescent="0.3"/>
    <row r="32876" s="160" customFormat="1" x14ac:dyDescent="0.3"/>
    <row r="32877" s="160" customFormat="1" x14ac:dyDescent="0.3"/>
    <row r="32878" s="160" customFormat="1" x14ac:dyDescent="0.3"/>
    <row r="32879" s="160" customFormat="1" x14ac:dyDescent="0.3"/>
    <row r="32880" s="160" customFormat="1" x14ac:dyDescent="0.3"/>
    <row r="32881" s="160" customFormat="1" x14ac:dyDescent="0.3"/>
    <row r="32882" s="160" customFormat="1" x14ac:dyDescent="0.3"/>
    <row r="32883" s="160" customFormat="1" x14ac:dyDescent="0.3"/>
    <row r="32884" s="160" customFormat="1" x14ac:dyDescent="0.3"/>
    <row r="32885" s="160" customFormat="1" x14ac:dyDescent="0.3"/>
    <row r="32886" s="160" customFormat="1" x14ac:dyDescent="0.3"/>
    <row r="32887" s="160" customFormat="1" x14ac:dyDescent="0.3"/>
    <row r="32888" s="160" customFormat="1" x14ac:dyDescent="0.3"/>
    <row r="32889" s="160" customFormat="1" x14ac:dyDescent="0.3"/>
    <row r="32890" s="160" customFormat="1" x14ac:dyDescent="0.3"/>
    <row r="32891" s="160" customFormat="1" x14ac:dyDescent="0.3"/>
    <row r="32892" s="160" customFormat="1" x14ac:dyDescent="0.3"/>
    <row r="32893" s="160" customFormat="1" x14ac:dyDescent="0.3"/>
    <row r="32894" s="160" customFormat="1" x14ac:dyDescent="0.3"/>
    <row r="32895" s="160" customFormat="1" x14ac:dyDescent="0.3"/>
    <row r="32896" s="160" customFormat="1" x14ac:dyDescent="0.3"/>
    <row r="32897" s="160" customFormat="1" x14ac:dyDescent="0.3"/>
    <row r="32898" s="160" customFormat="1" x14ac:dyDescent="0.3"/>
    <row r="32899" s="160" customFormat="1" x14ac:dyDescent="0.3"/>
    <row r="32900" s="160" customFormat="1" x14ac:dyDescent="0.3"/>
    <row r="32901" s="160" customFormat="1" x14ac:dyDescent="0.3"/>
    <row r="32902" s="160" customFormat="1" x14ac:dyDescent="0.3"/>
    <row r="32903" s="160" customFormat="1" x14ac:dyDescent="0.3"/>
    <row r="32904" s="160" customFormat="1" x14ac:dyDescent="0.3"/>
    <row r="32905" s="160" customFormat="1" x14ac:dyDescent="0.3"/>
    <row r="32906" s="160" customFormat="1" x14ac:dyDescent="0.3"/>
    <row r="32907" s="160" customFormat="1" x14ac:dyDescent="0.3"/>
    <row r="32908" s="160" customFormat="1" x14ac:dyDescent="0.3"/>
    <row r="32909" s="160" customFormat="1" x14ac:dyDescent="0.3"/>
    <row r="32910" s="160" customFormat="1" x14ac:dyDescent="0.3"/>
    <row r="32911" s="160" customFormat="1" x14ac:dyDescent="0.3"/>
    <row r="32912" s="160" customFormat="1" x14ac:dyDescent="0.3"/>
    <row r="32913" s="160" customFormat="1" x14ac:dyDescent="0.3"/>
    <row r="32914" s="160" customFormat="1" x14ac:dyDescent="0.3"/>
    <row r="32915" s="160" customFormat="1" x14ac:dyDescent="0.3"/>
    <row r="32916" s="160" customFormat="1" x14ac:dyDescent="0.3"/>
    <row r="32917" s="160" customFormat="1" x14ac:dyDescent="0.3"/>
    <row r="32918" s="160" customFormat="1" x14ac:dyDescent="0.3"/>
    <row r="32919" s="160" customFormat="1" x14ac:dyDescent="0.3"/>
    <row r="32920" s="160" customFormat="1" x14ac:dyDescent="0.3"/>
    <row r="32921" s="160" customFormat="1" x14ac:dyDescent="0.3"/>
    <row r="32922" s="160" customFormat="1" x14ac:dyDescent="0.3"/>
    <row r="32923" s="160" customFormat="1" x14ac:dyDescent="0.3"/>
    <row r="32924" s="160" customFormat="1" x14ac:dyDescent="0.3"/>
    <row r="32925" s="160" customFormat="1" x14ac:dyDescent="0.3"/>
    <row r="32926" s="160" customFormat="1" x14ac:dyDescent="0.3"/>
    <row r="32927" s="160" customFormat="1" x14ac:dyDescent="0.3"/>
    <row r="32928" s="160" customFormat="1" x14ac:dyDescent="0.3"/>
    <row r="32929" s="160" customFormat="1" x14ac:dyDescent="0.3"/>
    <row r="32930" s="160" customFormat="1" x14ac:dyDescent="0.3"/>
    <row r="32931" s="160" customFormat="1" x14ac:dyDescent="0.3"/>
    <row r="32932" s="160" customFormat="1" x14ac:dyDescent="0.3"/>
    <row r="32933" s="160" customFormat="1" x14ac:dyDescent="0.3"/>
    <row r="32934" s="160" customFormat="1" x14ac:dyDescent="0.3"/>
    <row r="32935" s="160" customFormat="1" x14ac:dyDescent="0.3"/>
    <row r="32936" s="160" customFormat="1" x14ac:dyDescent="0.3"/>
    <row r="32937" s="160" customFormat="1" x14ac:dyDescent="0.3"/>
    <row r="32938" s="160" customFormat="1" x14ac:dyDescent="0.3"/>
    <row r="32939" s="160" customFormat="1" x14ac:dyDescent="0.3"/>
    <row r="32940" s="160" customFormat="1" x14ac:dyDescent="0.3"/>
    <row r="32941" s="160" customFormat="1" x14ac:dyDescent="0.3"/>
    <row r="32942" s="160" customFormat="1" x14ac:dyDescent="0.3"/>
    <row r="32943" s="160" customFormat="1" x14ac:dyDescent="0.3"/>
    <row r="32944" s="160" customFormat="1" x14ac:dyDescent="0.3"/>
    <row r="32945" s="160" customFormat="1" x14ac:dyDescent="0.3"/>
    <row r="32946" s="160" customFormat="1" x14ac:dyDescent="0.3"/>
    <row r="32947" s="160" customFormat="1" x14ac:dyDescent="0.3"/>
    <row r="32948" s="160" customFormat="1" x14ac:dyDescent="0.3"/>
    <row r="32949" s="160" customFormat="1" x14ac:dyDescent="0.3"/>
    <row r="32950" s="160" customFormat="1" x14ac:dyDescent="0.3"/>
    <row r="32951" s="160" customFormat="1" x14ac:dyDescent="0.3"/>
    <row r="32952" s="160" customFormat="1" x14ac:dyDescent="0.3"/>
    <row r="32953" s="160" customFormat="1" x14ac:dyDescent="0.3"/>
    <row r="32954" s="160" customFormat="1" x14ac:dyDescent="0.3"/>
    <row r="32955" s="160" customFormat="1" x14ac:dyDescent="0.3"/>
    <row r="32956" s="160" customFormat="1" x14ac:dyDescent="0.3"/>
    <row r="32957" s="160" customFormat="1" x14ac:dyDescent="0.3"/>
    <row r="32958" s="160" customFormat="1" x14ac:dyDescent="0.3"/>
    <row r="32959" s="160" customFormat="1" x14ac:dyDescent="0.3"/>
    <row r="32960" s="160" customFormat="1" x14ac:dyDescent="0.3"/>
    <row r="32961" s="160" customFormat="1" x14ac:dyDescent="0.3"/>
    <row r="32962" s="160" customFormat="1" x14ac:dyDescent="0.3"/>
    <row r="32963" s="160" customFormat="1" x14ac:dyDescent="0.3"/>
    <row r="32964" s="160" customFormat="1" x14ac:dyDescent="0.3"/>
    <row r="32965" s="160" customFormat="1" x14ac:dyDescent="0.3"/>
    <row r="32966" s="160" customFormat="1" x14ac:dyDescent="0.3"/>
    <row r="32967" s="160" customFormat="1" x14ac:dyDescent="0.3"/>
    <row r="32968" s="160" customFormat="1" x14ac:dyDescent="0.3"/>
    <row r="32969" s="160" customFormat="1" x14ac:dyDescent="0.3"/>
    <row r="32970" s="160" customFormat="1" x14ac:dyDescent="0.3"/>
    <row r="32971" s="160" customFormat="1" x14ac:dyDescent="0.3"/>
    <row r="32972" s="160" customFormat="1" x14ac:dyDescent="0.3"/>
    <row r="32973" s="160" customFormat="1" x14ac:dyDescent="0.3"/>
    <row r="32974" s="160" customFormat="1" x14ac:dyDescent="0.3"/>
    <row r="32975" s="160" customFormat="1" x14ac:dyDescent="0.3"/>
    <row r="32976" s="160" customFormat="1" x14ac:dyDescent="0.3"/>
    <row r="32977" s="160" customFormat="1" x14ac:dyDescent="0.3"/>
    <row r="32978" s="160" customFormat="1" x14ac:dyDescent="0.3"/>
    <row r="32979" s="160" customFormat="1" x14ac:dyDescent="0.3"/>
    <row r="32980" s="160" customFormat="1" x14ac:dyDescent="0.3"/>
    <row r="32981" s="160" customFormat="1" x14ac:dyDescent="0.3"/>
    <row r="32982" s="160" customFormat="1" x14ac:dyDescent="0.3"/>
    <row r="32983" s="160" customFormat="1" x14ac:dyDescent="0.3"/>
    <row r="32984" s="160" customFormat="1" x14ac:dyDescent="0.3"/>
    <row r="32985" s="160" customFormat="1" x14ac:dyDescent="0.3"/>
    <row r="32986" s="160" customFormat="1" x14ac:dyDescent="0.3"/>
    <row r="32987" s="160" customFormat="1" x14ac:dyDescent="0.3"/>
    <row r="32988" s="160" customFormat="1" x14ac:dyDescent="0.3"/>
    <row r="32989" s="160" customFormat="1" x14ac:dyDescent="0.3"/>
    <row r="32990" s="160" customFormat="1" x14ac:dyDescent="0.3"/>
    <row r="32991" s="160" customFormat="1" x14ac:dyDescent="0.3"/>
    <row r="32992" s="160" customFormat="1" x14ac:dyDescent="0.3"/>
    <row r="32993" s="160" customFormat="1" x14ac:dyDescent="0.3"/>
    <row r="32994" s="160" customFormat="1" x14ac:dyDescent="0.3"/>
    <row r="32995" s="160" customFormat="1" x14ac:dyDescent="0.3"/>
    <row r="32996" s="160" customFormat="1" x14ac:dyDescent="0.3"/>
    <row r="32997" s="160" customFormat="1" x14ac:dyDescent="0.3"/>
    <row r="32998" s="160" customFormat="1" x14ac:dyDescent="0.3"/>
    <row r="32999" s="160" customFormat="1" x14ac:dyDescent="0.3"/>
    <row r="33000" s="160" customFormat="1" x14ac:dyDescent="0.3"/>
    <row r="33001" s="160" customFormat="1" x14ac:dyDescent="0.3"/>
    <row r="33002" s="160" customFormat="1" x14ac:dyDescent="0.3"/>
    <row r="33003" s="160" customFormat="1" x14ac:dyDescent="0.3"/>
    <row r="33004" s="160" customFormat="1" x14ac:dyDescent="0.3"/>
    <row r="33005" s="160" customFormat="1" x14ac:dyDescent="0.3"/>
    <row r="33006" s="160" customFormat="1" x14ac:dyDescent="0.3"/>
    <row r="33007" s="160" customFormat="1" x14ac:dyDescent="0.3"/>
    <row r="33008" s="160" customFormat="1" x14ac:dyDescent="0.3"/>
    <row r="33009" s="160" customFormat="1" x14ac:dyDescent="0.3"/>
    <row r="33010" s="160" customFormat="1" x14ac:dyDescent="0.3"/>
    <row r="33011" s="160" customFormat="1" x14ac:dyDescent="0.3"/>
    <row r="33012" s="160" customFormat="1" x14ac:dyDescent="0.3"/>
    <row r="33013" s="160" customFormat="1" x14ac:dyDescent="0.3"/>
    <row r="33014" s="160" customFormat="1" x14ac:dyDescent="0.3"/>
    <row r="33015" s="160" customFormat="1" x14ac:dyDescent="0.3"/>
    <row r="33016" s="160" customFormat="1" x14ac:dyDescent="0.3"/>
    <row r="33017" s="160" customFormat="1" x14ac:dyDescent="0.3"/>
    <row r="33018" s="160" customFormat="1" x14ac:dyDescent="0.3"/>
    <row r="33019" s="160" customFormat="1" x14ac:dyDescent="0.3"/>
    <row r="33020" s="160" customFormat="1" x14ac:dyDescent="0.3"/>
    <row r="33021" s="160" customFormat="1" x14ac:dyDescent="0.3"/>
    <row r="33022" s="160" customFormat="1" x14ac:dyDescent="0.3"/>
    <row r="33023" s="160" customFormat="1" x14ac:dyDescent="0.3"/>
    <row r="33024" s="160" customFormat="1" x14ac:dyDescent="0.3"/>
    <row r="33025" s="160" customFormat="1" x14ac:dyDescent="0.3"/>
    <row r="33026" s="160" customFormat="1" x14ac:dyDescent="0.3"/>
    <row r="33027" s="160" customFormat="1" x14ac:dyDescent="0.3"/>
    <row r="33028" s="160" customFormat="1" x14ac:dyDescent="0.3"/>
    <row r="33029" s="160" customFormat="1" x14ac:dyDescent="0.3"/>
    <row r="33030" s="160" customFormat="1" x14ac:dyDescent="0.3"/>
    <row r="33031" s="160" customFormat="1" x14ac:dyDescent="0.3"/>
    <row r="33032" s="160" customFormat="1" x14ac:dyDescent="0.3"/>
    <row r="33033" s="160" customFormat="1" x14ac:dyDescent="0.3"/>
    <row r="33034" s="160" customFormat="1" x14ac:dyDescent="0.3"/>
    <row r="33035" s="160" customFormat="1" x14ac:dyDescent="0.3"/>
    <row r="33036" s="160" customFormat="1" x14ac:dyDescent="0.3"/>
    <row r="33037" s="160" customFormat="1" x14ac:dyDescent="0.3"/>
    <row r="33038" s="160" customFormat="1" x14ac:dyDescent="0.3"/>
    <row r="33039" s="160" customFormat="1" x14ac:dyDescent="0.3"/>
    <row r="33040" s="160" customFormat="1" x14ac:dyDescent="0.3"/>
    <row r="33041" s="160" customFormat="1" x14ac:dyDescent="0.3"/>
    <row r="33042" s="160" customFormat="1" x14ac:dyDescent="0.3"/>
    <row r="33043" s="160" customFormat="1" x14ac:dyDescent="0.3"/>
    <row r="33044" s="160" customFormat="1" x14ac:dyDescent="0.3"/>
    <row r="33045" s="160" customFormat="1" x14ac:dyDescent="0.3"/>
    <row r="33046" s="160" customFormat="1" x14ac:dyDescent="0.3"/>
    <row r="33047" s="160" customFormat="1" x14ac:dyDescent="0.3"/>
    <row r="33048" s="160" customFormat="1" x14ac:dyDescent="0.3"/>
    <row r="33049" s="160" customFormat="1" x14ac:dyDescent="0.3"/>
    <row r="33050" s="160" customFormat="1" x14ac:dyDescent="0.3"/>
    <row r="33051" s="160" customFormat="1" x14ac:dyDescent="0.3"/>
    <row r="33052" s="160" customFormat="1" x14ac:dyDescent="0.3"/>
    <row r="33053" s="160" customFormat="1" x14ac:dyDescent="0.3"/>
    <row r="33054" s="160" customFormat="1" x14ac:dyDescent="0.3"/>
    <row r="33055" s="160" customFormat="1" x14ac:dyDescent="0.3"/>
    <row r="33056" s="160" customFormat="1" x14ac:dyDescent="0.3"/>
    <row r="33057" s="160" customFormat="1" x14ac:dyDescent="0.3"/>
    <row r="33058" s="160" customFormat="1" x14ac:dyDescent="0.3"/>
    <row r="33059" s="160" customFormat="1" x14ac:dyDescent="0.3"/>
    <row r="33060" s="160" customFormat="1" x14ac:dyDescent="0.3"/>
    <row r="33061" s="160" customFormat="1" x14ac:dyDescent="0.3"/>
    <row r="33062" s="160" customFormat="1" x14ac:dyDescent="0.3"/>
    <row r="33063" s="160" customFormat="1" x14ac:dyDescent="0.3"/>
    <row r="33064" s="160" customFormat="1" x14ac:dyDescent="0.3"/>
    <row r="33065" s="160" customFormat="1" x14ac:dyDescent="0.3"/>
    <row r="33066" s="160" customFormat="1" x14ac:dyDescent="0.3"/>
    <row r="33067" s="160" customFormat="1" x14ac:dyDescent="0.3"/>
    <row r="33068" s="160" customFormat="1" x14ac:dyDescent="0.3"/>
    <row r="33069" s="160" customFormat="1" x14ac:dyDescent="0.3"/>
    <row r="33070" s="160" customFormat="1" x14ac:dyDescent="0.3"/>
    <row r="33071" s="160" customFormat="1" x14ac:dyDescent="0.3"/>
    <row r="33072" s="160" customFormat="1" x14ac:dyDescent="0.3"/>
    <row r="33073" s="160" customFormat="1" x14ac:dyDescent="0.3"/>
    <row r="33074" s="160" customFormat="1" x14ac:dyDescent="0.3"/>
    <row r="33075" s="160" customFormat="1" x14ac:dyDescent="0.3"/>
    <row r="33076" s="160" customFormat="1" x14ac:dyDescent="0.3"/>
    <row r="33077" s="160" customFormat="1" x14ac:dyDescent="0.3"/>
    <row r="33078" s="160" customFormat="1" x14ac:dyDescent="0.3"/>
    <row r="33079" s="160" customFormat="1" x14ac:dyDescent="0.3"/>
    <row r="33080" s="160" customFormat="1" x14ac:dyDescent="0.3"/>
    <row r="33081" s="160" customFormat="1" x14ac:dyDescent="0.3"/>
    <row r="33082" s="160" customFormat="1" x14ac:dyDescent="0.3"/>
    <row r="33083" s="160" customFormat="1" x14ac:dyDescent="0.3"/>
    <row r="33084" s="160" customFormat="1" x14ac:dyDescent="0.3"/>
    <row r="33085" s="160" customFormat="1" x14ac:dyDescent="0.3"/>
    <row r="33086" s="160" customFormat="1" x14ac:dyDescent="0.3"/>
    <row r="33087" s="160" customFormat="1" x14ac:dyDescent="0.3"/>
    <row r="33088" s="160" customFormat="1" x14ac:dyDescent="0.3"/>
    <row r="33089" s="160" customFormat="1" x14ac:dyDescent="0.3"/>
    <row r="33090" s="160" customFormat="1" x14ac:dyDescent="0.3"/>
    <row r="33091" s="160" customFormat="1" x14ac:dyDescent="0.3"/>
    <row r="33092" s="160" customFormat="1" x14ac:dyDescent="0.3"/>
    <row r="33093" s="160" customFormat="1" x14ac:dyDescent="0.3"/>
    <row r="33094" s="160" customFormat="1" x14ac:dyDescent="0.3"/>
    <row r="33095" s="160" customFormat="1" x14ac:dyDescent="0.3"/>
    <row r="33096" s="160" customFormat="1" x14ac:dyDescent="0.3"/>
    <row r="33097" s="160" customFormat="1" x14ac:dyDescent="0.3"/>
    <row r="33098" s="160" customFormat="1" x14ac:dyDescent="0.3"/>
    <row r="33099" s="160" customFormat="1" x14ac:dyDescent="0.3"/>
    <row r="33100" s="160" customFormat="1" x14ac:dyDescent="0.3"/>
    <row r="33101" s="160" customFormat="1" x14ac:dyDescent="0.3"/>
    <row r="33102" s="160" customFormat="1" x14ac:dyDescent="0.3"/>
    <row r="33103" s="160" customFormat="1" x14ac:dyDescent="0.3"/>
    <row r="33104" s="160" customFormat="1" x14ac:dyDescent="0.3"/>
    <row r="33105" s="160" customFormat="1" x14ac:dyDescent="0.3"/>
    <row r="33106" s="160" customFormat="1" x14ac:dyDescent="0.3"/>
    <row r="33107" s="160" customFormat="1" x14ac:dyDescent="0.3"/>
    <row r="33108" s="160" customFormat="1" x14ac:dyDescent="0.3"/>
    <row r="33109" s="160" customFormat="1" x14ac:dyDescent="0.3"/>
    <row r="33110" s="160" customFormat="1" x14ac:dyDescent="0.3"/>
    <row r="33111" s="160" customFormat="1" x14ac:dyDescent="0.3"/>
    <row r="33112" s="160" customFormat="1" x14ac:dyDescent="0.3"/>
    <row r="33113" s="160" customFormat="1" x14ac:dyDescent="0.3"/>
    <row r="33114" s="160" customFormat="1" x14ac:dyDescent="0.3"/>
    <row r="33115" s="160" customFormat="1" x14ac:dyDescent="0.3"/>
    <row r="33116" s="160" customFormat="1" x14ac:dyDescent="0.3"/>
    <row r="33117" s="160" customFormat="1" x14ac:dyDescent="0.3"/>
    <row r="33118" s="160" customFormat="1" x14ac:dyDescent="0.3"/>
    <row r="33119" s="160" customFormat="1" x14ac:dyDescent="0.3"/>
    <row r="33120" s="160" customFormat="1" x14ac:dyDescent="0.3"/>
    <row r="33121" s="160" customFormat="1" x14ac:dyDescent="0.3"/>
    <row r="33122" s="160" customFormat="1" x14ac:dyDescent="0.3"/>
    <row r="33123" s="160" customFormat="1" x14ac:dyDescent="0.3"/>
    <row r="33124" s="160" customFormat="1" x14ac:dyDescent="0.3"/>
    <row r="33125" s="160" customFormat="1" x14ac:dyDescent="0.3"/>
    <row r="33126" s="160" customFormat="1" x14ac:dyDescent="0.3"/>
    <row r="33127" s="160" customFormat="1" x14ac:dyDescent="0.3"/>
    <row r="33128" s="160" customFormat="1" x14ac:dyDescent="0.3"/>
    <row r="33129" s="160" customFormat="1" x14ac:dyDescent="0.3"/>
    <row r="33130" s="160" customFormat="1" x14ac:dyDescent="0.3"/>
    <row r="33131" s="160" customFormat="1" x14ac:dyDescent="0.3"/>
    <row r="33132" s="160" customFormat="1" x14ac:dyDescent="0.3"/>
    <row r="33133" s="160" customFormat="1" x14ac:dyDescent="0.3"/>
    <row r="33134" s="160" customFormat="1" x14ac:dyDescent="0.3"/>
    <row r="33135" s="160" customFormat="1" x14ac:dyDescent="0.3"/>
    <row r="33136" s="160" customFormat="1" x14ac:dyDescent="0.3"/>
    <row r="33137" s="160" customFormat="1" x14ac:dyDescent="0.3"/>
    <row r="33138" s="160" customFormat="1" x14ac:dyDescent="0.3"/>
    <row r="33139" s="160" customFormat="1" x14ac:dyDescent="0.3"/>
    <row r="33140" s="160" customFormat="1" x14ac:dyDescent="0.3"/>
    <row r="33141" s="160" customFormat="1" x14ac:dyDescent="0.3"/>
    <row r="33142" s="160" customFormat="1" x14ac:dyDescent="0.3"/>
    <row r="33143" s="160" customFormat="1" x14ac:dyDescent="0.3"/>
    <row r="33144" s="160" customFormat="1" x14ac:dyDescent="0.3"/>
    <row r="33145" s="160" customFormat="1" x14ac:dyDescent="0.3"/>
    <row r="33146" s="160" customFormat="1" x14ac:dyDescent="0.3"/>
    <row r="33147" s="160" customFormat="1" x14ac:dyDescent="0.3"/>
    <row r="33148" s="160" customFormat="1" x14ac:dyDescent="0.3"/>
    <row r="33149" s="160" customFormat="1" x14ac:dyDescent="0.3"/>
    <row r="33150" s="160" customFormat="1" x14ac:dyDescent="0.3"/>
    <row r="33151" s="160" customFormat="1" x14ac:dyDescent="0.3"/>
    <row r="33152" s="160" customFormat="1" x14ac:dyDescent="0.3"/>
    <row r="33153" s="160" customFormat="1" x14ac:dyDescent="0.3"/>
    <row r="33154" s="160" customFormat="1" x14ac:dyDescent="0.3"/>
    <row r="33155" s="160" customFormat="1" x14ac:dyDescent="0.3"/>
    <row r="33156" s="160" customFormat="1" x14ac:dyDescent="0.3"/>
    <row r="33157" s="160" customFormat="1" x14ac:dyDescent="0.3"/>
    <row r="33158" s="160" customFormat="1" x14ac:dyDescent="0.3"/>
    <row r="33159" s="160" customFormat="1" x14ac:dyDescent="0.3"/>
    <row r="33160" s="160" customFormat="1" x14ac:dyDescent="0.3"/>
    <row r="33161" s="160" customFormat="1" x14ac:dyDescent="0.3"/>
    <row r="33162" s="160" customFormat="1" x14ac:dyDescent="0.3"/>
    <row r="33163" s="160" customFormat="1" x14ac:dyDescent="0.3"/>
    <row r="33164" s="160" customFormat="1" x14ac:dyDescent="0.3"/>
    <row r="33165" s="160" customFormat="1" x14ac:dyDescent="0.3"/>
    <row r="33166" s="160" customFormat="1" x14ac:dyDescent="0.3"/>
    <row r="33167" s="160" customFormat="1" x14ac:dyDescent="0.3"/>
    <row r="33168" s="160" customFormat="1" x14ac:dyDescent="0.3"/>
    <row r="33169" s="160" customFormat="1" x14ac:dyDescent="0.3"/>
    <row r="33170" s="160" customFormat="1" x14ac:dyDescent="0.3"/>
    <row r="33171" s="160" customFormat="1" x14ac:dyDescent="0.3"/>
    <row r="33172" s="160" customFormat="1" x14ac:dyDescent="0.3"/>
    <row r="33173" s="160" customFormat="1" x14ac:dyDescent="0.3"/>
    <row r="33174" s="160" customFormat="1" x14ac:dyDescent="0.3"/>
    <row r="33175" s="160" customFormat="1" x14ac:dyDescent="0.3"/>
    <row r="33176" s="160" customFormat="1" x14ac:dyDescent="0.3"/>
    <row r="33177" s="160" customFormat="1" x14ac:dyDescent="0.3"/>
    <row r="33178" s="160" customFormat="1" x14ac:dyDescent="0.3"/>
    <row r="33179" s="160" customFormat="1" x14ac:dyDescent="0.3"/>
    <row r="33180" s="160" customFormat="1" x14ac:dyDescent="0.3"/>
    <row r="33181" s="160" customFormat="1" x14ac:dyDescent="0.3"/>
    <row r="33182" s="160" customFormat="1" x14ac:dyDescent="0.3"/>
    <row r="33183" s="160" customFormat="1" x14ac:dyDescent="0.3"/>
    <row r="33184" s="160" customFormat="1" x14ac:dyDescent="0.3"/>
    <row r="33185" s="160" customFormat="1" x14ac:dyDescent="0.3"/>
    <row r="33186" s="160" customFormat="1" x14ac:dyDescent="0.3"/>
    <row r="33187" s="160" customFormat="1" x14ac:dyDescent="0.3"/>
    <row r="33188" s="160" customFormat="1" x14ac:dyDescent="0.3"/>
    <row r="33189" s="160" customFormat="1" x14ac:dyDescent="0.3"/>
    <row r="33190" s="160" customFormat="1" x14ac:dyDescent="0.3"/>
    <row r="33191" s="160" customFormat="1" x14ac:dyDescent="0.3"/>
    <row r="33192" s="160" customFormat="1" x14ac:dyDescent="0.3"/>
    <row r="33193" s="160" customFormat="1" x14ac:dyDescent="0.3"/>
    <row r="33194" s="160" customFormat="1" x14ac:dyDescent="0.3"/>
    <row r="33195" s="160" customFormat="1" x14ac:dyDescent="0.3"/>
    <row r="33196" s="160" customFormat="1" x14ac:dyDescent="0.3"/>
    <row r="33197" s="160" customFormat="1" x14ac:dyDescent="0.3"/>
    <row r="33198" s="160" customFormat="1" x14ac:dyDescent="0.3"/>
    <row r="33199" s="160" customFormat="1" x14ac:dyDescent="0.3"/>
    <row r="33200" s="160" customFormat="1" x14ac:dyDescent="0.3"/>
    <row r="33201" s="160" customFormat="1" x14ac:dyDescent="0.3"/>
    <row r="33202" s="160" customFormat="1" x14ac:dyDescent="0.3"/>
    <row r="33203" s="160" customFormat="1" x14ac:dyDescent="0.3"/>
    <row r="33204" s="160" customFormat="1" x14ac:dyDescent="0.3"/>
    <row r="33205" s="160" customFormat="1" x14ac:dyDescent="0.3"/>
    <row r="33206" s="160" customFormat="1" x14ac:dyDescent="0.3"/>
    <row r="33207" s="160" customFormat="1" x14ac:dyDescent="0.3"/>
    <row r="33208" s="160" customFormat="1" x14ac:dyDescent="0.3"/>
    <row r="33209" s="160" customFormat="1" x14ac:dyDescent="0.3"/>
    <row r="33210" s="160" customFormat="1" x14ac:dyDescent="0.3"/>
    <row r="33211" s="160" customFormat="1" x14ac:dyDescent="0.3"/>
    <row r="33212" s="160" customFormat="1" x14ac:dyDescent="0.3"/>
    <row r="33213" s="160" customFormat="1" x14ac:dyDescent="0.3"/>
    <row r="33214" s="160" customFormat="1" x14ac:dyDescent="0.3"/>
    <row r="33215" s="160" customFormat="1" x14ac:dyDescent="0.3"/>
    <row r="33216" s="160" customFormat="1" x14ac:dyDescent="0.3"/>
    <row r="33217" s="160" customFormat="1" x14ac:dyDescent="0.3"/>
    <row r="33218" s="160" customFormat="1" x14ac:dyDescent="0.3"/>
    <row r="33219" s="160" customFormat="1" x14ac:dyDescent="0.3"/>
    <row r="33220" s="160" customFormat="1" x14ac:dyDescent="0.3"/>
    <row r="33221" s="160" customFormat="1" x14ac:dyDescent="0.3"/>
    <row r="33222" s="160" customFormat="1" x14ac:dyDescent="0.3"/>
    <row r="33223" s="160" customFormat="1" x14ac:dyDescent="0.3"/>
    <row r="33224" s="160" customFormat="1" x14ac:dyDescent="0.3"/>
    <row r="33225" s="160" customFormat="1" x14ac:dyDescent="0.3"/>
    <row r="33226" s="160" customFormat="1" x14ac:dyDescent="0.3"/>
    <row r="33227" s="160" customFormat="1" x14ac:dyDescent="0.3"/>
    <row r="33228" s="160" customFormat="1" x14ac:dyDescent="0.3"/>
    <row r="33229" s="160" customFormat="1" x14ac:dyDescent="0.3"/>
    <row r="33230" s="160" customFormat="1" x14ac:dyDescent="0.3"/>
    <row r="33231" s="160" customFormat="1" x14ac:dyDescent="0.3"/>
    <row r="33232" s="160" customFormat="1" x14ac:dyDescent="0.3"/>
    <row r="33233" s="160" customFormat="1" x14ac:dyDescent="0.3"/>
    <row r="33234" s="160" customFormat="1" x14ac:dyDescent="0.3"/>
    <row r="33235" s="160" customFormat="1" x14ac:dyDescent="0.3"/>
    <row r="33236" s="160" customFormat="1" x14ac:dyDescent="0.3"/>
    <row r="33237" s="160" customFormat="1" x14ac:dyDescent="0.3"/>
    <row r="33238" s="160" customFormat="1" x14ac:dyDescent="0.3"/>
    <row r="33239" s="160" customFormat="1" x14ac:dyDescent="0.3"/>
    <row r="33240" s="160" customFormat="1" x14ac:dyDescent="0.3"/>
    <row r="33241" s="160" customFormat="1" x14ac:dyDescent="0.3"/>
    <row r="33242" s="160" customFormat="1" x14ac:dyDescent="0.3"/>
    <row r="33243" s="160" customFormat="1" x14ac:dyDescent="0.3"/>
    <row r="33244" s="160" customFormat="1" x14ac:dyDescent="0.3"/>
    <row r="33245" s="160" customFormat="1" x14ac:dyDescent="0.3"/>
    <row r="33246" s="160" customFormat="1" x14ac:dyDescent="0.3"/>
    <row r="33247" s="160" customFormat="1" x14ac:dyDescent="0.3"/>
    <row r="33248" s="160" customFormat="1" x14ac:dyDescent="0.3"/>
    <row r="33249" s="160" customFormat="1" x14ac:dyDescent="0.3"/>
    <row r="33250" s="160" customFormat="1" x14ac:dyDescent="0.3"/>
    <row r="33251" s="160" customFormat="1" x14ac:dyDescent="0.3"/>
    <row r="33252" s="160" customFormat="1" x14ac:dyDescent="0.3"/>
    <row r="33253" s="160" customFormat="1" x14ac:dyDescent="0.3"/>
    <row r="33254" s="160" customFormat="1" x14ac:dyDescent="0.3"/>
    <row r="33255" s="160" customFormat="1" x14ac:dyDescent="0.3"/>
    <row r="33256" s="160" customFormat="1" x14ac:dyDescent="0.3"/>
    <row r="33257" s="160" customFormat="1" x14ac:dyDescent="0.3"/>
    <row r="33258" s="160" customFormat="1" x14ac:dyDescent="0.3"/>
    <row r="33259" s="160" customFormat="1" x14ac:dyDescent="0.3"/>
    <row r="33260" s="160" customFormat="1" x14ac:dyDescent="0.3"/>
    <row r="33261" s="160" customFormat="1" x14ac:dyDescent="0.3"/>
    <row r="33262" s="160" customFormat="1" x14ac:dyDescent="0.3"/>
    <row r="33263" s="160" customFormat="1" x14ac:dyDescent="0.3"/>
    <row r="33264" s="160" customFormat="1" x14ac:dyDescent="0.3"/>
    <row r="33265" s="160" customFormat="1" x14ac:dyDescent="0.3"/>
    <row r="33266" s="160" customFormat="1" x14ac:dyDescent="0.3"/>
    <row r="33267" s="160" customFormat="1" x14ac:dyDescent="0.3"/>
    <row r="33268" s="160" customFormat="1" x14ac:dyDescent="0.3"/>
    <row r="33269" s="160" customFormat="1" x14ac:dyDescent="0.3"/>
    <row r="33270" s="160" customFormat="1" x14ac:dyDescent="0.3"/>
    <row r="33271" s="160" customFormat="1" x14ac:dyDescent="0.3"/>
    <row r="33272" s="160" customFormat="1" x14ac:dyDescent="0.3"/>
    <row r="33273" s="160" customFormat="1" x14ac:dyDescent="0.3"/>
    <row r="33274" s="160" customFormat="1" x14ac:dyDescent="0.3"/>
    <row r="33275" s="160" customFormat="1" x14ac:dyDescent="0.3"/>
    <row r="33276" s="160" customFormat="1" x14ac:dyDescent="0.3"/>
    <row r="33277" s="160" customFormat="1" x14ac:dyDescent="0.3"/>
    <row r="33278" s="160" customFormat="1" x14ac:dyDescent="0.3"/>
    <row r="33279" s="160" customFormat="1" x14ac:dyDescent="0.3"/>
    <row r="33280" s="160" customFormat="1" x14ac:dyDescent="0.3"/>
    <row r="33281" s="160" customFormat="1" x14ac:dyDescent="0.3"/>
    <row r="33282" s="160" customFormat="1" x14ac:dyDescent="0.3"/>
    <row r="33283" s="160" customFormat="1" x14ac:dyDescent="0.3"/>
    <row r="33284" s="160" customFormat="1" x14ac:dyDescent="0.3"/>
    <row r="33285" s="160" customFormat="1" x14ac:dyDescent="0.3"/>
    <row r="33286" s="160" customFormat="1" x14ac:dyDescent="0.3"/>
    <row r="33287" s="160" customFormat="1" x14ac:dyDescent="0.3"/>
    <row r="33288" s="160" customFormat="1" x14ac:dyDescent="0.3"/>
    <row r="33289" s="160" customFormat="1" x14ac:dyDescent="0.3"/>
    <row r="33290" s="160" customFormat="1" x14ac:dyDescent="0.3"/>
    <row r="33291" s="160" customFormat="1" x14ac:dyDescent="0.3"/>
    <row r="33292" s="160" customFormat="1" x14ac:dyDescent="0.3"/>
    <row r="33293" s="160" customFormat="1" x14ac:dyDescent="0.3"/>
    <row r="33294" s="160" customFormat="1" x14ac:dyDescent="0.3"/>
    <row r="33295" s="160" customFormat="1" x14ac:dyDescent="0.3"/>
    <row r="33296" s="160" customFormat="1" x14ac:dyDescent="0.3"/>
    <row r="33297" s="160" customFormat="1" x14ac:dyDescent="0.3"/>
    <row r="33298" s="160" customFormat="1" x14ac:dyDescent="0.3"/>
    <row r="33299" s="160" customFormat="1" x14ac:dyDescent="0.3"/>
    <row r="33300" s="160" customFormat="1" x14ac:dyDescent="0.3"/>
    <row r="33301" s="160" customFormat="1" x14ac:dyDescent="0.3"/>
    <row r="33302" s="160" customFormat="1" x14ac:dyDescent="0.3"/>
    <row r="33303" s="160" customFormat="1" x14ac:dyDescent="0.3"/>
    <row r="33304" s="160" customFormat="1" x14ac:dyDescent="0.3"/>
    <row r="33305" s="160" customFormat="1" x14ac:dyDescent="0.3"/>
    <row r="33306" s="160" customFormat="1" x14ac:dyDescent="0.3"/>
    <row r="33307" s="160" customFormat="1" x14ac:dyDescent="0.3"/>
    <row r="33308" s="160" customFormat="1" x14ac:dyDescent="0.3"/>
    <row r="33309" s="160" customFormat="1" x14ac:dyDescent="0.3"/>
    <row r="33310" s="160" customFormat="1" x14ac:dyDescent="0.3"/>
    <row r="33311" s="160" customFormat="1" x14ac:dyDescent="0.3"/>
    <row r="33312" s="160" customFormat="1" x14ac:dyDescent="0.3"/>
    <row r="33313" s="160" customFormat="1" x14ac:dyDescent="0.3"/>
    <row r="33314" s="160" customFormat="1" x14ac:dyDescent="0.3"/>
    <row r="33315" s="160" customFormat="1" x14ac:dyDescent="0.3"/>
    <row r="33316" s="160" customFormat="1" x14ac:dyDescent="0.3"/>
    <row r="33317" s="160" customFormat="1" x14ac:dyDescent="0.3"/>
    <row r="33318" s="160" customFormat="1" x14ac:dyDescent="0.3"/>
    <row r="33319" s="160" customFormat="1" x14ac:dyDescent="0.3"/>
    <row r="33320" s="160" customFormat="1" x14ac:dyDescent="0.3"/>
    <row r="33321" s="160" customFormat="1" x14ac:dyDescent="0.3"/>
    <row r="33322" s="160" customFormat="1" x14ac:dyDescent="0.3"/>
    <row r="33323" s="160" customFormat="1" x14ac:dyDescent="0.3"/>
    <row r="33324" s="160" customFormat="1" x14ac:dyDescent="0.3"/>
    <row r="33325" s="160" customFormat="1" x14ac:dyDescent="0.3"/>
    <row r="33326" s="160" customFormat="1" x14ac:dyDescent="0.3"/>
    <row r="33327" s="160" customFormat="1" x14ac:dyDescent="0.3"/>
    <row r="33328" s="160" customFormat="1" x14ac:dyDescent="0.3"/>
    <row r="33329" s="160" customFormat="1" x14ac:dyDescent="0.3"/>
    <row r="33330" s="160" customFormat="1" x14ac:dyDescent="0.3"/>
    <row r="33331" s="160" customFormat="1" x14ac:dyDescent="0.3"/>
    <row r="33332" s="160" customFormat="1" x14ac:dyDescent="0.3"/>
    <row r="33333" s="160" customFormat="1" x14ac:dyDescent="0.3"/>
    <row r="33334" s="160" customFormat="1" x14ac:dyDescent="0.3"/>
    <row r="33335" s="160" customFormat="1" x14ac:dyDescent="0.3"/>
    <row r="33336" s="160" customFormat="1" x14ac:dyDescent="0.3"/>
    <row r="33337" s="160" customFormat="1" x14ac:dyDescent="0.3"/>
    <row r="33338" s="160" customFormat="1" x14ac:dyDescent="0.3"/>
    <row r="33339" s="160" customFormat="1" x14ac:dyDescent="0.3"/>
    <row r="33340" s="160" customFormat="1" x14ac:dyDescent="0.3"/>
    <row r="33341" s="160" customFormat="1" x14ac:dyDescent="0.3"/>
    <row r="33342" s="160" customFormat="1" x14ac:dyDescent="0.3"/>
    <row r="33343" s="160" customFormat="1" x14ac:dyDescent="0.3"/>
    <row r="33344" s="160" customFormat="1" x14ac:dyDescent="0.3"/>
    <row r="33345" s="160" customFormat="1" x14ac:dyDescent="0.3"/>
    <row r="33346" s="160" customFormat="1" x14ac:dyDescent="0.3"/>
    <row r="33347" s="160" customFormat="1" x14ac:dyDescent="0.3"/>
    <row r="33348" s="160" customFormat="1" x14ac:dyDescent="0.3"/>
    <row r="33349" s="160" customFormat="1" x14ac:dyDescent="0.3"/>
    <row r="33350" s="160" customFormat="1" x14ac:dyDescent="0.3"/>
    <row r="33351" s="160" customFormat="1" x14ac:dyDescent="0.3"/>
    <row r="33352" s="160" customFormat="1" x14ac:dyDescent="0.3"/>
    <row r="33353" s="160" customFormat="1" x14ac:dyDescent="0.3"/>
    <row r="33354" s="160" customFormat="1" x14ac:dyDescent="0.3"/>
    <row r="33355" s="160" customFormat="1" x14ac:dyDescent="0.3"/>
    <row r="33356" s="160" customFormat="1" x14ac:dyDescent="0.3"/>
    <row r="33357" s="160" customFormat="1" x14ac:dyDescent="0.3"/>
    <row r="33358" s="160" customFormat="1" x14ac:dyDescent="0.3"/>
    <row r="33359" s="160" customFormat="1" x14ac:dyDescent="0.3"/>
    <row r="33360" s="160" customFormat="1" x14ac:dyDescent="0.3"/>
    <row r="33361" s="160" customFormat="1" x14ac:dyDescent="0.3"/>
    <row r="33362" s="160" customFormat="1" x14ac:dyDescent="0.3"/>
    <row r="33363" s="160" customFormat="1" x14ac:dyDescent="0.3"/>
    <row r="33364" s="160" customFormat="1" x14ac:dyDescent="0.3"/>
    <row r="33365" s="160" customFormat="1" x14ac:dyDescent="0.3"/>
    <row r="33366" s="160" customFormat="1" x14ac:dyDescent="0.3"/>
    <row r="33367" s="160" customFormat="1" x14ac:dyDescent="0.3"/>
    <row r="33368" s="160" customFormat="1" x14ac:dyDescent="0.3"/>
    <row r="33369" s="160" customFormat="1" x14ac:dyDescent="0.3"/>
    <row r="33370" s="160" customFormat="1" x14ac:dyDescent="0.3"/>
    <row r="33371" s="160" customFormat="1" x14ac:dyDescent="0.3"/>
    <row r="33372" s="160" customFormat="1" x14ac:dyDescent="0.3"/>
    <row r="33373" s="160" customFormat="1" x14ac:dyDescent="0.3"/>
    <row r="33374" s="160" customFormat="1" x14ac:dyDescent="0.3"/>
    <row r="33375" s="160" customFormat="1" x14ac:dyDescent="0.3"/>
    <row r="33376" s="160" customFormat="1" x14ac:dyDescent="0.3"/>
    <row r="33377" s="160" customFormat="1" x14ac:dyDescent="0.3"/>
    <row r="33378" s="160" customFormat="1" x14ac:dyDescent="0.3"/>
    <row r="33379" s="160" customFormat="1" x14ac:dyDescent="0.3"/>
    <row r="33380" s="160" customFormat="1" x14ac:dyDescent="0.3"/>
    <row r="33381" s="160" customFormat="1" x14ac:dyDescent="0.3"/>
    <row r="33382" s="160" customFormat="1" x14ac:dyDescent="0.3"/>
    <row r="33383" s="160" customFormat="1" x14ac:dyDescent="0.3"/>
    <row r="33384" s="160" customFormat="1" x14ac:dyDescent="0.3"/>
    <row r="33385" s="160" customFormat="1" x14ac:dyDescent="0.3"/>
    <row r="33386" s="160" customFormat="1" x14ac:dyDescent="0.3"/>
    <row r="33387" s="160" customFormat="1" x14ac:dyDescent="0.3"/>
    <row r="33388" s="160" customFormat="1" x14ac:dyDescent="0.3"/>
    <row r="33389" s="160" customFormat="1" x14ac:dyDescent="0.3"/>
    <row r="33390" s="160" customFormat="1" x14ac:dyDescent="0.3"/>
    <row r="33391" s="160" customFormat="1" x14ac:dyDescent="0.3"/>
    <row r="33392" s="160" customFormat="1" x14ac:dyDescent="0.3"/>
    <row r="33393" s="160" customFormat="1" x14ac:dyDescent="0.3"/>
    <row r="33394" s="160" customFormat="1" x14ac:dyDescent="0.3"/>
    <row r="33395" s="160" customFormat="1" x14ac:dyDescent="0.3"/>
    <row r="33396" s="160" customFormat="1" x14ac:dyDescent="0.3"/>
    <row r="33397" s="160" customFormat="1" x14ac:dyDescent="0.3"/>
    <row r="33398" s="160" customFormat="1" x14ac:dyDescent="0.3"/>
    <row r="33399" s="160" customFormat="1" x14ac:dyDescent="0.3"/>
    <row r="33400" s="160" customFormat="1" x14ac:dyDescent="0.3"/>
    <row r="33401" s="160" customFormat="1" x14ac:dyDescent="0.3"/>
    <row r="33402" s="160" customFormat="1" x14ac:dyDescent="0.3"/>
    <row r="33403" s="160" customFormat="1" x14ac:dyDescent="0.3"/>
    <row r="33404" s="160" customFormat="1" x14ac:dyDescent="0.3"/>
    <row r="33405" s="160" customFormat="1" x14ac:dyDescent="0.3"/>
    <row r="33406" s="160" customFormat="1" x14ac:dyDescent="0.3"/>
    <row r="33407" s="160" customFormat="1" x14ac:dyDescent="0.3"/>
    <row r="33408" s="160" customFormat="1" x14ac:dyDescent="0.3"/>
    <row r="33409" s="160" customFormat="1" x14ac:dyDescent="0.3"/>
    <row r="33410" s="160" customFormat="1" x14ac:dyDescent="0.3"/>
    <row r="33411" s="160" customFormat="1" x14ac:dyDescent="0.3"/>
    <row r="33412" s="160" customFormat="1" x14ac:dyDescent="0.3"/>
    <row r="33413" s="160" customFormat="1" x14ac:dyDescent="0.3"/>
    <row r="33414" s="160" customFormat="1" x14ac:dyDescent="0.3"/>
    <row r="33415" s="160" customFormat="1" x14ac:dyDescent="0.3"/>
    <row r="33416" s="160" customFormat="1" x14ac:dyDescent="0.3"/>
    <row r="33417" s="160" customFormat="1" x14ac:dyDescent="0.3"/>
    <row r="33418" s="160" customFormat="1" x14ac:dyDescent="0.3"/>
    <row r="33419" s="160" customFormat="1" x14ac:dyDescent="0.3"/>
    <row r="33420" s="160" customFormat="1" x14ac:dyDescent="0.3"/>
    <row r="33421" s="160" customFormat="1" x14ac:dyDescent="0.3"/>
    <row r="33422" s="160" customFormat="1" x14ac:dyDescent="0.3"/>
    <row r="33423" s="160" customFormat="1" x14ac:dyDescent="0.3"/>
    <row r="33424" s="160" customFormat="1" x14ac:dyDescent="0.3"/>
    <row r="33425" s="160" customFormat="1" x14ac:dyDescent="0.3"/>
    <row r="33426" s="160" customFormat="1" x14ac:dyDescent="0.3"/>
    <row r="33427" s="160" customFormat="1" x14ac:dyDescent="0.3"/>
    <row r="33428" s="160" customFormat="1" x14ac:dyDescent="0.3"/>
    <row r="33429" s="160" customFormat="1" x14ac:dyDescent="0.3"/>
    <row r="33430" s="160" customFormat="1" x14ac:dyDescent="0.3"/>
    <row r="33431" s="160" customFormat="1" x14ac:dyDescent="0.3"/>
    <row r="33432" s="160" customFormat="1" x14ac:dyDescent="0.3"/>
    <row r="33433" s="160" customFormat="1" x14ac:dyDescent="0.3"/>
    <row r="33434" s="160" customFormat="1" x14ac:dyDescent="0.3"/>
    <row r="33435" s="160" customFormat="1" x14ac:dyDescent="0.3"/>
    <row r="33436" s="160" customFormat="1" x14ac:dyDescent="0.3"/>
    <row r="33437" s="160" customFormat="1" x14ac:dyDescent="0.3"/>
    <row r="33438" s="160" customFormat="1" x14ac:dyDescent="0.3"/>
    <row r="33439" s="160" customFormat="1" x14ac:dyDescent="0.3"/>
    <row r="33440" s="160" customFormat="1" x14ac:dyDescent="0.3"/>
    <row r="33441" s="160" customFormat="1" x14ac:dyDescent="0.3"/>
    <row r="33442" s="160" customFormat="1" x14ac:dyDescent="0.3"/>
    <row r="33443" s="160" customFormat="1" x14ac:dyDescent="0.3"/>
    <row r="33444" s="160" customFormat="1" x14ac:dyDescent="0.3"/>
    <row r="33445" s="160" customFormat="1" x14ac:dyDescent="0.3"/>
    <row r="33446" s="160" customFormat="1" x14ac:dyDescent="0.3"/>
    <row r="33447" s="160" customFormat="1" x14ac:dyDescent="0.3"/>
    <row r="33448" s="160" customFormat="1" x14ac:dyDescent="0.3"/>
    <row r="33449" s="160" customFormat="1" x14ac:dyDescent="0.3"/>
    <row r="33450" s="160" customFormat="1" x14ac:dyDescent="0.3"/>
    <row r="33451" s="160" customFormat="1" x14ac:dyDescent="0.3"/>
    <row r="33452" s="160" customFormat="1" x14ac:dyDescent="0.3"/>
    <row r="33453" s="160" customFormat="1" x14ac:dyDescent="0.3"/>
    <row r="33454" s="160" customFormat="1" x14ac:dyDescent="0.3"/>
    <row r="33455" s="160" customFormat="1" x14ac:dyDescent="0.3"/>
    <row r="33456" s="160" customFormat="1" x14ac:dyDescent="0.3"/>
    <row r="33457" s="160" customFormat="1" x14ac:dyDescent="0.3"/>
    <row r="33458" s="160" customFormat="1" x14ac:dyDescent="0.3"/>
    <row r="33459" s="160" customFormat="1" x14ac:dyDescent="0.3"/>
    <row r="33460" s="160" customFormat="1" x14ac:dyDescent="0.3"/>
    <row r="33461" s="160" customFormat="1" x14ac:dyDescent="0.3"/>
    <row r="33462" s="160" customFormat="1" x14ac:dyDescent="0.3"/>
    <row r="33463" s="160" customFormat="1" x14ac:dyDescent="0.3"/>
    <row r="33464" s="160" customFormat="1" x14ac:dyDescent="0.3"/>
    <row r="33465" s="160" customFormat="1" x14ac:dyDescent="0.3"/>
    <row r="33466" s="160" customFormat="1" x14ac:dyDescent="0.3"/>
    <row r="33467" s="160" customFormat="1" x14ac:dyDescent="0.3"/>
    <row r="33468" s="160" customFormat="1" x14ac:dyDescent="0.3"/>
    <row r="33469" s="160" customFormat="1" x14ac:dyDescent="0.3"/>
    <row r="33470" s="160" customFormat="1" x14ac:dyDescent="0.3"/>
    <row r="33471" s="160" customFormat="1" x14ac:dyDescent="0.3"/>
    <row r="33472" s="160" customFormat="1" x14ac:dyDescent="0.3"/>
    <row r="33473" s="160" customFormat="1" x14ac:dyDescent="0.3"/>
    <row r="33474" s="160" customFormat="1" x14ac:dyDescent="0.3"/>
    <row r="33475" s="160" customFormat="1" x14ac:dyDescent="0.3"/>
    <row r="33476" s="160" customFormat="1" x14ac:dyDescent="0.3"/>
    <row r="33477" s="160" customFormat="1" x14ac:dyDescent="0.3"/>
    <row r="33478" s="160" customFormat="1" x14ac:dyDescent="0.3"/>
    <row r="33479" s="160" customFormat="1" x14ac:dyDescent="0.3"/>
    <row r="33480" s="160" customFormat="1" x14ac:dyDescent="0.3"/>
    <row r="33481" s="160" customFormat="1" x14ac:dyDescent="0.3"/>
    <row r="33482" s="160" customFormat="1" x14ac:dyDescent="0.3"/>
    <row r="33483" s="160" customFormat="1" x14ac:dyDescent="0.3"/>
    <row r="33484" s="160" customFormat="1" x14ac:dyDescent="0.3"/>
    <row r="33485" s="160" customFormat="1" x14ac:dyDescent="0.3"/>
    <row r="33486" s="160" customFormat="1" x14ac:dyDescent="0.3"/>
    <row r="33487" s="160" customFormat="1" x14ac:dyDescent="0.3"/>
    <row r="33488" s="160" customFormat="1" x14ac:dyDescent="0.3"/>
    <row r="33489" s="160" customFormat="1" x14ac:dyDescent="0.3"/>
    <row r="33490" s="160" customFormat="1" x14ac:dyDescent="0.3"/>
    <row r="33491" s="160" customFormat="1" x14ac:dyDescent="0.3"/>
    <row r="33492" s="160" customFormat="1" x14ac:dyDescent="0.3"/>
    <row r="33493" s="160" customFormat="1" x14ac:dyDescent="0.3"/>
    <row r="33494" s="160" customFormat="1" x14ac:dyDescent="0.3"/>
    <row r="33495" s="160" customFormat="1" x14ac:dyDescent="0.3"/>
    <row r="33496" s="160" customFormat="1" x14ac:dyDescent="0.3"/>
    <row r="33497" s="160" customFormat="1" x14ac:dyDescent="0.3"/>
    <row r="33498" s="160" customFormat="1" x14ac:dyDescent="0.3"/>
    <row r="33499" s="160" customFormat="1" x14ac:dyDescent="0.3"/>
    <row r="33500" s="160" customFormat="1" x14ac:dyDescent="0.3"/>
    <row r="33501" s="160" customFormat="1" x14ac:dyDescent="0.3"/>
    <row r="33502" s="160" customFormat="1" x14ac:dyDescent="0.3"/>
    <row r="33503" s="160" customFormat="1" x14ac:dyDescent="0.3"/>
    <row r="33504" s="160" customFormat="1" x14ac:dyDescent="0.3"/>
    <row r="33505" s="160" customFormat="1" x14ac:dyDescent="0.3"/>
    <row r="33506" s="160" customFormat="1" x14ac:dyDescent="0.3"/>
    <row r="33507" s="160" customFormat="1" x14ac:dyDescent="0.3"/>
    <row r="33508" s="160" customFormat="1" x14ac:dyDescent="0.3"/>
    <row r="33509" s="160" customFormat="1" x14ac:dyDescent="0.3"/>
    <row r="33510" s="160" customFormat="1" x14ac:dyDescent="0.3"/>
    <row r="33511" s="160" customFormat="1" x14ac:dyDescent="0.3"/>
    <row r="33512" s="160" customFormat="1" x14ac:dyDescent="0.3"/>
    <row r="33513" s="160" customFormat="1" x14ac:dyDescent="0.3"/>
    <row r="33514" s="160" customFormat="1" x14ac:dyDescent="0.3"/>
    <row r="33515" s="160" customFormat="1" x14ac:dyDescent="0.3"/>
    <row r="33516" s="160" customFormat="1" x14ac:dyDescent="0.3"/>
    <row r="33517" s="160" customFormat="1" x14ac:dyDescent="0.3"/>
    <row r="33518" s="160" customFormat="1" x14ac:dyDescent="0.3"/>
    <row r="33519" s="160" customFormat="1" x14ac:dyDescent="0.3"/>
    <row r="33520" s="160" customFormat="1" x14ac:dyDescent="0.3"/>
    <row r="33521" s="160" customFormat="1" x14ac:dyDescent="0.3"/>
    <row r="33522" s="160" customFormat="1" x14ac:dyDescent="0.3"/>
    <row r="33523" s="160" customFormat="1" x14ac:dyDescent="0.3"/>
    <row r="33524" s="160" customFormat="1" x14ac:dyDescent="0.3"/>
    <row r="33525" s="160" customFormat="1" x14ac:dyDescent="0.3"/>
    <row r="33526" s="160" customFormat="1" x14ac:dyDescent="0.3"/>
    <row r="33527" s="160" customFormat="1" x14ac:dyDescent="0.3"/>
    <row r="33528" s="160" customFormat="1" x14ac:dyDescent="0.3"/>
    <row r="33529" s="160" customFormat="1" x14ac:dyDescent="0.3"/>
    <row r="33530" s="160" customFormat="1" x14ac:dyDescent="0.3"/>
    <row r="33531" s="160" customFormat="1" x14ac:dyDescent="0.3"/>
    <row r="33532" s="160" customFormat="1" x14ac:dyDescent="0.3"/>
    <row r="33533" s="160" customFormat="1" x14ac:dyDescent="0.3"/>
    <row r="33534" s="160" customFormat="1" x14ac:dyDescent="0.3"/>
    <row r="33535" s="160" customFormat="1" x14ac:dyDescent="0.3"/>
    <row r="33536" s="160" customFormat="1" x14ac:dyDescent="0.3"/>
    <row r="33537" s="160" customFormat="1" x14ac:dyDescent="0.3"/>
    <row r="33538" s="160" customFormat="1" x14ac:dyDescent="0.3"/>
    <row r="33539" s="160" customFormat="1" x14ac:dyDescent="0.3"/>
    <row r="33540" s="160" customFormat="1" x14ac:dyDescent="0.3"/>
    <row r="33541" s="160" customFormat="1" x14ac:dyDescent="0.3"/>
    <row r="33542" s="160" customFormat="1" x14ac:dyDescent="0.3"/>
    <row r="33543" s="160" customFormat="1" x14ac:dyDescent="0.3"/>
    <row r="33544" s="160" customFormat="1" x14ac:dyDescent="0.3"/>
    <row r="33545" s="160" customFormat="1" x14ac:dyDescent="0.3"/>
    <row r="33546" s="160" customFormat="1" x14ac:dyDescent="0.3"/>
    <row r="33547" s="160" customFormat="1" x14ac:dyDescent="0.3"/>
    <row r="33548" s="160" customFormat="1" x14ac:dyDescent="0.3"/>
    <row r="33549" s="160" customFormat="1" x14ac:dyDescent="0.3"/>
    <row r="33550" s="160" customFormat="1" x14ac:dyDescent="0.3"/>
    <row r="33551" s="160" customFormat="1" x14ac:dyDescent="0.3"/>
    <row r="33552" s="160" customFormat="1" x14ac:dyDescent="0.3"/>
    <row r="33553" s="160" customFormat="1" x14ac:dyDescent="0.3"/>
    <row r="33554" s="160" customFormat="1" x14ac:dyDescent="0.3"/>
    <row r="33555" s="160" customFormat="1" x14ac:dyDescent="0.3"/>
    <row r="33556" s="160" customFormat="1" x14ac:dyDescent="0.3"/>
    <row r="33557" s="160" customFormat="1" x14ac:dyDescent="0.3"/>
    <row r="33558" s="160" customFormat="1" x14ac:dyDescent="0.3"/>
    <row r="33559" s="160" customFormat="1" x14ac:dyDescent="0.3"/>
    <row r="33560" s="160" customFormat="1" x14ac:dyDescent="0.3"/>
    <row r="33561" s="160" customFormat="1" x14ac:dyDescent="0.3"/>
    <row r="33562" s="160" customFormat="1" x14ac:dyDescent="0.3"/>
    <row r="33563" s="160" customFormat="1" x14ac:dyDescent="0.3"/>
    <row r="33564" s="160" customFormat="1" x14ac:dyDescent="0.3"/>
    <row r="33565" s="160" customFormat="1" x14ac:dyDescent="0.3"/>
    <row r="33566" s="160" customFormat="1" x14ac:dyDescent="0.3"/>
    <row r="33567" s="160" customFormat="1" x14ac:dyDescent="0.3"/>
    <row r="33568" s="160" customFormat="1" x14ac:dyDescent="0.3"/>
    <row r="33569" s="160" customFormat="1" x14ac:dyDescent="0.3"/>
    <row r="33570" s="160" customFormat="1" x14ac:dyDescent="0.3"/>
    <row r="33571" s="160" customFormat="1" x14ac:dyDescent="0.3"/>
    <row r="33572" s="160" customFormat="1" x14ac:dyDescent="0.3"/>
    <row r="33573" s="160" customFormat="1" x14ac:dyDescent="0.3"/>
    <row r="33574" s="160" customFormat="1" x14ac:dyDescent="0.3"/>
    <row r="33575" s="160" customFormat="1" x14ac:dyDescent="0.3"/>
    <row r="33576" s="160" customFormat="1" x14ac:dyDescent="0.3"/>
    <row r="33577" s="160" customFormat="1" x14ac:dyDescent="0.3"/>
    <row r="33578" s="160" customFormat="1" x14ac:dyDescent="0.3"/>
    <row r="33579" s="160" customFormat="1" x14ac:dyDescent="0.3"/>
    <row r="33580" s="160" customFormat="1" x14ac:dyDescent="0.3"/>
    <row r="33581" s="160" customFormat="1" x14ac:dyDescent="0.3"/>
    <row r="33582" s="160" customFormat="1" x14ac:dyDescent="0.3"/>
    <row r="33583" s="160" customFormat="1" x14ac:dyDescent="0.3"/>
    <row r="33584" s="160" customFormat="1" x14ac:dyDescent="0.3"/>
    <row r="33585" s="160" customFormat="1" x14ac:dyDescent="0.3"/>
    <row r="33586" s="160" customFormat="1" x14ac:dyDescent="0.3"/>
    <row r="33587" s="160" customFormat="1" x14ac:dyDescent="0.3"/>
    <row r="33588" s="160" customFormat="1" x14ac:dyDescent="0.3"/>
    <row r="33589" s="160" customFormat="1" x14ac:dyDescent="0.3"/>
    <row r="33590" s="160" customFormat="1" x14ac:dyDescent="0.3"/>
    <row r="33591" s="160" customFormat="1" x14ac:dyDescent="0.3"/>
    <row r="33592" s="160" customFormat="1" x14ac:dyDescent="0.3"/>
    <row r="33593" s="160" customFormat="1" x14ac:dyDescent="0.3"/>
    <row r="33594" s="160" customFormat="1" x14ac:dyDescent="0.3"/>
    <row r="33595" s="160" customFormat="1" x14ac:dyDescent="0.3"/>
    <row r="33596" s="160" customFormat="1" x14ac:dyDescent="0.3"/>
    <row r="33597" s="160" customFormat="1" x14ac:dyDescent="0.3"/>
    <row r="33598" s="160" customFormat="1" x14ac:dyDescent="0.3"/>
    <row r="33599" s="160" customFormat="1" x14ac:dyDescent="0.3"/>
    <row r="33600" s="160" customFormat="1" x14ac:dyDescent="0.3"/>
    <row r="33601" s="160" customFormat="1" x14ac:dyDescent="0.3"/>
    <row r="33602" s="160" customFormat="1" x14ac:dyDescent="0.3"/>
    <row r="33603" s="160" customFormat="1" x14ac:dyDescent="0.3"/>
    <row r="33604" s="160" customFormat="1" x14ac:dyDescent="0.3"/>
    <row r="33605" s="160" customFormat="1" x14ac:dyDescent="0.3"/>
    <row r="33606" s="160" customFormat="1" x14ac:dyDescent="0.3"/>
    <row r="33607" s="160" customFormat="1" x14ac:dyDescent="0.3"/>
    <row r="33608" s="160" customFormat="1" x14ac:dyDescent="0.3"/>
    <row r="33609" s="160" customFormat="1" x14ac:dyDescent="0.3"/>
    <row r="33610" s="160" customFormat="1" x14ac:dyDescent="0.3"/>
    <row r="33611" s="160" customFormat="1" x14ac:dyDescent="0.3"/>
    <row r="33612" s="160" customFormat="1" x14ac:dyDescent="0.3"/>
    <row r="33613" s="160" customFormat="1" x14ac:dyDescent="0.3"/>
    <row r="33614" s="160" customFormat="1" x14ac:dyDescent="0.3"/>
    <row r="33615" s="160" customFormat="1" x14ac:dyDescent="0.3"/>
    <row r="33616" s="160" customFormat="1" x14ac:dyDescent="0.3"/>
    <row r="33617" s="160" customFormat="1" x14ac:dyDescent="0.3"/>
    <row r="33618" s="160" customFormat="1" x14ac:dyDescent="0.3"/>
    <row r="33619" s="160" customFormat="1" x14ac:dyDescent="0.3"/>
    <row r="33620" s="160" customFormat="1" x14ac:dyDescent="0.3"/>
    <row r="33621" s="160" customFormat="1" x14ac:dyDescent="0.3"/>
    <row r="33622" s="160" customFormat="1" x14ac:dyDescent="0.3"/>
    <row r="33623" s="160" customFormat="1" x14ac:dyDescent="0.3"/>
    <row r="33624" s="160" customFormat="1" x14ac:dyDescent="0.3"/>
    <row r="33625" s="160" customFormat="1" x14ac:dyDescent="0.3"/>
    <row r="33626" s="160" customFormat="1" x14ac:dyDescent="0.3"/>
    <row r="33627" s="160" customFormat="1" x14ac:dyDescent="0.3"/>
    <row r="33628" s="160" customFormat="1" x14ac:dyDescent="0.3"/>
    <row r="33629" s="160" customFormat="1" x14ac:dyDescent="0.3"/>
    <row r="33630" s="160" customFormat="1" x14ac:dyDescent="0.3"/>
    <row r="33631" s="160" customFormat="1" x14ac:dyDescent="0.3"/>
    <row r="33632" s="160" customFormat="1" x14ac:dyDescent="0.3"/>
    <row r="33633" s="160" customFormat="1" x14ac:dyDescent="0.3"/>
    <row r="33634" s="160" customFormat="1" x14ac:dyDescent="0.3"/>
    <row r="33635" s="160" customFormat="1" x14ac:dyDescent="0.3"/>
    <row r="33636" s="160" customFormat="1" x14ac:dyDescent="0.3"/>
    <row r="33637" s="160" customFormat="1" x14ac:dyDescent="0.3"/>
    <row r="33638" s="160" customFormat="1" x14ac:dyDescent="0.3"/>
    <row r="33639" s="160" customFormat="1" x14ac:dyDescent="0.3"/>
    <row r="33640" s="160" customFormat="1" x14ac:dyDescent="0.3"/>
    <row r="33641" s="160" customFormat="1" x14ac:dyDescent="0.3"/>
    <row r="33642" s="160" customFormat="1" x14ac:dyDescent="0.3"/>
    <row r="33643" s="160" customFormat="1" x14ac:dyDescent="0.3"/>
    <row r="33644" s="160" customFormat="1" x14ac:dyDescent="0.3"/>
    <row r="33645" s="160" customFormat="1" x14ac:dyDescent="0.3"/>
    <row r="33646" s="160" customFormat="1" x14ac:dyDescent="0.3"/>
    <row r="33647" s="160" customFormat="1" x14ac:dyDescent="0.3"/>
    <row r="33648" s="160" customFormat="1" x14ac:dyDescent="0.3"/>
    <row r="33649" s="160" customFormat="1" x14ac:dyDescent="0.3"/>
    <row r="33650" s="160" customFormat="1" x14ac:dyDescent="0.3"/>
    <row r="33651" s="160" customFormat="1" x14ac:dyDescent="0.3"/>
    <row r="33652" s="160" customFormat="1" x14ac:dyDescent="0.3"/>
    <row r="33653" s="160" customFormat="1" x14ac:dyDescent="0.3"/>
    <row r="33654" s="160" customFormat="1" x14ac:dyDescent="0.3"/>
    <row r="33655" s="160" customFormat="1" x14ac:dyDescent="0.3"/>
    <row r="33656" s="160" customFormat="1" x14ac:dyDescent="0.3"/>
    <row r="33657" s="160" customFormat="1" x14ac:dyDescent="0.3"/>
    <row r="33658" s="160" customFormat="1" x14ac:dyDescent="0.3"/>
    <row r="33659" s="160" customFormat="1" x14ac:dyDescent="0.3"/>
    <row r="33660" s="160" customFormat="1" x14ac:dyDescent="0.3"/>
    <row r="33661" s="160" customFormat="1" x14ac:dyDescent="0.3"/>
    <row r="33662" s="160" customFormat="1" x14ac:dyDescent="0.3"/>
    <row r="33663" s="160" customFormat="1" x14ac:dyDescent="0.3"/>
    <row r="33664" s="160" customFormat="1" x14ac:dyDescent="0.3"/>
    <row r="33665" s="160" customFormat="1" x14ac:dyDescent="0.3"/>
    <row r="33666" s="160" customFormat="1" x14ac:dyDescent="0.3"/>
    <row r="33667" s="160" customFormat="1" x14ac:dyDescent="0.3"/>
    <row r="33668" s="160" customFormat="1" x14ac:dyDescent="0.3"/>
    <row r="33669" s="160" customFormat="1" x14ac:dyDescent="0.3"/>
    <row r="33670" s="160" customFormat="1" x14ac:dyDescent="0.3"/>
    <row r="33671" s="160" customFormat="1" x14ac:dyDescent="0.3"/>
    <row r="33672" s="160" customFormat="1" x14ac:dyDescent="0.3"/>
    <row r="33673" s="160" customFormat="1" x14ac:dyDescent="0.3"/>
    <row r="33674" s="160" customFormat="1" x14ac:dyDescent="0.3"/>
    <row r="33675" s="160" customFormat="1" x14ac:dyDescent="0.3"/>
    <row r="33676" s="160" customFormat="1" x14ac:dyDescent="0.3"/>
    <row r="33677" s="160" customFormat="1" x14ac:dyDescent="0.3"/>
    <row r="33678" s="160" customFormat="1" x14ac:dyDescent="0.3"/>
    <row r="33679" s="160" customFormat="1" x14ac:dyDescent="0.3"/>
    <row r="33680" s="160" customFormat="1" x14ac:dyDescent="0.3"/>
    <row r="33681" s="160" customFormat="1" x14ac:dyDescent="0.3"/>
    <row r="33682" s="160" customFormat="1" x14ac:dyDescent="0.3"/>
    <row r="33683" s="160" customFormat="1" x14ac:dyDescent="0.3"/>
    <row r="33684" s="160" customFormat="1" x14ac:dyDescent="0.3"/>
    <row r="33685" s="160" customFormat="1" x14ac:dyDescent="0.3"/>
    <row r="33686" s="160" customFormat="1" x14ac:dyDescent="0.3"/>
    <row r="33687" s="160" customFormat="1" x14ac:dyDescent="0.3"/>
    <row r="33688" s="160" customFormat="1" x14ac:dyDescent="0.3"/>
    <row r="33689" s="160" customFormat="1" x14ac:dyDescent="0.3"/>
    <row r="33690" s="160" customFormat="1" x14ac:dyDescent="0.3"/>
    <row r="33691" s="160" customFormat="1" x14ac:dyDescent="0.3"/>
    <row r="33692" s="160" customFormat="1" x14ac:dyDescent="0.3"/>
    <row r="33693" s="160" customFormat="1" x14ac:dyDescent="0.3"/>
    <row r="33694" s="160" customFormat="1" x14ac:dyDescent="0.3"/>
    <row r="33695" s="160" customFormat="1" x14ac:dyDescent="0.3"/>
    <row r="33696" s="160" customFormat="1" x14ac:dyDescent="0.3"/>
    <row r="33697" s="160" customFormat="1" x14ac:dyDescent="0.3"/>
    <row r="33698" s="160" customFormat="1" x14ac:dyDescent="0.3"/>
    <row r="33699" s="160" customFormat="1" x14ac:dyDescent="0.3"/>
    <row r="33700" s="160" customFormat="1" x14ac:dyDescent="0.3"/>
    <row r="33701" s="160" customFormat="1" x14ac:dyDescent="0.3"/>
    <row r="33702" s="160" customFormat="1" x14ac:dyDescent="0.3"/>
    <row r="33703" s="160" customFormat="1" x14ac:dyDescent="0.3"/>
    <row r="33704" s="160" customFormat="1" x14ac:dyDescent="0.3"/>
    <row r="33705" s="160" customFormat="1" x14ac:dyDescent="0.3"/>
    <row r="33706" s="160" customFormat="1" x14ac:dyDescent="0.3"/>
    <row r="33707" s="160" customFormat="1" x14ac:dyDescent="0.3"/>
    <row r="33708" s="160" customFormat="1" x14ac:dyDescent="0.3"/>
    <row r="33709" s="160" customFormat="1" x14ac:dyDescent="0.3"/>
    <row r="33710" s="160" customFormat="1" x14ac:dyDescent="0.3"/>
    <row r="33711" s="160" customFormat="1" x14ac:dyDescent="0.3"/>
    <row r="33712" s="160" customFormat="1" x14ac:dyDescent="0.3"/>
    <row r="33713" s="160" customFormat="1" x14ac:dyDescent="0.3"/>
    <row r="33714" s="160" customFormat="1" x14ac:dyDescent="0.3"/>
    <row r="33715" s="160" customFormat="1" x14ac:dyDescent="0.3"/>
    <row r="33716" s="160" customFormat="1" x14ac:dyDescent="0.3"/>
    <row r="33717" s="160" customFormat="1" x14ac:dyDescent="0.3"/>
    <row r="33718" s="160" customFormat="1" x14ac:dyDescent="0.3"/>
    <row r="33719" s="160" customFormat="1" x14ac:dyDescent="0.3"/>
    <row r="33720" s="160" customFormat="1" x14ac:dyDescent="0.3"/>
    <row r="33721" s="160" customFormat="1" x14ac:dyDescent="0.3"/>
    <row r="33722" s="160" customFormat="1" x14ac:dyDescent="0.3"/>
    <row r="33723" s="160" customFormat="1" x14ac:dyDescent="0.3"/>
    <row r="33724" s="160" customFormat="1" x14ac:dyDescent="0.3"/>
    <row r="33725" s="160" customFormat="1" x14ac:dyDescent="0.3"/>
    <row r="33726" s="160" customFormat="1" x14ac:dyDescent="0.3"/>
    <row r="33727" s="160" customFormat="1" x14ac:dyDescent="0.3"/>
    <row r="33728" s="160" customFormat="1" x14ac:dyDescent="0.3"/>
    <row r="33729" s="160" customFormat="1" x14ac:dyDescent="0.3"/>
    <row r="33730" s="160" customFormat="1" x14ac:dyDescent="0.3"/>
    <row r="33731" s="160" customFormat="1" x14ac:dyDescent="0.3"/>
    <row r="33732" s="160" customFormat="1" x14ac:dyDescent="0.3"/>
    <row r="33733" s="160" customFormat="1" x14ac:dyDescent="0.3"/>
    <row r="33734" s="160" customFormat="1" x14ac:dyDescent="0.3"/>
    <row r="33735" s="160" customFormat="1" x14ac:dyDescent="0.3"/>
    <row r="33736" s="160" customFormat="1" x14ac:dyDescent="0.3"/>
    <row r="33737" s="160" customFormat="1" x14ac:dyDescent="0.3"/>
    <row r="33738" s="160" customFormat="1" x14ac:dyDescent="0.3"/>
    <row r="33739" s="160" customFormat="1" x14ac:dyDescent="0.3"/>
    <row r="33740" s="160" customFormat="1" x14ac:dyDescent="0.3"/>
    <row r="33741" s="160" customFormat="1" x14ac:dyDescent="0.3"/>
    <row r="33742" s="160" customFormat="1" x14ac:dyDescent="0.3"/>
    <row r="33743" s="160" customFormat="1" x14ac:dyDescent="0.3"/>
    <row r="33744" s="160" customFormat="1" x14ac:dyDescent="0.3"/>
    <row r="33745" s="160" customFormat="1" x14ac:dyDescent="0.3"/>
    <row r="33746" s="160" customFormat="1" x14ac:dyDescent="0.3"/>
    <row r="33747" s="160" customFormat="1" x14ac:dyDescent="0.3"/>
    <row r="33748" s="160" customFormat="1" x14ac:dyDescent="0.3"/>
    <row r="33749" s="160" customFormat="1" x14ac:dyDescent="0.3"/>
    <row r="33750" s="160" customFormat="1" x14ac:dyDescent="0.3"/>
    <row r="33751" s="160" customFormat="1" x14ac:dyDescent="0.3"/>
    <row r="33752" s="160" customFormat="1" x14ac:dyDescent="0.3"/>
    <row r="33753" s="160" customFormat="1" x14ac:dyDescent="0.3"/>
    <row r="33754" s="160" customFormat="1" x14ac:dyDescent="0.3"/>
    <row r="33755" s="160" customFormat="1" x14ac:dyDescent="0.3"/>
    <row r="33756" s="160" customFormat="1" x14ac:dyDescent="0.3"/>
    <row r="33757" s="160" customFormat="1" x14ac:dyDescent="0.3"/>
    <row r="33758" s="160" customFormat="1" x14ac:dyDescent="0.3"/>
    <row r="33759" s="160" customFormat="1" x14ac:dyDescent="0.3"/>
    <row r="33760" s="160" customFormat="1" x14ac:dyDescent="0.3"/>
    <row r="33761" s="160" customFormat="1" x14ac:dyDescent="0.3"/>
    <row r="33762" s="160" customFormat="1" x14ac:dyDescent="0.3"/>
    <row r="33763" s="160" customFormat="1" x14ac:dyDescent="0.3"/>
    <row r="33764" s="160" customFormat="1" x14ac:dyDescent="0.3"/>
    <row r="33765" s="160" customFormat="1" x14ac:dyDescent="0.3"/>
    <row r="33766" s="160" customFormat="1" x14ac:dyDescent="0.3"/>
    <row r="33767" s="160" customFormat="1" x14ac:dyDescent="0.3"/>
    <row r="33768" s="160" customFormat="1" x14ac:dyDescent="0.3"/>
    <row r="33769" s="160" customFormat="1" x14ac:dyDescent="0.3"/>
    <row r="33770" s="160" customFormat="1" x14ac:dyDescent="0.3"/>
    <row r="33771" s="160" customFormat="1" x14ac:dyDescent="0.3"/>
    <row r="33772" s="160" customFormat="1" x14ac:dyDescent="0.3"/>
    <row r="33773" s="160" customFormat="1" x14ac:dyDescent="0.3"/>
    <row r="33774" s="160" customFormat="1" x14ac:dyDescent="0.3"/>
    <row r="33775" s="160" customFormat="1" x14ac:dyDescent="0.3"/>
    <row r="33776" s="160" customFormat="1" x14ac:dyDescent="0.3"/>
    <row r="33777" s="160" customFormat="1" x14ac:dyDescent="0.3"/>
    <row r="33778" s="160" customFormat="1" x14ac:dyDescent="0.3"/>
    <row r="33779" s="160" customFormat="1" x14ac:dyDescent="0.3"/>
    <row r="33780" s="160" customFormat="1" x14ac:dyDescent="0.3"/>
    <row r="33781" s="160" customFormat="1" x14ac:dyDescent="0.3"/>
    <row r="33782" s="160" customFormat="1" x14ac:dyDescent="0.3"/>
    <row r="33783" s="160" customFormat="1" x14ac:dyDescent="0.3"/>
    <row r="33784" s="160" customFormat="1" x14ac:dyDescent="0.3"/>
    <row r="33785" s="160" customFormat="1" x14ac:dyDescent="0.3"/>
    <row r="33786" s="160" customFormat="1" x14ac:dyDescent="0.3"/>
    <row r="33787" s="160" customFormat="1" x14ac:dyDescent="0.3"/>
    <row r="33788" s="160" customFormat="1" x14ac:dyDescent="0.3"/>
    <row r="33789" s="160" customFormat="1" x14ac:dyDescent="0.3"/>
    <row r="33790" s="160" customFormat="1" x14ac:dyDescent="0.3"/>
    <row r="33791" s="160" customFormat="1" x14ac:dyDescent="0.3"/>
    <row r="33792" s="160" customFormat="1" x14ac:dyDescent="0.3"/>
    <row r="33793" s="160" customFormat="1" x14ac:dyDescent="0.3"/>
    <row r="33794" s="160" customFormat="1" x14ac:dyDescent="0.3"/>
    <row r="33795" s="160" customFormat="1" x14ac:dyDescent="0.3"/>
    <row r="33796" s="160" customFormat="1" x14ac:dyDescent="0.3"/>
    <row r="33797" s="160" customFormat="1" x14ac:dyDescent="0.3"/>
    <row r="33798" s="160" customFormat="1" x14ac:dyDescent="0.3"/>
    <row r="33799" s="160" customFormat="1" x14ac:dyDescent="0.3"/>
    <row r="33800" s="160" customFormat="1" x14ac:dyDescent="0.3"/>
    <row r="33801" s="160" customFormat="1" x14ac:dyDescent="0.3"/>
    <row r="33802" s="160" customFormat="1" x14ac:dyDescent="0.3"/>
    <row r="33803" s="160" customFormat="1" x14ac:dyDescent="0.3"/>
    <row r="33804" s="160" customFormat="1" x14ac:dyDescent="0.3"/>
    <row r="33805" s="160" customFormat="1" x14ac:dyDescent="0.3"/>
    <row r="33806" s="160" customFormat="1" x14ac:dyDescent="0.3"/>
    <row r="33807" s="160" customFormat="1" x14ac:dyDescent="0.3"/>
    <row r="33808" s="160" customFormat="1" x14ac:dyDescent="0.3"/>
    <row r="33809" s="160" customFormat="1" x14ac:dyDescent="0.3"/>
    <row r="33810" s="160" customFormat="1" x14ac:dyDescent="0.3"/>
    <row r="33811" s="160" customFormat="1" x14ac:dyDescent="0.3"/>
    <row r="33812" s="160" customFormat="1" x14ac:dyDescent="0.3"/>
    <row r="33813" s="160" customFormat="1" x14ac:dyDescent="0.3"/>
    <row r="33814" s="160" customFormat="1" x14ac:dyDescent="0.3"/>
    <row r="33815" s="160" customFormat="1" x14ac:dyDescent="0.3"/>
    <row r="33816" s="160" customFormat="1" x14ac:dyDescent="0.3"/>
    <row r="33817" s="160" customFormat="1" x14ac:dyDescent="0.3"/>
    <row r="33818" s="160" customFormat="1" x14ac:dyDescent="0.3"/>
    <row r="33819" s="160" customFormat="1" x14ac:dyDescent="0.3"/>
    <row r="33820" s="160" customFormat="1" x14ac:dyDescent="0.3"/>
    <row r="33821" s="160" customFormat="1" x14ac:dyDescent="0.3"/>
    <row r="33822" s="160" customFormat="1" x14ac:dyDescent="0.3"/>
    <row r="33823" s="160" customFormat="1" x14ac:dyDescent="0.3"/>
    <row r="33824" s="160" customFormat="1" x14ac:dyDescent="0.3"/>
    <row r="33825" s="160" customFormat="1" x14ac:dyDescent="0.3"/>
    <row r="33826" s="160" customFormat="1" x14ac:dyDescent="0.3"/>
    <row r="33827" s="160" customFormat="1" x14ac:dyDescent="0.3"/>
    <row r="33828" s="160" customFormat="1" x14ac:dyDescent="0.3"/>
    <row r="33829" s="160" customFormat="1" x14ac:dyDescent="0.3"/>
    <row r="33830" s="160" customFormat="1" x14ac:dyDescent="0.3"/>
    <row r="33831" s="160" customFormat="1" x14ac:dyDescent="0.3"/>
    <row r="33832" s="160" customFormat="1" x14ac:dyDescent="0.3"/>
    <row r="33833" s="160" customFormat="1" x14ac:dyDescent="0.3"/>
    <row r="33834" s="160" customFormat="1" x14ac:dyDescent="0.3"/>
    <row r="33835" s="160" customFormat="1" x14ac:dyDescent="0.3"/>
    <row r="33836" s="160" customFormat="1" x14ac:dyDescent="0.3"/>
    <row r="33837" s="160" customFormat="1" x14ac:dyDescent="0.3"/>
    <row r="33838" s="160" customFormat="1" x14ac:dyDescent="0.3"/>
    <row r="33839" s="160" customFormat="1" x14ac:dyDescent="0.3"/>
    <row r="33840" s="160" customFormat="1" x14ac:dyDescent="0.3"/>
    <row r="33841" s="160" customFormat="1" x14ac:dyDescent="0.3"/>
    <row r="33842" s="160" customFormat="1" x14ac:dyDescent="0.3"/>
    <row r="33843" s="160" customFormat="1" x14ac:dyDescent="0.3"/>
    <row r="33844" s="160" customFormat="1" x14ac:dyDescent="0.3"/>
    <row r="33845" s="160" customFormat="1" x14ac:dyDescent="0.3"/>
    <row r="33846" s="160" customFormat="1" x14ac:dyDescent="0.3"/>
    <row r="33847" s="160" customFormat="1" x14ac:dyDescent="0.3"/>
    <row r="33848" s="160" customFormat="1" x14ac:dyDescent="0.3"/>
    <row r="33849" s="160" customFormat="1" x14ac:dyDescent="0.3"/>
    <row r="33850" s="160" customFormat="1" x14ac:dyDescent="0.3"/>
    <row r="33851" s="160" customFormat="1" x14ac:dyDescent="0.3"/>
    <row r="33852" s="160" customFormat="1" x14ac:dyDescent="0.3"/>
    <row r="33853" s="160" customFormat="1" x14ac:dyDescent="0.3"/>
    <row r="33854" s="160" customFormat="1" x14ac:dyDescent="0.3"/>
    <row r="33855" s="160" customFormat="1" x14ac:dyDescent="0.3"/>
    <row r="33856" s="160" customFormat="1" x14ac:dyDescent="0.3"/>
    <row r="33857" s="160" customFormat="1" x14ac:dyDescent="0.3"/>
    <row r="33858" s="160" customFormat="1" x14ac:dyDescent="0.3"/>
    <row r="33859" s="160" customFormat="1" x14ac:dyDescent="0.3"/>
    <row r="33860" s="160" customFormat="1" x14ac:dyDescent="0.3"/>
    <row r="33861" s="160" customFormat="1" x14ac:dyDescent="0.3"/>
    <row r="33862" s="160" customFormat="1" x14ac:dyDescent="0.3"/>
    <row r="33863" s="160" customFormat="1" x14ac:dyDescent="0.3"/>
    <row r="33864" s="160" customFormat="1" x14ac:dyDescent="0.3"/>
    <row r="33865" s="160" customFormat="1" x14ac:dyDescent="0.3"/>
    <row r="33866" s="160" customFormat="1" x14ac:dyDescent="0.3"/>
    <row r="33867" s="160" customFormat="1" x14ac:dyDescent="0.3"/>
    <row r="33868" s="160" customFormat="1" x14ac:dyDescent="0.3"/>
    <row r="33869" s="160" customFormat="1" x14ac:dyDescent="0.3"/>
    <row r="33870" s="160" customFormat="1" x14ac:dyDescent="0.3"/>
    <row r="33871" s="160" customFormat="1" x14ac:dyDescent="0.3"/>
    <row r="33872" s="160" customFormat="1" x14ac:dyDescent="0.3"/>
    <row r="33873" s="160" customFormat="1" x14ac:dyDescent="0.3"/>
    <row r="33874" s="160" customFormat="1" x14ac:dyDescent="0.3"/>
    <row r="33875" s="160" customFormat="1" x14ac:dyDescent="0.3"/>
    <row r="33876" s="160" customFormat="1" x14ac:dyDescent="0.3"/>
    <row r="33877" s="160" customFormat="1" x14ac:dyDescent="0.3"/>
    <row r="33878" s="160" customFormat="1" x14ac:dyDescent="0.3"/>
    <row r="33879" s="160" customFormat="1" x14ac:dyDescent="0.3"/>
    <row r="33880" s="160" customFormat="1" x14ac:dyDescent="0.3"/>
    <row r="33881" s="160" customFormat="1" x14ac:dyDescent="0.3"/>
    <row r="33882" s="160" customFormat="1" x14ac:dyDescent="0.3"/>
    <row r="33883" s="160" customFormat="1" x14ac:dyDescent="0.3"/>
    <row r="33884" s="160" customFormat="1" x14ac:dyDescent="0.3"/>
    <row r="33885" s="160" customFormat="1" x14ac:dyDescent="0.3"/>
    <row r="33886" s="160" customFormat="1" x14ac:dyDescent="0.3"/>
    <row r="33887" s="160" customFormat="1" x14ac:dyDescent="0.3"/>
    <row r="33888" s="160" customFormat="1" x14ac:dyDescent="0.3"/>
    <row r="33889" s="160" customFormat="1" x14ac:dyDescent="0.3"/>
    <row r="33890" s="160" customFormat="1" x14ac:dyDescent="0.3"/>
    <row r="33891" s="160" customFormat="1" x14ac:dyDescent="0.3"/>
    <row r="33892" s="160" customFormat="1" x14ac:dyDescent="0.3"/>
    <row r="33893" s="160" customFormat="1" x14ac:dyDescent="0.3"/>
    <row r="33894" s="160" customFormat="1" x14ac:dyDescent="0.3"/>
    <row r="33895" s="160" customFormat="1" x14ac:dyDescent="0.3"/>
    <row r="33896" s="160" customFormat="1" x14ac:dyDescent="0.3"/>
    <row r="33897" s="160" customFormat="1" x14ac:dyDescent="0.3"/>
    <row r="33898" s="160" customFormat="1" x14ac:dyDescent="0.3"/>
    <row r="33899" s="160" customFormat="1" x14ac:dyDescent="0.3"/>
    <row r="33900" s="160" customFormat="1" x14ac:dyDescent="0.3"/>
    <row r="33901" s="160" customFormat="1" x14ac:dyDescent="0.3"/>
    <row r="33902" s="160" customFormat="1" x14ac:dyDescent="0.3"/>
    <row r="33903" s="160" customFormat="1" x14ac:dyDescent="0.3"/>
    <row r="33904" s="160" customFormat="1" x14ac:dyDescent="0.3"/>
    <row r="33905" s="160" customFormat="1" x14ac:dyDescent="0.3"/>
    <row r="33906" s="160" customFormat="1" x14ac:dyDescent="0.3"/>
    <row r="33907" s="160" customFormat="1" x14ac:dyDescent="0.3"/>
    <row r="33908" s="160" customFormat="1" x14ac:dyDescent="0.3"/>
    <row r="33909" s="160" customFormat="1" x14ac:dyDescent="0.3"/>
    <row r="33910" s="160" customFormat="1" x14ac:dyDescent="0.3"/>
    <row r="33911" s="160" customFormat="1" x14ac:dyDescent="0.3"/>
    <row r="33912" s="160" customFormat="1" x14ac:dyDescent="0.3"/>
    <row r="33913" s="160" customFormat="1" x14ac:dyDescent="0.3"/>
    <row r="33914" s="160" customFormat="1" x14ac:dyDescent="0.3"/>
    <row r="33915" s="160" customFormat="1" x14ac:dyDescent="0.3"/>
    <row r="33916" s="160" customFormat="1" x14ac:dyDescent="0.3"/>
    <row r="33917" s="160" customFormat="1" x14ac:dyDescent="0.3"/>
    <row r="33918" s="160" customFormat="1" x14ac:dyDescent="0.3"/>
    <row r="33919" s="160" customFormat="1" x14ac:dyDescent="0.3"/>
    <row r="33920" s="160" customFormat="1" x14ac:dyDescent="0.3"/>
    <row r="33921" s="160" customFormat="1" x14ac:dyDescent="0.3"/>
    <row r="33922" s="160" customFormat="1" x14ac:dyDescent="0.3"/>
    <row r="33923" s="160" customFormat="1" x14ac:dyDescent="0.3"/>
    <row r="33924" s="160" customFormat="1" x14ac:dyDescent="0.3"/>
    <row r="33925" s="160" customFormat="1" x14ac:dyDescent="0.3"/>
    <row r="33926" s="160" customFormat="1" x14ac:dyDescent="0.3"/>
    <row r="33927" s="160" customFormat="1" x14ac:dyDescent="0.3"/>
    <row r="33928" s="160" customFormat="1" x14ac:dyDescent="0.3"/>
    <row r="33929" s="160" customFormat="1" x14ac:dyDescent="0.3"/>
    <row r="33930" s="160" customFormat="1" x14ac:dyDescent="0.3"/>
    <row r="33931" s="160" customFormat="1" x14ac:dyDescent="0.3"/>
    <row r="33932" s="160" customFormat="1" x14ac:dyDescent="0.3"/>
    <row r="33933" s="160" customFormat="1" x14ac:dyDescent="0.3"/>
    <row r="33934" s="160" customFormat="1" x14ac:dyDescent="0.3"/>
    <row r="33935" s="160" customFormat="1" x14ac:dyDescent="0.3"/>
    <row r="33936" s="160" customFormat="1" x14ac:dyDescent="0.3"/>
    <row r="33937" s="160" customFormat="1" x14ac:dyDescent="0.3"/>
    <row r="33938" s="160" customFormat="1" x14ac:dyDescent="0.3"/>
    <row r="33939" s="160" customFormat="1" x14ac:dyDescent="0.3"/>
    <row r="33940" s="160" customFormat="1" x14ac:dyDescent="0.3"/>
    <row r="33941" s="160" customFormat="1" x14ac:dyDescent="0.3"/>
    <row r="33942" s="160" customFormat="1" x14ac:dyDescent="0.3"/>
    <row r="33943" s="160" customFormat="1" x14ac:dyDescent="0.3"/>
    <row r="33944" s="160" customFormat="1" x14ac:dyDescent="0.3"/>
    <row r="33945" s="160" customFormat="1" x14ac:dyDescent="0.3"/>
    <row r="33946" s="160" customFormat="1" x14ac:dyDescent="0.3"/>
    <row r="33947" s="160" customFormat="1" x14ac:dyDescent="0.3"/>
    <row r="33948" s="160" customFormat="1" x14ac:dyDescent="0.3"/>
    <row r="33949" s="160" customFormat="1" x14ac:dyDescent="0.3"/>
    <row r="33950" s="160" customFormat="1" x14ac:dyDescent="0.3"/>
    <row r="33951" s="160" customFormat="1" x14ac:dyDescent="0.3"/>
    <row r="33952" s="160" customFormat="1" x14ac:dyDescent="0.3"/>
    <row r="33953" s="160" customFormat="1" x14ac:dyDescent="0.3"/>
    <row r="33954" s="160" customFormat="1" x14ac:dyDescent="0.3"/>
    <row r="33955" s="160" customFormat="1" x14ac:dyDescent="0.3"/>
    <row r="33956" s="160" customFormat="1" x14ac:dyDescent="0.3"/>
    <row r="33957" s="160" customFormat="1" x14ac:dyDescent="0.3"/>
    <row r="33958" s="160" customFormat="1" x14ac:dyDescent="0.3"/>
    <row r="33959" s="160" customFormat="1" x14ac:dyDescent="0.3"/>
    <row r="33960" s="160" customFormat="1" x14ac:dyDescent="0.3"/>
    <row r="33961" s="160" customFormat="1" x14ac:dyDescent="0.3"/>
    <row r="33962" s="160" customFormat="1" x14ac:dyDescent="0.3"/>
    <row r="33963" s="160" customFormat="1" x14ac:dyDescent="0.3"/>
    <row r="33964" s="160" customFormat="1" x14ac:dyDescent="0.3"/>
    <row r="33965" s="160" customFormat="1" x14ac:dyDescent="0.3"/>
    <row r="33966" s="160" customFormat="1" x14ac:dyDescent="0.3"/>
    <row r="33967" s="160" customFormat="1" x14ac:dyDescent="0.3"/>
    <row r="33968" s="160" customFormat="1" x14ac:dyDescent="0.3"/>
    <row r="33969" s="160" customFormat="1" x14ac:dyDescent="0.3"/>
    <row r="33970" s="160" customFormat="1" x14ac:dyDescent="0.3"/>
    <row r="33971" s="160" customFormat="1" x14ac:dyDescent="0.3"/>
    <row r="33972" s="160" customFormat="1" x14ac:dyDescent="0.3"/>
    <row r="33973" s="160" customFormat="1" x14ac:dyDescent="0.3"/>
    <row r="33974" s="160" customFormat="1" x14ac:dyDescent="0.3"/>
    <row r="33975" s="160" customFormat="1" x14ac:dyDescent="0.3"/>
    <row r="33976" s="160" customFormat="1" x14ac:dyDescent="0.3"/>
    <row r="33977" s="160" customFormat="1" x14ac:dyDescent="0.3"/>
    <row r="33978" s="160" customFormat="1" x14ac:dyDescent="0.3"/>
    <row r="33979" s="160" customFormat="1" x14ac:dyDescent="0.3"/>
    <row r="33980" s="160" customFormat="1" x14ac:dyDescent="0.3"/>
    <row r="33981" s="160" customFormat="1" x14ac:dyDescent="0.3"/>
    <row r="33982" s="160" customFormat="1" x14ac:dyDescent="0.3"/>
    <row r="33983" s="160" customFormat="1" x14ac:dyDescent="0.3"/>
    <row r="33984" s="160" customFormat="1" x14ac:dyDescent="0.3"/>
    <row r="33985" s="160" customFormat="1" x14ac:dyDescent="0.3"/>
    <row r="33986" s="160" customFormat="1" x14ac:dyDescent="0.3"/>
    <row r="33987" s="160" customFormat="1" x14ac:dyDescent="0.3"/>
    <row r="33988" s="160" customFormat="1" x14ac:dyDescent="0.3"/>
    <row r="33989" s="160" customFormat="1" x14ac:dyDescent="0.3"/>
    <row r="33990" s="160" customFormat="1" x14ac:dyDescent="0.3"/>
    <row r="33991" s="160" customFormat="1" x14ac:dyDescent="0.3"/>
    <row r="33992" s="160" customFormat="1" x14ac:dyDescent="0.3"/>
    <row r="33993" s="160" customFormat="1" x14ac:dyDescent="0.3"/>
    <row r="33994" s="160" customFormat="1" x14ac:dyDescent="0.3"/>
    <row r="33995" s="160" customFormat="1" x14ac:dyDescent="0.3"/>
    <row r="33996" s="160" customFormat="1" x14ac:dyDescent="0.3"/>
    <row r="33997" s="160" customFormat="1" x14ac:dyDescent="0.3"/>
    <row r="33998" s="160" customFormat="1" x14ac:dyDescent="0.3"/>
    <row r="33999" s="160" customFormat="1" x14ac:dyDescent="0.3"/>
    <row r="34000" s="160" customFormat="1" x14ac:dyDescent="0.3"/>
    <row r="34001" s="160" customFormat="1" x14ac:dyDescent="0.3"/>
    <row r="34002" s="160" customFormat="1" x14ac:dyDescent="0.3"/>
    <row r="34003" s="160" customFormat="1" x14ac:dyDescent="0.3"/>
    <row r="34004" s="160" customFormat="1" x14ac:dyDescent="0.3"/>
    <row r="34005" s="160" customFormat="1" x14ac:dyDescent="0.3"/>
    <row r="34006" s="160" customFormat="1" x14ac:dyDescent="0.3"/>
    <row r="34007" s="160" customFormat="1" x14ac:dyDescent="0.3"/>
    <row r="34008" s="160" customFormat="1" x14ac:dyDescent="0.3"/>
    <row r="34009" s="160" customFormat="1" x14ac:dyDescent="0.3"/>
    <row r="34010" s="160" customFormat="1" x14ac:dyDescent="0.3"/>
    <row r="34011" s="160" customFormat="1" x14ac:dyDescent="0.3"/>
    <row r="34012" s="160" customFormat="1" x14ac:dyDescent="0.3"/>
    <row r="34013" s="160" customFormat="1" x14ac:dyDescent="0.3"/>
    <row r="34014" s="160" customFormat="1" x14ac:dyDescent="0.3"/>
    <row r="34015" s="160" customFormat="1" x14ac:dyDescent="0.3"/>
    <row r="34016" s="160" customFormat="1" x14ac:dyDescent="0.3"/>
    <row r="34017" s="160" customFormat="1" x14ac:dyDescent="0.3"/>
    <row r="34018" s="160" customFormat="1" x14ac:dyDescent="0.3"/>
    <row r="34019" s="160" customFormat="1" x14ac:dyDescent="0.3"/>
    <row r="34020" s="160" customFormat="1" x14ac:dyDescent="0.3"/>
    <row r="34021" s="160" customFormat="1" x14ac:dyDescent="0.3"/>
    <row r="34022" s="160" customFormat="1" x14ac:dyDescent="0.3"/>
    <row r="34023" s="160" customFormat="1" x14ac:dyDescent="0.3"/>
    <row r="34024" s="160" customFormat="1" x14ac:dyDescent="0.3"/>
    <row r="34025" s="160" customFormat="1" x14ac:dyDescent="0.3"/>
    <row r="34026" s="160" customFormat="1" x14ac:dyDescent="0.3"/>
    <row r="34027" s="160" customFormat="1" x14ac:dyDescent="0.3"/>
    <row r="34028" s="160" customFormat="1" x14ac:dyDescent="0.3"/>
    <row r="34029" s="160" customFormat="1" x14ac:dyDescent="0.3"/>
    <row r="34030" s="160" customFormat="1" x14ac:dyDescent="0.3"/>
    <row r="34031" s="160" customFormat="1" x14ac:dyDescent="0.3"/>
    <row r="34032" s="160" customFormat="1" x14ac:dyDescent="0.3"/>
    <row r="34033" s="160" customFormat="1" x14ac:dyDescent="0.3"/>
    <row r="34034" s="160" customFormat="1" x14ac:dyDescent="0.3"/>
    <row r="34035" s="160" customFormat="1" x14ac:dyDescent="0.3"/>
    <row r="34036" s="160" customFormat="1" x14ac:dyDescent="0.3"/>
    <row r="34037" s="160" customFormat="1" x14ac:dyDescent="0.3"/>
    <row r="34038" s="160" customFormat="1" x14ac:dyDescent="0.3"/>
    <row r="34039" s="160" customFormat="1" x14ac:dyDescent="0.3"/>
    <row r="34040" s="160" customFormat="1" x14ac:dyDescent="0.3"/>
    <row r="34041" s="160" customFormat="1" x14ac:dyDescent="0.3"/>
    <row r="34042" s="160" customFormat="1" x14ac:dyDescent="0.3"/>
    <row r="34043" s="160" customFormat="1" x14ac:dyDescent="0.3"/>
    <row r="34044" s="160" customFormat="1" x14ac:dyDescent="0.3"/>
    <row r="34045" s="160" customFormat="1" x14ac:dyDescent="0.3"/>
    <row r="34046" s="160" customFormat="1" x14ac:dyDescent="0.3"/>
    <row r="34047" s="160" customFormat="1" x14ac:dyDescent="0.3"/>
    <row r="34048" s="160" customFormat="1" x14ac:dyDescent="0.3"/>
    <row r="34049" s="160" customFormat="1" x14ac:dyDescent="0.3"/>
    <row r="34050" s="160" customFormat="1" x14ac:dyDescent="0.3"/>
    <row r="34051" s="160" customFormat="1" x14ac:dyDescent="0.3"/>
    <row r="34052" s="160" customFormat="1" x14ac:dyDescent="0.3"/>
    <row r="34053" s="160" customFormat="1" x14ac:dyDescent="0.3"/>
    <row r="34054" s="160" customFormat="1" x14ac:dyDescent="0.3"/>
    <row r="34055" s="160" customFormat="1" x14ac:dyDescent="0.3"/>
    <row r="34056" s="160" customFormat="1" x14ac:dyDescent="0.3"/>
    <row r="34057" s="160" customFormat="1" x14ac:dyDescent="0.3"/>
    <row r="34058" s="160" customFormat="1" x14ac:dyDescent="0.3"/>
    <row r="34059" s="160" customFormat="1" x14ac:dyDescent="0.3"/>
    <row r="34060" s="160" customFormat="1" x14ac:dyDescent="0.3"/>
    <row r="34061" s="160" customFormat="1" x14ac:dyDescent="0.3"/>
    <row r="34062" s="160" customFormat="1" x14ac:dyDescent="0.3"/>
    <row r="34063" s="160" customFormat="1" x14ac:dyDescent="0.3"/>
    <row r="34064" s="160" customFormat="1" x14ac:dyDescent="0.3"/>
    <row r="34065" s="160" customFormat="1" x14ac:dyDescent="0.3"/>
    <row r="34066" s="160" customFormat="1" x14ac:dyDescent="0.3"/>
    <row r="34067" s="160" customFormat="1" x14ac:dyDescent="0.3"/>
    <row r="34068" s="160" customFormat="1" x14ac:dyDescent="0.3"/>
    <row r="34069" s="160" customFormat="1" x14ac:dyDescent="0.3"/>
    <row r="34070" s="160" customFormat="1" x14ac:dyDescent="0.3"/>
    <row r="34071" s="160" customFormat="1" x14ac:dyDescent="0.3"/>
    <row r="34072" s="160" customFormat="1" x14ac:dyDescent="0.3"/>
    <row r="34073" s="160" customFormat="1" x14ac:dyDescent="0.3"/>
    <row r="34074" s="160" customFormat="1" x14ac:dyDescent="0.3"/>
    <row r="34075" s="160" customFormat="1" x14ac:dyDescent="0.3"/>
    <row r="34076" s="160" customFormat="1" x14ac:dyDescent="0.3"/>
    <row r="34077" s="160" customFormat="1" x14ac:dyDescent="0.3"/>
    <row r="34078" s="160" customFormat="1" x14ac:dyDescent="0.3"/>
    <row r="34079" s="160" customFormat="1" x14ac:dyDescent="0.3"/>
    <row r="34080" s="160" customFormat="1" x14ac:dyDescent="0.3"/>
    <row r="34081" s="160" customFormat="1" x14ac:dyDescent="0.3"/>
    <row r="34082" s="160" customFormat="1" x14ac:dyDescent="0.3"/>
    <row r="34083" s="160" customFormat="1" x14ac:dyDescent="0.3"/>
    <row r="34084" s="160" customFormat="1" x14ac:dyDescent="0.3"/>
    <row r="34085" s="160" customFormat="1" x14ac:dyDescent="0.3"/>
    <row r="34086" s="160" customFormat="1" x14ac:dyDescent="0.3"/>
    <row r="34087" s="160" customFormat="1" x14ac:dyDescent="0.3"/>
    <row r="34088" s="160" customFormat="1" x14ac:dyDescent="0.3"/>
    <row r="34089" s="160" customFormat="1" x14ac:dyDescent="0.3"/>
    <row r="34090" s="160" customFormat="1" x14ac:dyDescent="0.3"/>
    <row r="34091" s="160" customFormat="1" x14ac:dyDescent="0.3"/>
    <row r="34092" s="160" customFormat="1" x14ac:dyDescent="0.3"/>
    <row r="34093" s="160" customFormat="1" x14ac:dyDescent="0.3"/>
    <row r="34094" s="160" customFormat="1" x14ac:dyDescent="0.3"/>
    <row r="34095" s="160" customFormat="1" x14ac:dyDescent="0.3"/>
    <row r="34096" s="160" customFormat="1" x14ac:dyDescent="0.3"/>
    <row r="34097" s="160" customFormat="1" x14ac:dyDescent="0.3"/>
    <row r="34098" s="160" customFormat="1" x14ac:dyDescent="0.3"/>
    <row r="34099" s="160" customFormat="1" x14ac:dyDescent="0.3"/>
    <row r="34100" s="160" customFormat="1" x14ac:dyDescent="0.3"/>
    <row r="34101" s="160" customFormat="1" x14ac:dyDescent="0.3"/>
    <row r="34102" s="160" customFormat="1" x14ac:dyDescent="0.3"/>
    <row r="34103" s="160" customFormat="1" x14ac:dyDescent="0.3"/>
    <row r="34104" s="160" customFormat="1" x14ac:dyDescent="0.3"/>
    <row r="34105" s="160" customFormat="1" x14ac:dyDescent="0.3"/>
    <row r="34106" s="160" customFormat="1" x14ac:dyDescent="0.3"/>
    <row r="34107" s="160" customFormat="1" x14ac:dyDescent="0.3"/>
    <row r="34108" s="160" customFormat="1" x14ac:dyDescent="0.3"/>
    <row r="34109" s="160" customFormat="1" x14ac:dyDescent="0.3"/>
    <row r="34110" s="160" customFormat="1" x14ac:dyDescent="0.3"/>
    <row r="34111" s="160" customFormat="1" x14ac:dyDescent="0.3"/>
    <row r="34112" s="160" customFormat="1" x14ac:dyDescent="0.3"/>
    <row r="34113" s="160" customFormat="1" x14ac:dyDescent="0.3"/>
    <row r="34114" s="160" customFormat="1" x14ac:dyDescent="0.3"/>
    <row r="34115" s="160" customFormat="1" x14ac:dyDescent="0.3"/>
    <row r="34116" s="160" customFormat="1" x14ac:dyDescent="0.3"/>
    <row r="34117" s="160" customFormat="1" x14ac:dyDescent="0.3"/>
    <row r="34118" s="160" customFormat="1" x14ac:dyDescent="0.3"/>
    <row r="34119" s="160" customFormat="1" x14ac:dyDescent="0.3"/>
    <row r="34120" s="160" customFormat="1" x14ac:dyDescent="0.3"/>
    <row r="34121" s="160" customFormat="1" x14ac:dyDescent="0.3"/>
    <row r="34122" s="160" customFormat="1" x14ac:dyDescent="0.3"/>
    <row r="34123" s="160" customFormat="1" x14ac:dyDescent="0.3"/>
    <row r="34124" s="160" customFormat="1" x14ac:dyDescent="0.3"/>
    <row r="34125" s="160" customFormat="1" x14ac:dyDescent="0.3"/>
    <row r="34126" s="160" customFormat="1" x14ac:dyDescent="0.3"/>
    <row r="34127" s="160" customFormat="1" x14ac:dyDescent="0.3"/>
    <row r="34128" s="160" customFormat="1" x14ac:dyDescent="0.3"/>
    <row r="34129" s="160" customFormat="1" x14ac:dyDescent="0.3"/>
    <row r="34130" s="160" customFormat="1" x14ac:dyDescent="0.3"/>
    <row r="34131" s="160" customFormat="1" x14ac:dyDescent="0.3"/>
    <row r="34132" s="160" customFormat="1" x14ac:dyDescent="0.3"/>
    <row r="34133" s="160" customFormat="1" x14ac:dyDescent="0.3"/>
    <row r="34134" s="160" customFormat="1" x14ac:dyDescent="0.3"/>
    <row r="34135" s="160" customFormat="1" x14ac:dyDescent="0.3"/>
    <row r="34136" s="160" customFormat="1" x14ac:dyDescent="0.3"/>
    <row r="34137" s="160" customFormat="1" x14ac:dyDescent="0.3"/>
    <row r="34138" s="160" customFormat="1" x14ac:dyDescent="0.3"/>
    <row r="34139" s="160" customFormat="1" x14ac:dyDescent="0.3"/>
    <row r="34140" s="160" customFormat="1" x14ac:dyDescent="0.3"/>
    <row r="34141" s="160" customFormat="1" x14ac:dyDescent="0.3"/>
    <row r="34142" s="160" customFormat="1" x14ac:dyDescent="0.3"/>
    <row r="34143" s="160" customFormat="1" x14ac:dyDescent="0.3"/>
    <row r="34144" s="160" customFormat="1" x14ac:dyDescent="0.3"/>
    <row r="34145" s="160" customFormat="1" x14ac:dyDescent="0.3"/>
    <row r="34146" s="160" customFormat="1" x14ac:dyDescent="0.3"/>
    <row r="34147" s="160" customFormat="1" x14ac:dyDescent="0.3"/>
    <row r="34148" s="160" customFormat="1" x14ac:dyDescent="0.3"/>
    <row r="34149" s="160" customFormat="1" x14ac:dyDescent="0.3"/>
    <row r="34150" s="160" customFormat="1" x14ac:dyDescent="0.3"/>
    <row r="34151" s="160" customFormat="1" x14ac:dyDescent="0.3"/>
    <row r="34152" s="160" customFormat="1" x14ac:dyDescent="0.3"/>
    <row r="34153" s="160" customFormat="1" x14ac:dyDescent="0.3"/>
    <row r="34154" s="160" customFormat="1" x14ac:dyDescent="0.3"/>
    <row r="34155" s="160" customFormat="1" x14ac:dyDescent="0.3"/>
    <row r="34156" s="160" customFormat="1" x14ac:dyDescent="0.3"/>
    <row r="34157" s="160" customFormat="1" x14ac:dyDescent="0.3"/>
    <row r="34158" s="160" customFormat="1" x14ac:dyDescent="0.3"/>
    <row r="34159" s="160" customFormat="1" x14ac:dyDescent="0.3"/>
    <row r="34160" s="160" customFormat="1" x14ac:dyDescent="0.3"/>
    <row r="34161" s="160" customFormat="1" x14ac:dyDescent="0.3"/>
    <row r="34162" s="160" customFormat="1" x14ac:dyDescent="0.3"/>
    <row r="34163" s="160" customFormat="1" x14ac:dyDescent="0.3"/>
    <row r="34164" s="160" customFormat="1" x14ac:dyDescent="0.3"/>
    <row r="34165" s="160" customFormat="1" x14ac:dyDescent="0.3"/>
    <row r="34166" s="160" customFormat="1" x14ac:dyDescent="0.3"/>
    <row r="34167" s="160" customFormat="1" x14ac:dyDescent="0.3"/>
    <row r="34168" s="160" customFormat="1" x14ac:dyDescent="0.3"/>
    <row r="34169" s="160" customFormat="1" x14ac:dyDescent="0.3"/>
    <row r="34170" s="160" customFormat="1" x14ac:dyDescent="0.3"/>
    <row r="34171" s="160" customFormat="1" x14ac:dyDescent="0.3"/>
    <row r="34172" s="160" customFormat="1" x14ac:dyDescent="0.3"/>
    <row r="34173" s="160" customFormat="1" x14ac:dyDescent="0.3"/>
    <row r="34174" s="160" customFormat="1" x14ac:dyDescent="0.3"/>
    <row r="34175" s="160" customFormat="1" x14ac:dyDescent="0.3"/>
    <row r="34176" s="160" customFormat="1" x14ac:dyDescent="0.3"/>
    <row r="34177" s="160" customFormat="1" x14ac:dyDescent="0.3"/>
    <row r="34178" s="160" customFormat="1" x14ac:dyDescent="0.3"/>
    <row r="34179" s="160" customFormat="1" x14ac:dyDescent="0.3"/>
    <row r="34180" s="160" customFormat="1" x14ac:dyDescent="0.3"/>
    <row r="34181" s="160" customFormat="1" x14ac:dyDescent="0.3"/>
    <row r="34182" s="160" customFormat="1" x14ac:dyDescent="0.3"/>
    <row r="34183" s="160" customFormat="1" x14ac:dyDescent="0.3"/>
    <row r="34184" s="160" customFormat="1" x14ac:dyDescent="0.3"/>
    <row r="34185" s="160" customFormat="1" x14ac:dyDescent="0.3"/>
    <row r="34186" s="160" customFormat="1" x14ac:dyDescent="0.3"/>
    <row r="34187" s="160" customFormat="1" x14ac:dyDescent="0.3"/>
    <row r="34188" s="160" customFormat="1" x14ac:dyDescent="0.3"/>
    <row r="34189" s="160" customFormat="1" x14ac:dyDescent="0.3"/>
    <row r="34190" s="160" customFormat="1" x14ac:dyDescent="0.3"/>
    <row r="34191" s="160" customFormat="1" x14ac:dyDescent="0.3"/>
    <row r="34192" s="160" customFormat="1" x14ac:dyDescent="0.3"/>
    <row r="34193" s="160" customFormat="1" x14ac:dyDescent="0.3"/>
    <row r="34194" s="160" customFormat="1" x14ac:dyDescent="0.3"/>
    <row r="34195" s="160" customFormat="1" x14ac:dyDescent="0.3"/>
    <row r="34196" s="160" customFormat="1" x14ac:dyDescent="0.3"/>
    <row r="34197" s="160" customFormat="1" x14ac:dyDescent="0.3"/>
    <row r="34198" s="160" customFormat="1" x14ac:dyDescent="0.3"/>
    <row r="34199" s="160" customFormat="1" x14ac:dyDescent="0.3"/>
    <row r="34200" s="160" customFormat="1" x14ac:dyDescent="0.3"/>
    <row r="34201" s="160" customFormat="1" x14ac:dyDescent="0.3"/>
    <row r="34202" s="160" customFormat="1" x14ac:dyDescent="0.3"/>
    <row r="34203" s="160" customFormat="1" x14ac:dyDescent="0.3"/>
    <row r="34204" s="160" customFormat="1" x14ac:dyDescent="0.3"/>
    <row r="34205" s="160" customFormat="1" x14ac:dyDescent="0.3"/>
    <row r="34206" s="160" customFormat="1" x14ac:dyDescent="0.3"/>
    <row r="34207" s="160" customFormat="1" x14ac:dyDescent="0.3"/>
    <row r="34208" s="160" customFormat="1" x14ac:dyDescent="0.3"/>
    <row r="34209" s="160" customFormat="1" x14ac:dyDescent="0.3"/>
    <row r="34210" s="160" customFormat="1" x14ac:dyDescent="0.3"/>
    <row r="34211" s="160" customFormat="1" x14ac:dyDescent="0.3"/>
    <row r="34212" s="160" customFormat="1" x14ac:dyDescent="0.3"/>
    <row r="34213" s="160" customFormat="1" x14ac:dyDescent="0.3"/>
    <row r="34214" s="160" customFormat="1" x14ac:dyDescent="0.3"/>
    <row r="34215" s="160" customFormat="1" x14ac:dyDescent="0.3"/>
    <row r="34216" s="160" customFormat="1" x14ac:dyDescent="0.3"/>
    <row r="34217" s="160" customFormat="1" x14ac:dyDescent="0.3"/>
    <row r="34218" s="160" customFormat="1" x14ac:dyDescent="0.3"/>
    <row r="34219" s="160" customFormat="1" x14ac:dyDescent="0.3"/>
    <row r="34220" s="160" customFormat="1" x14ac:dyDescent="0.3"/>
    <row r="34221" s="160" customFormat="1" x14ac:dyDescent="0.3"/>
    <row r="34222" s="160" customFormat="1" x14ac:dyDescent="0.3"/>
    <row r="34223" s="160" customFormat="1" x14ac:dyDescent="0.3"/>
    <row r="34224" s="160" customFormat="1" x14ac:dyDescent="0.3"/>
    <row r="34225" s="160" customFormat="1" x14ac:dyDescent="0.3"/>
    <row r="34226" s="160" customFormat="1" x14ac:dyDescent="0.3"/>
    <row r="34227" s="160" customFormat="1" x14ac:dyDescent="0.3"/>
    <row r="34228" s="160" customFormat="1" x14ac:dyDescent="0.3"/>
    <row r="34229" s="160" customFormat="1" x14ac:dyDescent="0.3"/>
    <row r="34230" s="160" customFormat="1" x14ac:dyDescent="0.3"/>
    <row r="34231" s="160" customFormat="1" x14ac:dyDescent="0.3"/>
    <row r="34232" s="160" customFormat="1" x14ac:dyDescent="0.3"/>
    <row r="34233" s="160" customFormat="1" x14ac:dyDescent="0.3"/>
    <row r="34234" s="160" customFormat="1" x14ac:dyDescent="0.3"/>
    <row r="34235" s="160" customFormat="1" x14ac:dyDescent="0.3"/>
    <row r="34236" s="160" customFormat="1" x14ac:dyDescent="0.3"/>
    <row r="34237" s="160" customFormat="1" x14ac:dyDescent="0.3"/>
    <row r="34238" s="160" customFormat="1" x14ac:dyDescent="0.3"/>
    <row r="34239" s="160" customFormat="1" x14ac:dyDescent="0.3"/>
    <row r="34240" s="160" customFormat="1" x14ac:dyDescent="0.3"/>
    <row r="34241" s="160" customFormat="1" x14ac:dyDescent="0.3"/>
    <row r="34242" s="160" customFormat="1" x14ac:dyDescent="0.3"/>
    <row r="34243" s="160" customFormat="1" x14ac:dyDescent="0.3"/>
    <row r="34244" s="160" customFormat="1" x14ac:dyDescent="0.3"/>
    <row r="34245" s="160" customFormat="1" x14ac:dyDescent="0.3"/>
    <row r="34246" s="160" customFormat="1" x14ac:dyDescent="0.3"/>
    <row r="34247" s="160" customFormat="1" x14ac:dyDescent="0.3"/>
    <row r="34248" s="160" customFormat="1" x14ac:dyDescent="0.3"/>
    <row r="34249" s="160" customFormat="1" x14ac:dyDescent="0.3"/>
    <row r="34250" s="160" customFormat="1" x14ac:dyDescent="0.3"/>
    <row r="34251" s="160" customFormat="1" x14ac:dyDescent="0.3"/>
    <row r="34252" s="160" customFormat="1" x14ac:dyDescent="0.3"/>
    <row r="34253" s="160" customFormat="1" x14ac:dyDescent="0.3"/>
    <row r="34254" s="160" customFormat="1" x14ac:dyDescent="0.3"/>
    <row r="34255" s="160" customFormat="1" x14ac:dyDescent="0.3"/>
    <row r="34256" s="160" customFormat="1" x14ac:dyDescent="0.3"/>
    <row r="34257" s="160" customFormat="1" x14ac:dyDescent="0.3"/>
    <row r="34258" s="160" customFormat="1" x14ac:dyDescent="0.3"/>
    <row r="34259" s="160" customFormat="1" x14ac:dyDescent="0.3"/>
    <row r="34260" s="160" customFormat="1" x14ac:dyDescent="0.3"/>
    <row r="34261" s="160" customFormat="1" x14ac:dyDescent="0.3"/>
    <row r="34262" s="160" customFormat="1" x14ac:dyDescent="0.3"/>
    <row r="34263" s="160" customFormat="1" x14ac:dyDescent="0.3"/>
    <row r="34264" s="160" customFormat="1" x14ac:dyDescent="0.3"/>
    <row r="34265" s="160" customFormat="1" x14ac:dyDescent="0.3"/>
    <row r="34266" s="160" customFormat="1" x14ac:dyDescent="0.3"/>
    <row r="34267" s="160" customFormat="1" x14ac:dyDescent="0.3"/>
    <row r="34268" s="160" customFormat="1" x14ac:dyDescent="0.3"/>
    <row r="34269" s="160" customFormat="1" x14ac:dyDescent="0.3"/>
    <row r="34270" s="160" customFormat="1" x14ac:dyDescent="0.3"/>
    <row r="34271" s="160" customFormat="1" x14ac:dyDescent="0.3"/>
    <row r="34272" s="160" customFormat="1" x14ac:dyDescent="0.3"/>
    <row r="34273" s="160" customFormat="1" x14ac:dyDescent="0.3"/>
    <row r="34274" s="160" customFormat="1" x14ac:dyDescent="0.3"/>
    <row r="34275" s="160" customFormat="1" x14ac:dyDescent="0.3"/>
    <row r="34276" s="160" customFormat="1" x14ac:dyDescent="0.3"/>
    <row r="34277" s="160" customFormat="1" x14ac:dyDescent="0.3"/>
    <row r="34278" s="160" customFormat="1" x14ac:dyDescent="0.3"/>
    <row r="34279" s="160" customFormat="1" x14ac:dyDescent="0.3"/>
    <row r="34280" s="160" customFormat="1" x14ac:dyDescent="0.3"/>
    <row r="34281" s="160" customFormat="1" x14ac:dyDescent="0.3"/>
    <row r="34282" s="160" customFormat="1" x14ac:dyDescent="0.3"/>
    <row r="34283" s="160" customFormat="1" x14ac:dyDescent="0.3"/>
    <row r="34284" s="160" customFormat="1" x14ac:dyDescent="0.3"/>
    <row r="34285" s="160" customFormat="1" x14ac:dyDescent="0.3"/>
    <row r="34286" s="160" customFormat="1" x14ac:dyDescent="0.3"/>
    <row r="34287" s="160" customFormat="1" x14ac:dyDescent="0.3"/>
    <row r="34288" s="160" customFormat="1" x14ac:dyDescent="0.3"/>
    <row r="34289" s="160" customFormat="1" x14ac:dyDescent="0.3"/>
    <row r="34290" s="160" customFormat="1" x14ac:dyDescent="0.3"/>
    <row r="34291" s="160" customFormat="1" x14ac:dyDescent="0.3"/>
    <row r="34292" s="160" customFormat="1" x14ac:dyDescent="0.3"/>
    <row r="34293" s="160" customFormat="1" x14ac:dyDescent="0.3"/>
    <row r="34294" s="160" customFormat="1" x14ac:dyDescent="0.3"/>
    <row r="34295" s="160" customFormat="1" x14ac:dyDescent="0.3"/>
    <row r="34296" s="160" customFormat="1" x14ac:dyDescent="0.3"/>
    <row r="34297" s="160" customFormat="1" x14ac:dyDescent="0.3"/>
    <row r="34298" s="160" customFormat="1" x14ac:dyDescent="0.3"/>
    <row r="34299" s="160" customFormat="1" x14ac:dyDescent="0.3"/>
    <row r="34300" s="160" customFormat="1" x14ac:dyDescent="0.3"/>
    <row r="34301" s="160" customFormat="1" x14ac:dyDescent="0.3"/>
    <row r="34302" s="160" customFormat="1" x14ac:dyDescent="0.3"/>
    <row r="34303" s="160" customFormat="1" x14ac:dyDescent="0.3"/>
    <row r="34304" s="160" customFormat="1" x14ac:dyDescent="0.3"/>
    <row r="34305" s="160" customFormat="1" x14ac:dyDescent="0.3"/>
    <row r="34306" s="160" customFormat="1" x14ac:dyDescent="0.3"/>
    <row r="34307" s="160" customFormat="1" x14ac:dyDescent="0.3"/>
    <row r="34308" s="160" customFormat="1" x14ac:dyDescent="0.3"/>
    <row r="34309" s="160" customFormat="1" x14ac:dyDescent="0.3"/>
    <row r="34310" s="160" customFormat="1" x14ac:dyDescent="0.3"/>
    <row r="34311" s="160" customFormat="1" x14ac:dyDescent="0.3"/>
    <row r="34312" s="160" customFormat="1" x14ac:dyDescent="0.3"/>
    <row r="34313" s="160" customFormat="1" x14ac:dyDescent="0.3"/>
    <row r="34314" s="160" customFormat="1" x14ac:dyDescent="0.3"/>
    <row r="34315" s="160" customFormat="1" x14ac:dyDescent="0.3"/>
    <row r="34316" s="160" customFormat="1" x14ac:dyDescent="0.3"/>
    <row r="34317" s="160" customFormat="1" x14ac:dyDescent="0.3"/>
    <row r="34318" s="160" customFormat="1" x14ac:dyDescent="0.3"/>
    <row r="34319" s="160" customFormat="1" x14ac:dyDescent="0.3"/>
    <row r="34320" s="160" customFormat="1" x14ac:dyDescent="0.3"/>
    <row r="34321" s="160" customFormat="1" x14ac:dyDescent="0.3"/>
    <row r="34322" s="160" customFormat="1" x14ac:dyDescent="0.3"/>
    <row r="34323" s="160" customFormat="1" x14ac:dyDescent="0.3"/>
    <row r="34324" s="160" customFormat="1" x14ac:dyDescent="0.3"/>
    <row r="34325" s="160" customFormat="1" x14ac:dyDescent="0.3"/>
    <row r="34326" s="160" customFormat="1" x14ac:dyDescent="0.3"/>
    <row r="34327" s="160" customFormat="1" x14ac:dyDescent="0.3"/>
    <row r="34328" s="160" customFormat="1" x14ac:dyDescent="0.3"/>
    <row r="34329" s="160" customFormat="1" x14ac:dyDescent="0.3"/>
    <row r="34330" s="160" customFormat="1" x14ac:dyDescent="0.3"/>
    <row r="34331" s="160" customFormat="1" x14ac:dyDescent="0.3"/>
    <row r="34332" s="160" customFormat="1" x14ac:dyDescent="0.3"/>
    <row r="34333" s="160" customFormat="1" x14ac:dyDescent="0.3"/>
    <row r="34334" s="160" customFormat="1" x14ac:dyDescent="0.3"/>
    <row r="34335" s="160" customFormat="1" x14ac:dyDescent="0.3"/>
    <row r="34336" s="160" customFormat="1" x14ac:dyDescent="0.3"/>
    <row r="34337" s="160" customFormat="1" x14ac:dyDescent="0.3"/>
    <row r="34338" s="160" customFormat="1" x14ac:dyDescent="0.3"/>
    <row r="34339" s="160" customFormat="1" x14ac:dyDescent="0.3"/>
    <row r="34340" s="160" customFormat="1" x14ac:dyDescent="0.3"/>
    <row r="34341" s="160" customFormat="1" x14ac:dyDescent="0.3"/>
    <row r="34342" s="160" customFormat="1" x14ac:dyDescent="0.3"/>
    <row r="34343" s="160" customFormat="1" x14ac:dyDescent="0.3"/>
    <row r="34344" s="160" customFormat="1" x14ac:dyDescent="0.3"/>
    <row r="34345" s="160" customFormat="1" x14ac:dyDescent="0.3"/>
    <row r="34346" s="160" customFormat="1" x14ac:dyDescent="0.3"/>
    <row r="34347" s="160" customFormat="1" x14ac:dyDescent="0.3"/>
    <row r="34348" s="160" customFormat="1" x14ac:dyDescent="0.3"/>
    <row r="34349" s="160" customFormat="1" x14ac:dyDescent="0.3"/>
    <row r="34350" s="160" customFormat="1" x14ac:dyDescent="0.3"/>
    <row r="34351" s="160" customFormat="1" x14ac:dyDescent="0.3"/>
    <row r="34352" s="160" customFormat="1" x14ac:dyDescent="0.3"/>
    <row r="34353" s="160" customFormat="1" x14ac:dyDescent="0.3"/>
    <row r="34354" s="160" customFormat="1" x14ac:dyDescent="0.3"/>
    <row r="34355" s="160" customFormat="1" x14ac:dyDescent="0.3"/>
    <row r="34356" s="160" customFormat="1" x14ac:dyDescent="0.3"/>
    <row r="34357" s="160" customFormat="1" x14ac:dyDescent="0.3"/>
    <row r="34358" s="160" customFormat="1" x14ac:dyDescent="0.3"/>
    <row r="34359" s="160" customFormat="1" x14ac:dyDescent="0.3"/>
    <row r="34360" s="160" customFormat="1" x14ac:dyDescent="0.3"/>
    <row r="34361" s="160" customFormat="1" x14ac:dyDescent="0.3"/>
    <row r="34362" s="160" customFormat="1" x14ac:dyDescent="0.3"/>
    <row r="34363" s="160" customFormat="1" x14ac:dyDescent="0.3"/>
    <row r="34364" s="160" customFormat="1" x14ac:dyDescent="0.3"/>
    <row r="34365" s="160" customFormat="1" x14ac:dyDescent="0.3"/>
    <row r="34366" s="160" customFormat="1" x14ac:dyDescent="0.3"/>
    <row r="34367" s="160" customFormat="1" x14ac:dyDescent="0.3"/>
    <row r="34368" s="160" customFormat="1" x14ac:dyDescent="0.3"/>
    <row r="34369" s="160" customFormat="1" x14ac:dyDescent="0.3"/>
    <row r="34370" s="160" customFormat="1" x14ac:dyDescent="0.3"/>
    <row r="34371" s="160" customFormat="1" x14ac:dyDescent="0.3"/>
    <row r="34372" s="160" customFormat="1" x14ac:dyDescent="0.3"/>
    <row r="34373" s="160" customFormat="1" x14ac:dyDescent="0.3"/>
    <row r="34374" s="160" customFormat="1" x14ac:dyDescent="0.3"/>
    <row r="34375" s="160" customFormat="1" x14ac:dyDescent="0.3"/>
    <row r="34376" s="160" customFormat="1" x14ac:dyDescent="0.3"/>
    <row r="34377" s="160" customFormat="1" x14ac:dyDescent="0.3"/>
    <row r="34378" s="160" customFormat="1" x14ac:dyDescent="0.3"/>
    <row r="34379" s="160" customFormat="1" x14ac:dyDescent="0.3"/>
    <row r="34380" s="160" customFormat="1" x14ac:dyDescent="0.3"/>
    <row r="34381" s="160" customFormat="1" x14ac:dyDescent="0.3"/>
    <row r="34382" s="160" customFormat="1" x14ac:dyDescent="0.3"/>
    <row r="34383" s="160" customFormat="1" x14ac:dyDescent="0.3"/>
    <row r="34384" s="160" customFormat="1" x14ac:dyDescent="0.3"/>
    <row r="34385" s="160" customFormat="1" x14ac:dyDescent="0.3"/>
    <row r="34386" s="160" customFormat="1" x14ac:dyDescent="0.3"/>
    <row r="34387" s="160" customFormat="1" x14ac:dyDescent="0.3"/>
    <row r="34388" s="160" customFormat="1" x14ac:dyDescent="0.3"/>
    <row r="34389" s="160" customFormat="1" x14ac:dyDescent="0.3"/>
    <row r="34390" s="160" customFormat="1" x14ac:dyDescent="0.3"/>
    <row r="34391" s="160" customFormat="1" x14ac:dyDescent="0.3"/>
    <row r="34392" s="160" customFormat="1" x14ac:dyDescent="0.3"/>
    <row r="34393" s="160" customFormat="1" x14ac:dyDescent="0.3"/>
    <row r="34394" s="160" customFormat="1" x14ac:dyDescent="0.3"/>
    <row r="34395" s="160" customFormat="1" x14ac:dyDescent="0.3"/>
    <row r="34396" s="160" customFormat="1" x14ac:dyDescent="0.3"/>
    <row r="34397" s="160" customFormat="1" x14ac:dyDescent="0.3"/>
    <row r="34398" s="160" customFormat="1" x14ac:dyDescent="0.3"/>
    <row r="34399" s="160" customFormat="1" x14ac:dyDescent="0.3"/>
    <row r="34400" s="160" customFormat="1" x14ac:dyDescent="0.3"/>
    <row r="34401" s="160" customFormat="1" x14ac:dyDescent="0.3"/>
    <row r="34402" s="160" customFormat="1" x14ac:dyDescent="0.3"/>
    <row r="34403" s="160" customFormat="1" x14ac:dyDescent="0.3"/>
    <row r="34404" s="160" customFormat="1" x14ac:dyDescent="0.3"/>
    <row r="34405" s="160" customFormat="1" x14ac:dyDescent="0.3"/>
    <row r="34406" s="160" customFormat="1" x14ac:dyDescent="0.3"/>
    <row r="34407" s="160" customFormat="1" x14ac:dyDescent="0.3"/>
    <row r="34408" s="160" customFormat="1" x14ac:dyDescent="0.3"/>
    <row r="34409" s="160" customFormat="1" x14ac:dyDescent="0.3"/>
    <row r="34410" s="160" customFormat="1" x14ac:dyDescent="0.3"/>
    <row r="34411" s="160" customFormat="1" x14ac:dyDescent="0.3"/>
    <row r="34412" s="160" customFormat="1" x14ac:dyDescent="0.3"/>
    <row r="34413" s="160" customFormat="1" x14ac:dyDescent="0.3"/>
    <row r="34414" s="160" customFormat="1" x14ac:dyDescent="0.3"/>
    <row r="34415" s="160" customFormat="1" x14ac:dyDescent="0.3"/>
    <row r="34416" s="160" customFormat="1" x14ac:dyDescent="0.3"/>
    <row r="34417" s="160" customFormat="1" x14ac:dyDescent="0.3"/>
    <row r="34418" s="160" customFormat="1" x14ac:dyDescent="0.3"/>
    <row r="34419" s="160" customFormat="1" x14ac:dyDescent="0.3"/>
    <row r="34420" s="160" customFormat="1" x14ac:dyDescent="0.3"/>
    <row r="34421" s="160" customFormat="1" x14ac:dyDescent="0.3"/>
    <row r="34422" s="160" customFormat="1" x14ac:dyDescent="0.3"/>
    <row r="34423" s="160" customFormat="1" x14ac:dyDescent="0.3"/>
    <row r="34424" s="160" customFormat="1" x14ac:dyDescent="0.3"/>
    <row r="34425" s="160" customFormat="1" x14ac:dyDescent="0.3"/>
    <row r="34426" s="160" customFormat="1" x14ac:dyDescent="0.3"/>
    <row r="34427" s="160" customFormat="1" x14ac:dyDescent="0.3"/>
    <row r="34428" s="160" customFormat="1" x14ac:dyDescent="0.3"/>
    <row r="34429" s="160" customFormat="1" x14ac:dyDescent="0.3"/>
    <row r="34430" s="160" customFormat="1" x14ac:dyDescent="0.3"/>
    <row r="34431" s="160" customFormat="1" x14ac:dyDescent="0.3"/>
    <row r="34432" s="160" customFormat="1" x14ac:dyDescent="0.3"/>
    <row r="34433" s="160" customFormat="1" x14ac:dyDescent="0.3"/>
    <row r="34434" s="160" customFormat="1" x14ac:dyDescent="0.3"/>
    <row r="34435" s="160" customFormat="1" x14ac:dyDescent="0.3"/>
    <row r="34436" s="160" customFormat="1" x14ac:dyDescent="0.3"/>
    <row r="34437" s="160" customFormat="1" x14ac:dyDescent="0.3"/>
    <row r="34438" s="160" customFormat="1" x14ac:dyDescent="0.3"/>
    <row r="34439" s="160" customFormat="1" x14ac:dyDescent="0.3"/>
    <row r="34440" s="160" customFormat="1" x14ac:dyDescent="0.3"/>
    <row r="34441" s="160" customFormat="1" x14ac:dyDescent="0.3"/>
    <row r="34442" s="160" customFormat="1" x14ac:dyDescent="0.3"/>
    <row r="34443" s="160" customFormat="1" x14ac:dyDescent="0.3"/>
    <row r="34444" s="160" customFormat="1" x14ac:dyDescent="0.3"/>
    <row r="34445" s="160" customFormat="1" x14ac:dyDescent="0.3"/>
    <row r="34446" s="160" customFormat="1" x14ac:dyDescent="0.3"/>
    <row r="34447" s="160" customFormat="1" x14ac:dyDescent="0.3"/>
    <row r="34448" s="160" customFormat="1" x14ac:dyDescent="0.3"/>
    <row r="34449" s="160" customFormat="1" x14ac:dyDescent="0.3"/>
    <row r="34450" s="160" customFormat="1" x14ac:dyDescent="0.3"/>
    <row r="34451" s="160" customFormat="1" x14ac:dyDescent="0.3"/>
    <row r="34452" s="160" customFormat="1" x14ac:dyDescent="0.3"/>
    <row r="34453" s="160" customFormat="1" x14ac:dyDescent="0.3"/>
    <row r="34454" s="160" customFormat="1" x14ac:dyDescent="0.3"/>
    <row r="34455" s="160" customFormat="1" x14ac:dyDescent="0.3"/>
    <row r="34456" s="160" customFormat="1" x14ac:dyDescent="0.3"/>
    <row r="34457" s="160" customFormat="1" x14ac:dyDescent="0.3"/>
    <row r="34458" s="160" customFormat="1" x14ac:dyDescent="0.3"/>
    <row r="34459" s="160" customFormat="1" x14ac:dyDescent="0.3"/>
    <row r="34460" s="160" customFormat="1" x14ac:dyDescent="0.3"/>
    <row r="34461" s="160" customFormat="1" x14ac:dyDescent="0.3"/>
    <row r="34462" s="160" customFormat="1" x14ac:dyDescent="0.3"/>
    <row r="34463" s="160" customFormat="1" x14ac:dyDescent="0.3"/>
    <row r="34464" s="160" customFormat="1" x14ac:dyDescent="0.3"/>
    <row r="34465" s="160" customFormat="1" x14ac:dyDescent="0.3"/>
    <row r="34466" s="160" customFormat="1" x14ac:dyDescent="0.3"/>
    <row r="34467" s="160" customFormat="1" x14ac:dyDescent="0.3"/>
    <row r="34468" s="160" customFormat="1" x14ac:dyDescent="0.3"/>
    <row r="34469" s="160" customFormat="1" x14ac:dyDescent="0.3"/>
    <row r="34470" s="160" customFormat="1" x14ac:dyDescent="0.3"/>
    <row r="34471" s="160" customFormat="1" x14ac:dyDescent="0.3"/>
    <row r="34472" s="160" customFormat="1" x14ac:dyDescent="0.3"/>
    <row r="34473" s="160" customFormat="1" x14ac:dyDescent="0.3"/>
    <row r="34474" s="160" customFormat="1" x14ac:dyDescent="0.3"/>
    <row r="34475" s="160" customFormat="1" x14ac:dyDescent="0.3"/>
    <row r="34476" s="160" customFormat="1" x14ac:dyDescent="0.3"/>
    <row r="34477" s="160" customFormat="1" x14ac:dyDescent="0.3"/>
    <row r="34478" s="160" customFormat="1" x14ac:dyDescent="0.3"/>
    <row r="34479" s="160" customFormat="1" x14ac:dyDescent="0.3"/>
    <row r="34480" s="160" customFormat="1" x14ac:dyDescent="0.3"/>
    <row r="34481" s="160" customFormat="1" x14ac:dyDescent="0.3"/>
    <row r="34482" s="160" customFormat="1" x14ac:dyDescent="0.3"/>
    <row r="34483" s="160" customFormat="1" x14ac:dyDescent="0.3"/>
    <row r="34484" s="160" customFormat="1" x14ac:dyDescent="0.3"/>
    <row r="34485" s="160" customFormat="1" x14ac:dyDescent="0.3"/>
    <row r="34486" s="160" customFormat="1" x14ac:dyDescent="0.3"/>
    <row r="34487" s="160" customFormat="1" x14ac:dyDescent="0.3"/>
    <row r="34488" s="160" customFormat="1" x14ac:dyDescent="0.3"/>
    <row r="34489" s="160" customFormat="1" x14ac:dyDescent="0.3"/>
    <row r="34490" s="160" customFormat="1" x14ac:dyDescent="0.3"/>
    <row r="34491" s="160" customFormat="1" x14ac:dyDescent="0.3"/>
    <row r="34492" s="160" customFormat="1" x14ac:dyDescent="0.3"/>
    <row r="34493" s="160" customFormat="1" x14ac:dyDescent="0.3"/>
    <row r="34494" s="160" customFormat="1" x14ac:dyDescent="0.3"/>
    <row r="34495" s="160" customFormat="1" x14ac:dyDescent="0.3"/>
    <row r="34496" s="160" customFormat="1" x14ac:dyDescent="0.3"/>
    <row r="34497" s="160" customFormat="1" x14ac:dyDescent="0.3"/>
    <row r="34498" s="160" customFormat="1" x14ac:dyDescent="0.3"/>
    <row r="34499" s="160" customFormat="1" x14ac:dyDescent="0.3"/>
    <row r="34500" s="160" customFormat="1" x14ac:dyDescent="0.3"/>
    <row r="34501" s="160" customFormat="1" x14ac:dyDescent="0.3"/>
    <row r="34502" s="160" customFormat="1" x14ac:dyDescent="0.3"/>
    <row r="34503" s="160" customFormat="1" x14ac:dyDescent="0.3"/>
    <row r="34504" s="160" customFormat="1" x14ac:dyDescent="0.3"/>
    <row r="34505" s="160" customFormat="1" x14ac:dyDescent="0.3"/>
    <row r="34506" s="160" customFormat="1" x14ac:dyDescent="0.3"/>
    <row r="34507" s="160" customFormat="1" x14ac:dyDescent="0.3"/>
    <row r="34508" s="160" customFormat="1" x14ac:dyDescent="0.3"/>
    <row r="34509" s="160" customFormat="1" x14ac:dyDescent="0.3"/>
    <row r="34510" s="160" customFormat="1" x14ac:dyDescent="0.3"/>
    <row r="34511" s="160" customFormat="1" x14ac:dyDescent="0.3"/>
    <row r="34512" s="160" customFormat="1" x14ac:dyDescent="0.3"/>
    <row r="34513" s="160" customFormat="1" x14ac:dyDescent="0.3"/>
    <row r="34514" s="160" customFormat="1" x14ac:dyDescent="0.3"/>
    <row r="34515" s="160" customFormat="1" x14ac:dyDescent="0.3"/>
    <row r="34516" s="160" customFormat="1" x14ac:dyDescent="0.3"/>
    <row r="34517" s="160" customFormat="1" x14ac:dyDescent="0.3"/>
    <row r="34518" s="160" customFormat="1" x14ac:dyDescent="0.3"/>
    <row r="34519" s="160" customFormat="1" x14ac:dyDescent="0.3"/>
    <row r="34520" s="160" customFormat="1" x14ac:dyDescent="0.3"/>
    <row r="34521" s="160" customFormat="1" x14ac:dyDescent="0.3"/>
    <row r="34522" s="160" customFormat="1" x14ac:dyDescent="0.3"/>
    <row r="34523" s="160" customFormat="1" x14ac:dyDescent="0.3"/>
    <row r="34524" s="160" customFormat="1" x14ac:dyDescent="0.3"/>
    <row r="34525" s="160" customFormat="1" x14ac:dyDescent="0.3"/>
    <row r="34526" s="160" customFormat="1" x14ac:dyDescent="0.3"/>
    <row r="34527" s="160" customFormat="1" x14ac:dyDescent="0.3"/>
    <row r="34528" s="160" customFormat="1" x14ac:dyDescent="0.3"/>
    <row r="34529" s="160" customFormat="1" x14ac:dyDescent="0.3"/>
    <row r="34530" s="160" customFormat="1" x14ac:dyDescent="0.3"/>
    <row r="34531" s="160" customFormat="1" x14ac:dyDescent="0.3"/>
    <row r="34532" s="160" customFormat="1" x14ac:dyDescent="0.3"/>
    <row r="34533" s="160" customFormat="1" x14ac:dyDescent="0.3"/>
    <row r="34534" s="160" customFormat="1" x14ac:dyDescent="0.3"/>
    <row r="34535" s="160" customFormat="1" x14ac:dyDescent="0.3"/>
    <row r="34536" s="160" customFormat="1" x14ac:dyDescent="0.3"/>
    <row r="34537" s="160" customFormat="1" x14ac:dyDescent="0.3"/>
    <row r="34538" s="160" customFormat="1" x14ac:dyDescent="0.3"/>
    <row r="34539" s="160" customFormat="1" x14ac:dyDescent="0.3"/>
    <row r="34540" s="160" customFormat="1" x14ac:dyDescent="0.3"/>
    <row r="34541" s="160" customFormat="1" x14ac:dyDescent="0.3"/>
    <row r="34542" s="160" customFormat="1" x14ac:dyDescent="0.3"/>
    <row r="34543" s="160" customFormat="1" x14ac:dyDescent="0.3"/>
    <row r="34544" s="160" customFormat="1" x14ac:dyDescent="0.3"/>
    <row r="34545" s="160" customFormat="1" x14ac:dyDescent="0.3"/>
    <row r="34546" s="160" customFormat="1" x14ac:dyDescent="0.3"/>
    <row r="34547" s="160" customFormat="1" x14ac:dyDescent="0.3"/>
    <row r="34548" s="160" customFormat="1" x14ac:dyDescent="0.3"/>
    <row r="34549" s="160" customFormat="1" x14ac:dyDescent="0.3"/>
    <row r="34550" s="160" customFormat="1" x14ac:dyDescent="0.3"/>
    <row r="34551" s="160" customFormat="1" x14ac:dyDescent="0.3"/>
    <row r="34552" s="160" customFormat="1" x14ac:dyDescent="0.3"/>
    <row r="34553" s="160" customFormat="1" x14ac:dyDescent="0.3"/>
    <row r="34554" s="160" customFormat="1" x14ac:dyDescent="0.3"/>
    <row r="34555" s="160" customFormat="1" x14ac:dyDescent="0.3"/>
    <row r="34556" s="160" customFormat="1" x14ac:dyDescent="0.3"/>
    <row r="34557" s="160" customFormat="1" x14ac:dyDescent="0.3"/>
    <row r="34558" s="160" customFormat="1" x14ac:dyDescent="0.3"/>
    <row r="34559" s="160" customFormat="1" x14ac:dyDescent="0.3"/>
    <row r="34560" s="160" customFormat="1" x14ac:dyDescent="0.3"/>
    <row r="34561" s="160" customFormat="1" x14ac:dyDescent="0.3"/>
    <row r="34562" s="160" customFormat="1" x14ac:dyDescent="0.3"/>
    <row r="34563" s="160" customFormat="1" x14ac:dyDescent="0.3"/>
    <row r="34564" s="160" customFormat="1" x14ac:dyDescent="0.3"/>
    <row r="34565" s="160" customFormat="1" x14ac:dyDescent="0.3"/>
    <row r="34566" s="160" customFormat="1" x14ac:dyDescent="0.3"/>
    <row r="34567" s="160" customFormat="1" x14ac:dyDescent="0.3"/>
    <row r="34568" s="160" customFormat="1" x14ac:dyDescent="0.3"/>
    <row r="34569" s="160" customFormat="1" x14ac:dyDescent="0.3"/>
    <row r="34570" s="160" customFormat="1" x14ac:dyDescent="0.3"/>
    <row r="34571" s="160" customFormat="1" x14ac:dyDescent="0.3"/>
    <row r="34572" s="160" customFormat="1" x14ac:dyDescent="0.3"/>
    <row r="34573" s="160" customFormat="1" x14ac:dyDescent="0.3"/>
    <row r="34574" s="160" customFormat="1" x14ac:dyDescent="0.3"/>
    <row r="34575" s="160" customFormat="1" x14ac:dyDescent="0.3"/>
    <row r="34576" s="160" customFormat="1" x14ac:dyDescent="0.3"/>
    <row r="34577" s="160" customFormat="1" x14ac:dyDescent="0.3"/>
    <row r="34578" s="160" customFormat="1" x14ac:dyDescent="0.3"/>
    <row r="34579" s="160" customFormat="1" x14ac:dyDescent="0.3"/>
    <row r="34580" s="160" customFormat="1" x14ac:dyDescent="0.3"/>
    <row r="34581" s="160" customFormat="1" x14ac:dyDescent="0.3"/>
    <row r="34582" s="160" customFormat="1" x14ac:dyDescent="0.3"/>
    <row r="34583" s="160" customFormat="1" x14ac:dyDescent="0.3"/>
    <row r="34584" s="160" customFormat="1" x14ac:dyDescent="0.3"/>
    <row r="34585" s="160" customFormat="1" x14ac:dyDescent="0.3"/>
    <row r="34586" s="160" customFormat="1" x14ac:dyDescent="0.3"/>
    <row r="34587" s="160" customFormat="1" x14ac:dyDescent="0.3"/>
    <row r="34588" s="160" customFormat="1" x14ac:dyDescent="0.3"/>
    <row r="34589" s="160" customFormat="1" x14ac:dyDescent="0.3"/>
    <row r="34590" s="160" customFormat="1" x14ac:dyDescent="0.3"/>
    <row r="34591" s="160" customFormat="1" x14ac:dyDescent="0.3"/>
    <row r="34592" s="160" customFormat="1" x14ac:dyDescent="0.3"/>
    <row r="34593" s="160" customFormat="1" x14ac:dyDescent="0.3"/>
    <row r="34594" s="160" customFormat="1" x14ac:dyDescent="0.3"/>
    <row r="34595" s="160" customFormat="1" x14ac:dyDescent="0.3"/>
    <row r="34596" s="160" customFormat="1" x14ac:dyDescent="0.3"/>
    <row r="34597" s="160" customFormat="1" x14ac:dyDescent="0.3"/>
    <row r="34598" s="160" customFormat="1" x14ac:dyDescent="0.3"/>
    <row r="34599" s="160" customFormat="1" x14ac:dyDescent="0.3"/>
    <row r="34600" s="160" customFormat="1" x14ac:dyDescent="0.3"/>
    <row r="34601" s="160" customFormat="1" x14ac:dyDescent="0.3"/>
    <row r="34602" s="160" customFormat="1" x14ac:dyDescent="0.3"/>
    <row r="34603" s="160" customFormat="1" x14ac:dyDescent="0.3"/>
    <row r="34604" s="160" customFormat="1" x14ac:dyDescent="0.3"/>
    <row r="34605" s="160" customFormat="1" x14ac:dyDescent="0.3"/>
    <row r="34606" s="160" customFormat="1" x14ac:dyDescent="0.3"/>
    <row r="34607" s="160" customFormat="1" x14ac:dyDescent="0.3"/>
    <row r="34608" s="160" customFormat="1" x14ac:dyDescent="0.3"/>
    <row r="34609" s="160" customFormat="1" x14ac:dyDescent="0.3"/>
    <row r="34610" s="160" customFormat="1" x14ac:dyDescent="0.3"/>
    <row r="34611" s="160" customFormat="1" x14ac:dyDescent="0.3"/>
    <row r="34612" s="160" customFormat="1" x14ac:dyDescent="0.3"/>
    <row r="34613" s="160" customFormat="1" x14ac:dyDescent="0.3"/>
    <row r="34614" s="160" customFormat="1" x14ac:dyDescent="0.3"/>
    <row r="34615" s="160" customFormat="1" x14ac:dyDescent="0.3"/>
    <row r="34616" s="160" customFormat="1" x14ac:dyDescent="0.3"/>
    <row r="34617" s="160" customFormat="1" x14ac:dyDescent="0.3"/>
    <row r="34618" s="160" customFormat="1" x14ac:dyDescent="0.3"/>
    <row r="34619" s="160" customFormat="1" x14ac:dyDescent="0.3"/>
    <row r="34620" s="160" customFormat="1" x14ac:dyDescent="0.3"/>
    <row r="34621" s="160" customFormat="1" x14ac:dyDescent="0.3"/>
    <row r="34622" s="160" customFormat="1" x14ac:dyDescent="0.3"/>
    <row r="34623" s="160" customFormat="1" x14ac:dyDescent="0.3"/>
    <row r="34624" s="160" customFormat="1" x14ac:dyDescent="0.3"/>
    <row r="34625" s="160" customFormat="1" x14ac:dyDescent="0.3"/>
    <row r="34626" s="160" customFormat="1" x14ac:dyDescent="0.3"/>
    <row r="34627" s="160" customFormat="1" x14ac:dyDescent="0.3"/>
    <row r="34628" s="160" customFormat="1" x14ac:dyDescent="0.3"/>
    <row r="34629" s="160" customFormat="1" x14ac:dyDescent="0.3"/>
    <row r="34630" s="160" customFormat="1" x14ac:dyDescent="0.3"/>
    <row r="34631" s="160" customFormat="1" x14ac:dyDescent="0.3"/>
    <row r="34632" s="160" customFormat="1" x14ac:dyDescent="0.3"/>
    <row r="34633" s="160" customFormat="1" x14ac:dyDescent="0.3"/>
    <row r="34634" s="160" customFormat="1" x14ac:dyDescent="0.3"/>
    <row r="34635" s="160" customFormat="1" x14ac:dyDescent="0.3"/>
    <row r="34636" s="160" customFormat="1" x14ac:dyDescent="0.3"/>
    <row r="34637" s="160" customFormat="1" x14ac:dyDescent="0.3"/>
    <row r="34638" s="160" customFormat="1" x14ac:dyDescent="0.3"/>
    <row r="34639" s="160" customFormat="1" x14ac:dyDescent="0.3"/>
    <row r="34640" s="160" customFormat="1" x14ac:dyDescent="0.3"/>
    <row r="34641" s="160" customFormat="1" x14ac:dyDescent="0.3"/>
    <row r="34642" s="160" customFormat="1" x14ac:dyDescent="0.3"/>
    <row r="34643" s="160" customFormat="1" x14ac:dyDescent="0.3"/>
    <row r="34644" s="160" customFormat="1" x14ac:dyDescent="0.3"/>
    <row r="34645" s="160" customFormat="1" x14ac:dyDescent="0.3"/>
    <row r="34646" s="160" customFormat="1" x14ac:dyDescent="0.3"/>
    <row r="34647" s="160" customFormat="1" x14ac:dyDescent="0.3"/>
    <row r="34648" s="160" customFormat="1" x14ac:dyDescent="0.3"/>
    <row r="34649" s="160" customFormat="1" x14ac:dyDescent="0.3"/>
    <row r="34650" s="160" customFormat="1" x14ac:dyDescent="0.3"/>
    <row r="34651" s="160" customFormat="1" x14ac:dyDescent="0.3"/>
    <row r="34652" s="160" customFormat="1" x14ac:dyDescent="0.3"/>
    <row r="34653" s="160" customFormat="1" x14ac:dyDescent="0.3"/>
    <row r="34654" s="160" customFormat="1" x14ac:dyDescent="0.3"/>
    <row r="34655" s="160" customFormat="1" x14ac:dyDescent="0.3"/>
    <row r="34656" s="160" customFormat="1" x14ac:dyDescent="0.3"/>
    <row r="34657" s="160" customFormat="1" x14ac:dyDescent="0.3"/>
    <row r="34658" s="160" customFormat="1" x14ac:dyDescent="0.3"/>
    <row r="34659" s="160" customFormat="1" x14ac:dyDescent="0.3"/>
    <row r="34660" s="160" customFormat="1" x14ac:dyDescent="0.3"/>
    <row r="34661" s="160" customFormat="1" x14ac:dyDescent="0.3"/>
    <row r="34662" s="160" customFormat="1" x14ac:dyDescent="0.3"/>
    <row r="34663" s="160" customFormat="1" x14ac:dyDescent="0.3"/>
    <row r="34664" s="160" customFormat="1" x14ac:dyDescent="0.3"/>
    <row r="34665" s="160" customFormat="1" x14ac:dyDescent="0.3"/>
    <row r="34666" s="160" customFormat="1" x14ac:dyDescent="0.3"/>
    <row r="34667" s="160" customFormat="1" x14ac:dyDescent="0.3"/>
    <row r="34668" s="160" customFormat="1" x14ac:dyDescent="0.3"/>
    <row r="34669" s="160" customFormat="1" x14ac:dyDescent="0.3"/>
    <row r="34670" s="160" customFormat="1" x14ac:dyDescent="0.3"/>
    <row r="34671" s="160" customFormat="1" x14ac:dyDescent="0.3"/>
    <row r="34672" s="160" customFormat="1" x14ac:dyDescent="0.3"/>
    <row r="34673" s="160" customFormat="1" x14ac:dyDescent="0.3"/>
    <row r="34674" s="160" customFormat="1" x14ac:dyDescent="0.3"/>
    <row r="34675" s="160" customFormat="1" x14ac:dyDescent="0.3"/>
    <row r="34676" s="160" customFormat="1" x14ac:dyDescent="0.3"/>
    <row r="34677" s="160" customFormat="1" x14ac:dyDescent="0.3"/>
    <row r="34678" s="160" customFormat="1" x14ac:dyDescent="0.3"/>
    <row r="34679" s="160" customFormat="1" x14ac:dyDescent="0.3"/>
    <row r="34680" s="160" customFormat="1" x14ac:dyDescent="0.3"/>
    <row r="34681" s="160" customFormat="1" x14ac:dyDescent="0.3"/>
    <row r="34682" s="160" customFormat="1" x14ac:dyDescent="0.3"/>
    <row r="34683" s="160" customFormat="1" x14ac:dyDescent="0.3"/>
    <row r="34684" s="160" customFormat="1" x14ac:dyDescent="0.3"/>
    <row r="34685" s="160" customFormat="1" x14ac:dyDescent="0.3"/>
    <row r="34686" s="160" customFormat="1" x14ac:dyDescent="0.3"/>
    <row r="34687" s="160" customFormat="1" x14ac:dyDescent="0.3"/>
    <row r="34688" s="160" customFormat="1" x14ac:dyDescent="0.3"/>
    <row r="34689" s="160" customFormat="1" x14ac:dyDescent="0.3"/>
    <row r="34690" s="160" customFormat="1" x14ac:dyDescent="0.3"/>
    <row r="34691" s="160" customFormat="1" x14ac:dyDescent="0.3"/>
    <row r="34692" s="160" customFormat="1" x14ac:dyDescent="0.3"/>
    <row r="34693" s="160" customFormat="1" x14ac:dyDescent="0.3"/>
    <row r="34694" s="160" customFormat="1" x14ac:dyDescent="0.3"/>
    <row r="34695" s="160" customFormat="1" x14ac:dyDescent="0.3"/>
    <row r="34696" s="160" customFormat="1" x14ac:dyDescent="0.3"/>
    <row r="34697" s="160" customFormat="1" x14ac:dyDescent="0.3"/>
    <row r="34698" s="160" customFormat="1" x14ac:dyDescent="0.3"/>
    <row r="34699" s="160" customFormat="1" x14ac:dyDescent="0.3"/>
    <row r="34700" s="160" customFormat="1" x14ac:dyDescent="0.3"/>
    <row r="34701" s="160" customFormat="1" x14ac:dyDescent="0.3"/>
    <row r="34702" s="160" customFormat="1" x14ac:dyDescent="0.3"/>
    <row r="34703" s="160" customFormat="1" x14ac:dyDescent="0.3"/>
    <row r="34704" s="160" customFormat="1" x14ac:dyDescent="0.3"/>
    <row r="34705" s="160" customFormat="1" x14ac:dyDescent="0.3"/>
    <row r="34706" s="160" customFormat="1" x14ac:dyDescent="0.3"/>
    <row r="34707" s="160" customFormat="1" x14ac:dyDescent="0.3"/>
    <row r="34708" s="160" customFormat="1" x14ac:dyDescent="0.3"/>
    <row r="34709" s="160" customFormat="1" x14ac:dyDescent="0.3"/>
    <row r="34710" s="160" customFormat="1" x14ac:dyDescent="0.3"/>
    <row r="34711" s="160" customFormat="1" x14ac:dyDescent="0.3"/>
    <row r="34712" s="160" customFormat="1" x14ac:dyDescent="0.3"/>
    <row r="34713" s="160" customFormat="1" x14ac:dyDescent="0.3"/>
    <row r="34714" s="160" customFormat="1" x14ac:dyDescent="0.3"/>
    <row r="34715" s="160" customFormat="1" x14ac:dyDescent="0.3"/>
    <row r="34716" s="160" customFormat="1" x14ac:dyDescent="0.3"/>
    <row r="34717" s="160" customFormat="1" x14ac:dyDescent="0.3"/>
    <row r="34718" s="160" customFormat="1" x14ac:dyDescent="0.3"/>
    <row r="34719" s="160" customFormat="1" x14ac:dyDescent="0.3"/>
    <row r="34720" s="160" customFormat="1" x14ac:dyDescent="0.3"/>
    <row r="34721" s="160" customFormat="1" x14ac:dyDescent="0.3"/>
    <row r="34722" s="160" customFormat="1" x14ac:dyDescent="0.3"/>
    <row r="34723" s="160" customFormat="1" x14ac:dyDescent="0.3"/>
    <row r="34724" s="160" customFormat="1" x14ac:dyDescent="0.3"/>
    <row r="34725" s="160" customFormat="1" x14ac:dyDescent="0.3"/>
    <row r="34726" s="160" customFormat="1" x14ac:dyDescent="0.3"/>
    <row r="34727" s="160" customFormat="1" x14ac:dyDescent="0.3"/>
    <row r="34728" s="160" customFormat="1" x14ac:dyDescent="0.3"/>
    <row r="34729" s="160" customFormat="1" x14ac:dyDescent="0.3"/>
    <row r="34730" s="160" customFormat="1" x14ac:dyDescent="0.3"/>
    <row r="34731" s="160" customFormat="1" x14ac:dyDescent="0.3"/>
    <row r="34732" s="160" customFormat="1" x14ac:dyDescent="0.3"/>
    <row r="34733" s="160" customFormat="1" x14ac:dyDescent="0.3"/>
    <row r="34734" s="160" customFormat="1" x14ac:dyDescent="0.3"/>
    <row r="34735" s="160" customFormat="1" x14ac:dyDescent="0.3"/>
    <row r="34736" s="160" customFormat="1" x14ac:dyDescent="0.3"/>
    <row r="34737" s="160" customFormat="1" x14ac:dyDescent="0.3"/>
    <row r="34738" s="160" customFormat="1" x14ac:dyDescent="0.3"/>
    <row r="34739" s="160" customFormat="1" x14ac:dyDescent="0.3"/>
    <row r="34740" s="160" customFormat="1" x14ac:dyDescent="0.3"/>
    <row r="34741" s="160" customFormat="1" x14ac:dyDescent="0.3"/>
    <row r="34742" s="160" customFormat="1" x14ac:dyDescent="0.3"/>
    <row r="34743" s="160" customFormat="1" x14ac:dyDescent="0.3"/>
    <row r="34744" s="160" customFormat="1" x14ac:dyDescent="0.3"/>
    <row r="34745" s="160" customFormat="1" x14ac:dyDescent="0.3"/>
    <row r="34746" s="160" customFormat="1" x14ac:dyDescent="0.3"/>
    <row r="34747" s="160" customFormat="1" x14ac:dyDescent="0.3"/>
    <row r="34748" s="160" customFormat="1" x14ac:dyDescent="0.3"/>
    <row r="34749" s="160" customFormat="1" x14ac:dyDescent="0.3"/>
    <row r="34750" s="160" customFormat="1" x14ac:dyDescent="0.3"/>
    <row r="34751" s="160" customFormat="1" x14ac:dyDescent="0.3"/>
    <row r="34752" s="160" customFormat="1" x14ac:dyDescent="0.3"/>
    <row r="34753" s="160" customFormat="1" x14ac:dyDescent="0.3"/>
    <row r="34754" s="160" customFormat="1" x14ac:dyDescent="0.3"/>
    <row r="34755" s="160" customFormat="1" x14ac:dyDescent="0.3"/>
    <row r="34756" s="160" customFormat="1" x14ac:dyDescent="0.3"/>
    <row r="34757" s="160" customFormat="1" x14ac:dyDescent="0.3"/>
    <row r="34758" s="160" customFormat="1" x14ac:dyDescent="0.3"/>
    <row r="34759" s="160" customFormat="1" x14ac:dyDescent="0.3"/>
    <row r="34760" s="160" customFormat="1" x14ac:dyDescent="0.3"/>
    <row r="34761" s="160" customFormat="1" x14ac:dyDescent="0.3"/>
    <row r="34762" s="160" customFormat="1" x14ac:dyDescent="0.3"/>
    <row r="34763" s="160" customFormat="1" x14ac:dyDescent="0.3"/>
    <row r="34764" s="160" customFormat="1" x14ac:dyDescent="0.3"/>
    <row r="34765" s="160" customFormat="1" x14ac:dyDescent="0.3"/>
    <row r="34766" s="160" customFormat="1" x14ac:dyDescent="0.3"/>
    <row r="34767" s="160" customFormat="1" x14ac:dyDescent="0.3"/>
    <row r="34768" s="160" customFormat="1" x14ac:dyDescent="0.3"/>
    <row r="34769" s="160" customFormat="1" x14ac:dyDescent="0.3"/>
    <row r="34770" s="160" customFormat="1" x14ac:dyDescent="0.3"/>
    <row r="34771" s="160" customFormat="1" x14ac:dyDescent="0.3"/>
    <row r="34772" s="160" customFormat="1" x14ac:dyDescent="0.3"/>
    <row r="34773" s="160" customFormat="1" x14ac:dyDescent="0.3"/>
    <row r="34774" s="160" customFormat="1" x14ac:dyDescent="0.3"/>
    <row r="34775" s="160" customFormat="1" x14ac:dyDescent="0.3"/>
    <row r="34776" s="160" customFormat="1" x14ac:dyDescent="0.3"/>
    <row r="34777" s="160" customFormat="1" x14ac:dyDescent="0.3"/>
    <row r="34778" s="160" customFormat="1" x14ac:dyDescent="0.3"/>
    <row r="34779" s="160" customFormat="1" x14ac:dyDescent="0.3"/>
    <row r="34780" s="160" customFormat="1" x14ac:dyDescent="0.3"/>
    <row r="34781" s="160" customFormat="1" x14ac:dyDescent="0.3"/>
    <row r="34782" s="160" customFormat="1" x14ac:dyDescent="0.3"/>
    <row r="34783" s="160" customFormat="1" x14ac:dyDescent="0.3"/>
    <row r="34784" s="160" customFormat="1" x14ac:dyDescent="0.3"/>
    <row r="34785" s="160" customFormat="1" x14ac:dyDescent="0.3"/>
    <row r="34786" s="160" customFormat="1" x14ac:dyDescent="0.3"/>
    <row r="34787" s="160" customFormat="1" x14ac:dyDescent="0.3"/>
    <row r="34788" s="160" customFormat="1" x14ac:dyDescent="0.3"/>
    <row r="34789" s="160" customFormat="1" x14ac:dyDescent="0.3"/>
    <row r="34790" s="160" customFormat="1" x14ac:dyDescent="0.3"/>
    <row r="34791" s="160" customFormat="1" x14ac:dyDescent="0.3"/>
    <row r="34792" s="160" customFormat="1" x14ac:dyDescent="0.3"/>
    <row r="34793" s="160" customFormat="1" x14ac:dyDescent="0.3"/>
    <row r="34794" s="160" customFormat="1" x14ac:dyDescent="0.3"/>
    <row r="34795" s="160" customFormat="1" x14ac:dyDescent="0.3"/>
    <row r="34796" s="160" customFormat="1" x14ac:dyDescent="0.3"/>
    <row r="34797" s="160" customFormat="1" x14ac:dyDescent="0.3"/>
    <row r="34798" s="160" customFormat="1" x14ac:dyDescent="0.3"/>
    <row r="34799" s="160" customFormat="1" x14ac:dyDescent="0.3"/>
    <row r="34800" s="160" customFormat="1" x14ac:dyDescent="0.3"/>
    <row r="34801" s="160" customFormat="1" x14ac:dyDescent="0.3"/>
    <row r="34802" s="160" customFormat="1" x14ac:dyDescent="0.3"/>
    <row r="34803" s="160" customFormat="1" x14ac:dyDescent="0.3"/>
    <row r="34804" s="160" customFormat="1" x14ac:dyDescent="0.3"/>
    <row r="34805" s="160" customFormat="1" x14ac:dyDescent="0.3"/>
    <row r="34806" s="160" customFormat="1" x14ac:dyDescent="0.3"/>
    <row r="34807" s="160" customFormat="1" x14ac:dyDescent="0.3"/>
    <row r="34808" s="160" customFormat="1" x14ac:dyDescent="0.3"/>
    <row r="34809" s="160" customFormat="1" x14ac:dyDescent="0.3"/>
    <row r="34810" s="160" customFormat="1" x14ac:dyDescent="0.3"/>
    <row r="34811" s="160" customFormat="1" x14ac:dyDescent="0.3"/>
    <row r="34812" s="160" customFormat="1" x14ac:dyDescent="0.3"/>
    <row r="34813" s="160" customFormat="1" x14ac:dyDescent="0.3"/>
    <row r="34814" s="160" customFormat="1" x14ac:dyDescent="0.3"/>
    <row r="34815" s="160" customFormat="1" x14ac:dyDescent="0.3"/>
    <row r="34816" s="160" customFormat="1" x14ac:dyDescent="0.3"/>
    <row r="34817" s="160" customFormat="1" x14ac:dyDescent="0.3"/>
    <row r="34818" s="160" customFormat="1" x14ac:dyDescent="0.3"/>
    <row r="34819" s="160" customFormat="1" x14ac:dyDescent="0.3"/>
    <row r="34820" s="160" customFormat="1" x14ac:dyDescent="0.3"/>
    <row r="34821" s="160" customFormat="1" x14ac:dyDescent="0.3"/>
    <row r="34822" s="160" customFormat="1" x14ac:dyDescent="0.3"/>
    <row r="34823" s="160" customFormat="1" x14ac:dyDescent="0.3"/>
    <row r="34824" s="160" customFormat="1" x14ac:dyDescent="0.3"/>
    <row r="34825" s="160" customFormat="1" x14ac:dyDescent="0.3"/>
    <row r="34826" s="160" customFormat="1" x14ac:dyDescent="0.3"/>
    <row r="34827" s="160" customFormat="1" x14ac:dyDescent="0.3"/>
    <row r="34828" s="160" customFormat="1" x14ac:dyDescent="0.3"/>
    <row r="34829" s="160" customFormat="1" x14ac:dyDescent="0.3"/>
    <row r="34830" s="160" customFormat="1" x14ac:dyDescent="0.3"/>
    <row r="34831" s="160" customFormat="1" x14ac:dyDescent="0.3"/>
    <row r="34832" s="160" customFormat="1" x14ac:dyDescent="0.3"/>
    <row r="34833" s="160" customFormat="1" x14ac:dyDescent="0.3"/>
    <row r="34834" s="160" customFormat="1" x14ac:dyDescent="0.3"/>
    <row r="34835" s="160" customFormat="1" x14ac:dyDescent="0.3"/>
    <row r="34836" s="160" customFormat="1" x14ac:dyDescent="0.3"/>
    <row r="34837" s="160" customFormat="1" x14ac:dyDescent="0.3"/>
    <row r="34838" s="160" customFormat="1" x14ac:dyDescent="0.3"/>
    <row r="34839" s="160" customFormat="1" x14ac:dyDescent="0.3"/>
    <row r="34840" s="160" customFormat="1" x14ac:dyDescent="0.3"/>
    <row r="34841" s="160" customFormat="1" x14ac:dyDescent="0.3"/>
    <row r="34842" s="160" customFormat="1" x14ac:dyDescent="0.3"/>
    <row r="34843" s="160" customFormat="1" x14ac:dyDescent="0.3"/>
    <row r="34844" s="160" customFormat="1" x14ac:dyDescent="0.3"/>
    <row r="34845" s="160" customFormat="1" x14ac:dyDescent="0.3"/>
    <row r="34846" s="160" customFormat="1" x14ac:dyDescent="0.3"/>
    <row r="34847" s="160" customFormat="1" x14ac:dyDescent="0.3"/>
    <row r="34848" s="160" customFormat="1" x14ac:dyDescent="0.3"/>
    <row r="34849" s="160" customFormat="1" x14ac:dyDescent="0.3"/>
    <row r="34850" s="160" customFormat="1" x14ac:dyDescent="0.3"/>
    <row r="34851" s="160" customFormat="1" x14ac:dyDescent="0.3"/>
    <row r="34852" s="160" customFormat="1" x14ac:dyDescent="0.3"/>
    <row r="34853" s="160" customFormat="1" x14ac:dyDescent="0.3"/>
    <row r="34854" s="160" customFormat="1" x14ac:dyDescent="0.3"/>
    <row r="34855" s="160" customFormat="1" x14ac:dyDescent="0.3"/>
    <row r="34856" s="160" customFormat="1" x14ac:dyDescent="0.3"/>
    <row r="34857" s="160" customFormat="1" x14ac:dyDescent="0.3"/>
    <row r="34858" s="160" customFormat="1" x14ac:dyDescent="0.3"/>
    <row r="34859" s="160" customFormat="1" x14ac:dyDescent="0.3"/>
    <row r="34860" s="160" customFormat="1" x14ac:dyDescent="0.3"/>
    <row r="34861" s="160" customFormat="1" x14ac:dyDescent="0.3"/>
    <row r="34862" s="160" customFormat="1" x14ac:dyDescent="0.3"/>
    <row r="34863" s="160" customFormat="1" x14ac:dyDescent="0.3"/>
    <row r="34864" s="160" customFormat="1" x14ac:dyDescent="0.3"/>
    <row r="34865" s="160" customFormat="1" x14ac:dyDescent="0.3"/>
    <row r="34866" s="160" customFormat="1" x14ac:dyDescent="0.3"/>
    <row r="34867" s="160" customFormat="1" x14ac:dyDescent="0.3"/>
    <row r="34868" s="160" customFormat="1" x14ac:dyDescent="0.3"/>
    <row r="34869" s="160" customFormat="1" x14ac:dyDescent="0.3"/>
    <row r="34870" s="160" customFormat="1" x14ac:dyDescent="0.3"/>
    <row r="34871" s="160" customFormat="1" x14ac:dyDescent="0.3"/>
    <row r="34872" s="160" customFormat="1" x14ac:dyDescent="0.3"/>
    <row r="34873" s="160" customFormat="1" x14ac:dyDescent="0.3"/>
    <row r="34874" s="160" customFormat="1" x14ac:dyDescent="0.3"/>
    <row r="34875" s="160" customFormat="1" x14ac:dyDescent="0.3"/>
    <row r="34876" s="160" customFormat="1" x14ac:dyDescent="0.3"/>
    <row r="34877" s="160" customFormat="1" x14ac:dyDescent="0.3"/>
    <row r="34878" s="160" customFormat="1" x14ac:dyDescent="0.3"/>
    <row r="34879" s="160" customFormat="1" x14ac:dyDescent="0.3"/>
    <row r="34880" s="160" customFormat="1" x14ac:dyDescent="0.3"/>
    <row r="34881" s="160" customFormat="1" x14ac:dyDescent="0.3"/>
    <row r="34882" s="160" customFormat="1" x14ac:dyDescent="0.3"/>
    <row r="34883" s="160" customFormat="1" x14ac:dyDescent="0.3"/>
    <row r="34884" s="160" customFormat="1" x14ac:dyDescent="0.3"/>
    <row r="34885" s="160" customFormat="1" x14ac:dyDescent="0.3"/>
    <row r="34886" s="160" customFormat="1" x14ac:dyDescent="0.3"/>
    <row r="34887" s="160" customFormat="1" x14ac:dyDescent="0.3"/>
    <row r="34888" s="160" customFormat="1" x14ac:dyDescent="0.3"/>
    <row r="34889" s="160" customFormat="1" x14ac:dyDescent="0.3"/>
    <row r="34890" s="160" customFormat="1" x14ac:dyDescent="0.3"/>
    <row r="34891" s="160" customFormat="1" x14ac:dyDescent="0.3"/>
    <row r="34892" s="160" customFormat="1" x14ac:dyDescent="0.3"/>
    <row r="34893" s="160" customFormat="1" x14ac:dyDescent="0.3"/>
    <row r="34894" s="160" customFormat="1" x14ac:dyDescent="0.3"/>
    <row r="34895" s="160" customFormat="1" x14ac:dyDescent="0.3"/>
    <row r="34896" s="160" customFormat="1" x14ac:dyDescent="0.3"/>
    <row r="34897" s="160" customFormat="1" x14ac:dyDescent="0.3"/>
    <row r="34898" s="160" customFormat="1" x14ac:dyDescent="0.3"/>
    <row r="34899" s="160" customFormat="1" x14ac:dyDescent="0.3"/>
    <row r="34900" s="160" customFormat="1" x14ac:dyDescent="0.3"/>
    <row r="34901" s="160" customFormat="1" x14ac:dyDescent="0.3"/>
    <row r="34902" s="160" customFormat="1" x14ac:dyDescent="0.3"/>
    <row r="34903" s="160" customFormat="1" x14ac:dyDescent="0.3"/>
    <row r="34904" s="160" customFormat="1" x14ac:dyDescent="0.3"/>
    <row r="34905" s="160" customFormat="1" x14ac:dyDescent="0.3"/>
    <row r="34906" s="160" customFormat="1" x14ac:dyDescent="0.3"/>
    <row r="34907" s="160" customFormat="1" x14ac:dyDescent="0.3"/>
    <row r="34908" s="160" customFormat="1" x14ac:dyDescent="0.3"/>
    <row r="34909" s="160" customFormat="1" x14ac:dyDescent="0.3"/>
    <row r="34910" s="160" customFormat="1" x14ac:dyDescent="0.3"/>
    <row r="34911" s="160" customFormat="1" x14ac:dyDescent="0.3"/>
    <row r="34912" s="160" customFormat="1" x14ac:dyDescent="0.3"/>
    <row r="34913" s="160" customFormat="1" x14ac:dyDescent="0.3"/>
    <row r="34914" s="160" customFormat="1" x14ac:dyDescent="0.3"/>
    <row r="34915" s="160" customFormat="1" x14ac:dyDescent="0.3"/>
    <row r="34916" s="160" customFormat="1" x14ac:dyDescent="0.3"/>
    <row r="34917" s="160" customFormat="1" x14ac:dyDescent="0.3"/>
    <row r="34918" s="160" customFormat="1" x14ac:dyDescent="0.3"/>
    <row r="34919" s="160" customFormat="1" x14ac:dyDescent="0.3"/>
    <row r="34920" s="160" customFormat="1" x14ac:dyDescent="0.3"/>
    <row r="34921" s="160" customFormat="1" x14ac:dyDescent="0.3"/>
    <row r="34922" s="160" customFormat="1" x14ac:dyDescent="0.3"/>
    <row r="34923" s="160" customFormat="1" x14ac:dyDescent="0.3"/>
    <row r="34924" s="160" customFormat="1" x14ac:dyDescent="0.3"/>
    <row r="34925" s="160" customFormat="1" x14ac:dyDescent="0.3"/>
    <row r="34926" s="160" customFormat="1" x14ac:dyDescent="0.3"/>
    <row r="34927" s="160" customFormat="1" x14ac:dyDescent="0.3"/>
    <row r="34928" s="160" customFormat="1" x14ac:dyDescent="0.3"/>
    <row r="34929" s="160" customFormat="1" x14ac:dyDescent="0.3"/>
    <row r="34930" s="160" customFormat="1" x14ac:dyDescent="0.3"/>
    <row r="34931" s="160" customFormat="1" x14ac:dyDescent="0.3"/>
    <row r="34932" s="160" customFormat="1" x14ac:dyDescent="0.3"/>
    <row r="34933" s="160" customFormat="1" x14ac:dyDescent="0.3"/>
    <row r="34934" s="160" customFormat="1" x14ac:dyDescent="0.3"/>
    <row r="34935" s="160" customFormat="1" x14ac:dyDescent="0.3"/>
    <row r="34936" s="160" customFormat="1" x14ac:dyDescent="0.3"/>
    <row r="34937" s="160" customFormat="1" x14ac:dyDescent="0.3"/>
    <row r="34938" s="160" customFormat="1" x14ac:dyDescent="0.3"/>
    <row r="34939" s="160" customFormat="1" x14ac:dyDescent="0.3"/>
    <row r="34940" s="160" customFormat="1" x14ac:dyDescent="0.3"/>
    <row r="34941" s="160" customFormat="1" x14ac:dyDescent="0.3"/>
    <row r="34942" s="160" customFormat="1" x14ac:dyDescent="0.3"/>
    <row r="34943" s="160" customFormat="1" x14ac:dyDescent="0.3"/>
    <row r="34944" s="160" customFormat="1" x14ac:dyDescent="0.3"/>
    <row r="34945" s="160" customFormat="1" x14ac:dyDescent="0.3"/>
    <row r="34946" s="160" customFormat="1" x14ac:dyDescent="0.3"/>
    <row r="34947" s="160" customFormat="1" x14ac:dyDescent="0.3"/>
    <row r="34948" s="160" customFormat="1" x14ac:dyDescent="0.3"/>
    <row r="34949" s="160" customFormat="1" x14ac:dyDescent="0.3"/>
    <row r="34950" s="160" customFormat="1" x14ac:dyDescent="0.3"/>
    <row r="34951" s="160" customFormat="1" x14ac:dyDescent="0.3"/>
    <row r="34952" s="160" customFormat="1" x14ac:dyDescent="0.3"/>
    <row r="34953" s="160" customFormat="1" x14ac:dyDescent="0.3"/>
    <row r="34954" s="160" customFormat="1" x14ac:dyDescent="0.3"/>
    <row r="34955" s="160" customFormat="1" x14ac:dyDescent="0.3"/>
    <row r="34956" s="160" customFormat="1" x14ac:dyDescent="0.3"/>
    <row r="34957" s="160" customFormat="1" x14ac:dyDescent="0.3"/>
    <row r="34958" s="160" customFormat="1" x14ac:dyDescent="0.3"/>
    <row r="34959" s="160" customFormat="1" x14ac:dyDescent="0.3"/>
    <row r="34960" s="160" customFormat="1" x14ac:dyDescent="0.3"/>
    <row r="34961" s="160" customFormat="1" x14ac:dyDescent="0.3"/>
    <row r="34962" s="160" customFormat="1" x14ac:dyDescent="0.3"/>
    <row r="34963" s="160" customFormat="1" x14ac:dyDescent="0.3"/>
    <row r="34964" s="160" customFormat="1" x14ac:dyDescent="0.3"/>
    <row r="34965" s="160" customFormat="1" x14ac:dyDescent="0.3"/>
    <row r="34966" s="160" customFormat="1" x14ac:dyDescent="0.3"/>
    <row r="34967" s="160" customFormat="1" x14ac:dyDescent="0.3"/>
    <row r="34968" s="160" customFormat="1" x14ac:dyDescent="0.3"/>
    <row r="34969" s="160" customFormat="1" x14ac:dyDescent="0.3"/>
    <row r="34970" s="160" customFormat="1" x14ac:dyDescent="0.3"/>
    <row r="34971" s="160" customFormat="1" x14ac:dyDescent="0.3"/>
    <row r="34972" s="160" customFormat="1" x14ac:dyDescent="0.3"/>
    <row r="34973" s="160" customFormat="1" x14ac:dyDescent="0.3"/>
    <row r="34974" s="160" customFormat="1" x14ac:dyDescent="0.3"/>
    <row r="34975" s="160" customFormat="1" x14ac:dyDescent="0.3"/>
    <row r="34976" s="160" customFormat="1" x14ac:dyDescent="0.3"/>
    <row r="34977" s="160" customFormat="1" x14ac:dyDescent="0.3"/>
    <row r="34978" s="160" customFormat="1" x14ac:dyDescent="0.3"/>
    <row r="34979" s="160" customFormat="1" x14ac:dyDescent="0.3"/>
    <row r="34980" s="160" customFormat="1" x14ac:dyDescent="0.3"/>
    <row r="34981" s="160" customFormat="1" x14ac:dyDescent="0.3"/>
    <row r="34982" s="160" customFormat="1" x14ac:dyDescent="0.3"/>
    <row r="34983" s="160" customFormat="1" x14ac:dyDescent="0.3"/>
    <row r="34984" s="160" customFormat="1" x14ac:dyDescent="0.3"/>
    <row r="34985" s="160" customFormat="1" x14ac:dyDescent="0.3"/>
    <row r="34986" s="160" customFormat="1" x14ac:dyDescent="0.3"/>
    <row r="34987" s="160" customFormat="1" x14ac:dyDescent="0.3"/>
    <row r="34988" s="160" customFormat="1" x14ac:dyDescent="0.3"/>
    <row r="34989" s="160" customFormat="1" x14ac:dyDescent="0.3"/>
    <row r="34990" s="160" customFormat="1" x14ac:dyDescent="0.3"/>
    <row r="34991" s="160" customFormat="1" x14ac:dyDescent="0.3"/>
    <row r="34992" s="160" customFormat="1" x14ac:dyDescent="0.3"/>
    <row r="34993" s="160" customFormat="1" x14ac:dyDescent="0.3"/>
    <row r="34994" s="160" customFormat="1" x14ac:dyDescent="0.3"/>
    <row r="34995" s="160" customFormat="1" x14ac:dyDescent="0.3"/>
    <row r="34996" s="160" customFormat="1" x14ac:dyDescent="0.3"/>
    <row r="34997" s="160" customFormat="1" x14ac:dyDescent="0.3"/>
    <row r="34998" s="160" customFormat="1" x14ac:dyDescent="0.3"/>
    <row r="34999" s="160" customFormat="1" x14ac:dyDescent="0.3"/>
    <row r="35000" s="160" customFormat="1" x14ac:dyDescent="0.3"/>
    <row r="35001" s="160" customFormat="1" x14ac:dyDescent="0.3"/>
    <row r="35002" s="160" customFormat="1" x14ac:dyDescent="0.3"/>
    <row r="35003" s="160" customFormat="1" x14ac:dyDescent="0.3"/>
    <row r="35004" s="160" customFormat="1" x14ac:dyDescent="0.3"/>
    <row r="35005" s="160" customFormat="1" x14ac:dyDescent="0.3"/>
    <row r="35006" s="160" customFormat="1" x14ac:dyDescent="0.3"/>
    <row r="35007" s="160" customFormat="1" x14ac:dyDescent="0.3"/>
    <row r="35008" s="160" customFormat="1" x14ac:dyDescent="0.3"/>
    <row r="35009" s="160" customFormat="1" x14ac:dyDescent="0.3"/>
    <row r="35010" s="160" customFormat="1" x14ac:dyDescent="0.3"/>
    <row r="35011" s="160" customFormat="1" x14ac:dyDescent="0.3"/>
    <row r="35012" s="160" customFormat="1" x14ac:dyDescent="0.3"/>
    <row r="35013" s="160" customFormat="1" x14ac:dyDescent="0.3"/>
    <row r="35014" s="160" customFormat="1" x14ac:dyDescent="0.3"/>
    <row r="35015" s="160" customFormat="1" x14ac:dyDescent="0.3"/>
    <row r="35016" s="160" customFormat="1" x14ac:dyDescent="0.3"/>
    <row r="35017" s="160" customFormat="1" x14ac:dyDescent="0.3"/>
    <row r="35018" s="160" customFormat="1" x14ac:dyDescent="0.3"/>
    <row r="35019" s="160" customFormat="1" x14ac:dyDescent="0.3"/>
    <row r="35020" s="160" customFormat="1" x14ac:dyDescent="0.3"/>
    <row r="35021" s="160" customFormat="1" x14ac:dyDescent="0.3"/>
    <row r="35022" s="160" customFormat="1" x14ac:dyDescent="0.3"/>
    <row r="35023" s="160" customFormat="1" x14ac:dyDescent="0.3"/>
    <row r="35024" s="160" customFormat="1" x14ac:dyDescent="0.3"/>
    <row r="35025" s="160" customFormat="1" x14ac:dyDescent="0.3"/>
    <row r="35026" s="160" customFormat="1" x14ac:dyDescent="0.3"/>
    <row r="35027" s="160" customFormat="1" x14ac:dyDescent="0.3"/>
    <row r="35028" s="160" customFormat="1" x14ac:dyDescent="0.3"/>
    <row r="35029" s="160" customFormat="1" x14ac:dyDescent="0.3"/>
    <row r="35030" s="160" customFormat="1" x14ac:dyDescent="0.3"/>
    <row r="35031" s="160" customFormat="1" x14ac:dyDescent="0.3"/>
    <row r="35032" s="160" customFormat="1" x14ac:dyDescent="0.3"/>
    <row r="35033" s="160" customFormat="1" x14ac:dyDescent="0.3"/>
    <row r="35034" s="160" customFormat="1" x14ac:dyDescent="0.3"/>
    <row r="35035" s="160" customFormat="1" x14ac:dyDescent="0.3"/>
    <row r="35036" s="160" customFormat="1" x14ac:dyDescent="0.3"/>
    <row r="35037" s="160" customFormat="1" x14ac:dyDescent="0.3"/>
    <row r="35038" s="160" customFormat="1" x14ac:dyDescent="0.3"/>
    <row r="35039" s="160" customFormat="1" x14ac:dyDescent="0.3"/>
    <row r="35040" s="160" customFormat="1" x14ac:dyDescent="0.3"/>
    <row r="35041" s="160" customFormat="1" x14ac:dyDescent="0.3"/>
    <row r="35042" s="160" customFormat="1" x14ac:dyDescent="0.3"/>
    <row r="35043" s="160" customFormat="1" x14ac:dyDescent="0.3"/>
    <row r="35044" s="160" customFormat="1" x14ac:dyDescent="0.3"/>
    <row r="35045" s="160" customFormat="1" x14ac:dyDescent="0.3"/>
    <row r="35046" s="160" customFormat="1" x14ac:dyDescent="0.3"/>
    <row r="35047" s="160" customFormat="1" x14ac:dyDescent="0.3"/>
    <row r="35048" s="160" customFormat="1" x14ac:dyDescent="0.3"/>
    <row r="35049" s="160" customFormat="1" x14ac:dyDescent="0.3"/>
    <row r="35050" s="160" customFormat="1" x14ac:dyDescent="0.3"/>
    <row r="35051" s="160" customFormat="1" x14ac:dyDescent="0.3"/>
    <row r="35052" s="160" customFormat="1" x14ac:dyDescent="0.3"/>
    <row r="35053" s="160" customFormat="1" x14ac:dyDescent="0.3"/>
    <row r="35054" s="160" customFormat="1" x14ac:dyDescent="0.3"/>
    <row r="35055" s="160" customFormat="1" x14ac:dyDescent="0.3"/>
    <row r="35056" s="160" customFormat="1" x14ac:dyDescent="0.3"/>
    <row r="35057" s="160" customFormat="1" x14ac:dyDescent="0.3"/>
    <row r="35058" s="160" customFormat="1" x14ac:dyDescent="0.3"/>
    <row r="35059" s="160" customFormat="1" x14ac:dyDescent="0.3"/>
    <row r="35060" s="160" customFormat="1" x14ac:dyDescent="0.3"/>
    <row r="35061" s="160" customFormat="1" x14ac:dyDescent="0.3"/>
    <row r="35062" s="160" customFormat="1" x14ac:dyDescent="0.3"/>
    <row r="35063" s="160" customFormat="1" x14ac:dyDescent="0.3"/>
    <row r="35064" s="160" customFormat="1" x14ac:dyDescent="0.3"/>
    <row r="35065" s="160" customFormat="1" x14ac:dyDescent="0.3"/>
    <row r="35066" s="160" customFormat="1" x14ac:dyDescent="0.3"/>
    <row r="35067" s="160" customFormat="1" x14ac:dyDescent="0.3"/>
    <row r="35068" s="160" customFormat="1" x14ac:dyDescent="0.3"/>
    <row r="35069" s="160" customFormat="1" x14ac:dyDescent="0.3"/>
    <row r="35070" s="160" customFormat="1" x14ac:dyDescent="0.3"/>
    <row r="35071" s="160" customFormat="1" x14ac:dyDescent="0.3"/>
    <row r="35072" s="160" customFormat="1" x14ac:dyDescent="0.3"/>
    <row r="35073" s="160" customFormat="1" x14ac:dyDescent="0.3"/>
    <row r="35074" s="160" customFormat="1" x14ac:dyDescent="0.3"/>
    <row r="35075" s="160" customFormat="1" x14ac:dyDescent="0.3"/>
    <row r="35076" s="160" customFormat="1" x14ac:dyDescent="0.3"/>
    <row r="35077" s="160" customFormat="1" x14ac:dyDescent="0.3"/>
    <row r="35078" s="160" customFormat="1" x14ac:dyDescent="0.3"/>
    <row r="35079" s="160" customFormat="1" x14ac:dyDescent="0.3"/>
    <row r="35080" s="160" customFormat="1" x14ac:dyDescent="0.3"/>
    <row r="35081" s="160" customFormat="1" x14ac:dyDescent="0.3"/>
    <row r="35082" s="160" customFormat="1" x14ac:dyDescent="0.3"/>
    <row r="35083" s="160" customFormat="1" x14ac:dyDescent="0.3"/>
    <row r="35084" s="160" customFormat="1" x14ac:dyDescent="0.3"/>
    <row r="35085" s="160" customFormat="1" x14ac:dyDescent="0.3"/>
    <row r="35086" s="160" customFormat="1" x14ac:dyDescent="0.3"/>
    <row r="35087" s="160" customFormat="1" x14ac:dyDescent="0.3"/>
    <row r="35088" s="160" customFormat="1" x14ac:dyDescent="0.3"/>
    <row r="35089" s="160" customFormat="1" x14ac:dyDescent="0.3"/>
    <row r="35090" s="160" customFormat="1" x14ac:dyDescent="0.3"/>
    <row r="35091" s="160" customFormat="1" x14ac:dyDescent="0.3"/>
    <row r="35092" s="160" customFormat="1" x14ac:dyDescent="0.3"/>
    <row r="35093" s="160" customFormat="1" x14ac:dyDescent="0.3"/>
    <row r="35094" s="160" customFormat="1" x14ac:dyDescent="0.3"/>
    <row r="35095" s="160" customFormat="1" x14ac:dyDescent="0.3"/>
    <row r="35096" s="160" customFormat="1" x14ac:dyDescent="0.3"/>
    <row r="35097" s="160" customFormat="1" x14ac:dyDescent="0.3"/>
    <row r="35098" s="160" customFormat="1" x14ac:dyDescent="0.3"/>
    <row r="35099" s="160" customFormat="1" x14ac:dyDescent="0.3"/>
    <row r="35100" s="160" customFormat="1" x14ac:dyDescent="0.3"/>
    <row r="35101" s="160" customFormat="1" x14ac:dyDescent="0.3"/>
    <row r="35102" s="160" customFormat="1" x14ac:dyDescent="0.3"/>
    <row r="35103" s="160" customFormat="1" x14ac:dyDescent="0.3"/>
    <row r="35104" s="160" customFormat="1" x14ac:dyDescent="0.3"/>
    <row r="35105" s="160" customFormat="1" x14ac:dyDescent="0.3"/>
    <row r="35106" s="160" customFormat="1" x14ac:dyDescent="0.3"/>
    <row r="35107" s="160" customFormat="1" x14ac:dyDescent="0.3"/>
    <row r="35108" s="160" customFormat="1" x14ac:dyDescent="0.3"/>
    <row r="35109" s="160" customFormat="1" x14ac:dyDescent="0.3"/>
    <row r="35110" s="160" customFormat="1" x14ac:dyDescent="0.3"/>
    <row r="35111" s="160" customFormat="1" x14ac:dyDescent="0.3"/>
    <row r="35112" s="160" customFormat="1" x14ac:dyDescent="0.3"/>
    <row r="35113" s="160" customFormat="1" x14ac:dyDescent="0.3"/>
    <row r="35114" s="160" customFormat="1" x14ac:dyDescent="0.3"/>
    <row r="35115" s="160" customFormat="1" x14ac:dyDescent="0.3"/>
    <row r="35116" s="160" customFormat="1" x14ac:dyDescent="0.3"/>
    <row r="35117" s="160" customFormat="1" x14ac:dyDescent="0.3"/>
    <row r="35118" s="160" customFormat="1" x14ac:dyDescent="0.3"/>
    <row r="35119" s="160" customFormat="1" x14ac:dyDescent="0.3"/>
    <row r="35120" s="160" customFormat="1" x14ac:dyDescent="0.3"/>
    <row r="35121" s="160" customFormat="1" x14ac:dyDescent="0.3"/>
    <row r="35122" s="160" customFormat="1" x14ac:dyDescent="0.3"/>
    <row r="35123" s="160" customFormat="1" x14ac:dyDescent="0.3"/>
    <row r="35124" s="160" customFormat="1" x14ac:dyDescent="0.3"/>
    <row r="35125" s="160" customFormat="1" x14ac:dyDescent="0.3"/>
    <row r="35126" s="160" customFormat="1" x14ac:dyDescent="0.3"/>
    <row r="35127" s="160" customFormat="1" x14ac:dyDescent="0.3"/>
    <row r="35128" s="160" customFormat="1" x14ac:dyDescent="0.3"/>
    <row r="35129" s="160" customFormat="1" x14ac:dyDescent="0.3"/>
    <row r="35130" s="160" customFormat="1" x14ac:dyDescent="0.3"/>
    <row r="35131" s="160" customFormat="1" x14ac:dyDescent="0.3"/>
    <row r="35132" s="160" customFormat="1" x14ac:dyDescent="0.3"/>
    <row r="35133" s="160" customFormat="1" x14ac:dyDescent="0.3"/>
    <row r="35134" s="160" customFormat="1" x14ac:dyDescent="0.3"/>
    <row r="35135" s="160" customFormat="1" x14ac:dyDescent="0.3"/>
    <row r="35136" s="160" customFormat="1" x14ac:dyDescent="0.3"/>
    <row r="35137" s="160" customFormat="1" x14ac:dyDescent="0.3"/>
    <row r="35138" s="160" customFormat="1" x14ac:dyDescent="0.3"/>
    <row r="35139" s="160" customFormat="1" x14ac:dyDescent="0.3"/>
    <row r="35140" s="160" customFormat="1" x14ac:dyDescent="0.3"/>
    <row r="35141" s="160" customFormat="1" x14ac:dyDescent="0.3"/>
    <row r="35142" s="160" customFormat="1" x14ac:dyDescent="0.3"/>
    <row r="35143" s="160" customFormat="1" x14ac:dyDescent="0.3"/>
    <row r="35144" s="160" customFormat="1" x14ac:dyDescent="0.3"/>
    <row r="35145" s="160" customFormat="1" x14ac:dyDescent="0.3"/>
    <row r="35146" s="160" customFormat="1" x14ac:dyDescent="0.3"/>
    <row r="35147" s="160" customFormat="1" x14ac:dyDescent="0.3"/>
    <row r="35148" s="160" customFormat="1" x14ac:dyDescent="0.3"/>
    <row r="35149" s="160" customFormat="1" x14ac:dyDescent="0.3"/>
    <row r="35150" s="160" customFormat="1" x14ac:dyDescent="0.3"/>
    <row r="35151" s="160" customFormat="1" x14ac:dyDescent="0.3"/>
    <row r="35152" s="160" customFormat="1" x14ac:dyDescent="0.3"/>
    <row r="35153" s="160" customFormat="1" x14ac:dyDescent="0.3"/>
    <row r="35154" s="160" customFormat="1" x14ac:dyDescent="0.3"/>
    <row r="35155" s="160" customFormat="1" x14ac:dyDescent="0.3"/>
    <row r="35156" s="160" customFormat="1" x14ac:dyDescent="0.3"/>
    <row r="35157" s="160" customFormat="1" x14ac:dyDescent="0.3"/>
    <row r="35158" s="160" customFormat="1" x14ac:dyDescent="0.3"/>
    <row r="35159" s="160" customFormat="1" x14ac:dyDescent="0.3"/>
    <row r="35160" s="160" customFormat="1" x14ac:dyDescent="0.3"/>
    <row r="35161" s="160" customFormat="1" x14ac:dyDescent="0.3"/>
    <row r="35162" s="160" customFormat="1" x14ac:dyDescent="0.3"/>
    <row r="35163" s="160" customFormat="1" x14ac:dyDescent="0.3"/>
    <row r="35164" s="160" customFormat="1" x14ac:dyDescent="0.3"/>
    <row r="35165" s="160" customFormat="1" x14ac:dyDescent="0.3"/>
    <row r="35166" s="160" customFormat="1" x14ac:dyDescent="0.3"/>
    <row r="35167" s="160" customFormat="1" x14ac:dyDescent="0.3"/>
    <row r="35168" s="160" customFormat="1" x14ac:dyDescent="0.3"/>
    <row r="35169" s="160" customFormat="1" x14ac:dyDescent="0.3"/>
    <row r="35170" s="160" customFormat="1" x14ac:dyDescent="0.3"/>
    <row r="35171" s="160" customFormat="1" x14ac:dyDescent="0.3"/>
    <row r="35172" s="160" customFormat="1" x14ac:dyDescent="0.3"/>
    <row r="35173" s="160" customFormat="1" x14ac:dyDescent="0.3"/>
    <row r="35174" s="160" customFormat="1" x14ac:dyDescent="0.3"/>
    <row r="35175" s="160" customFormat="1" x14ac:dyDescent="0.3"/>
    <row r="35176" s="160" customFormat="1" x14ac:dyDescent="0.3"/>
    <row r="35177" s="160" customFormat="1" x14ac:dyDescent="0.3"/>
    <row r="35178" s="160" customFormat="1" x14ac:dyDescent="0.3"/>
    <row r="35179" s="160" customFormat="1" x14ac:dyDescent="0.3"/>
    <row r="35180" s="160" customFormat="1" x14ac:dyDescent="0.3"/>
    <row r="35181" s="160" customFormat="1" x14ac:dyDescent="0.3"/>
    <row r="35182" s="160" customFormat="1" x14ac:dyDescent="0.3"/>
    <row r="35183" s="160" customFormat="1" x14ac:dyDescent="0.3"/>
    <row r="35184" s="160" customFormat="1" x14ac:dyDescent="0.3"/>
    <row r="35185" s="160" customFormat="1" x14ac:dyDescent="0.3"/>
    <row r="35186" s="160" customFormat="1" x14ac:dyDescent="0.3"/>
    <row r="35187" s="160" customFormat="1" x14ac:dyDescent="0.3"/>
    <row r="35188" s="160" customFormat="1" x14ac:dyDescent="0.3"/>
    <row r="35189" s="160" customFormat="1" x14ac:dyDescent="0.3"/>
    <row r="35190" s="160" customFormat="1" x14ac:dyDescent="0.3"/>
    <row r="35191" s="160" customFormat="1" x14ac:dyDescent="0.3"/>
    <row r="35192" s="160" customFormat="1" x14ac:dyDescent="0.3"/>
    <row r="35193" s="160" customFormat="1" x14ac:dyDescent="0.3"/>
    <row r="35194" s="160" customFormat="1" x14ac:dyDescent="0.3"/>
    <row r="35195" s="160" customFormat="1" x14ac:dyDescent="0.3"/>
    <row r="35196" s="160" customFormat="1" x14ac:dyDescent="0.3"/>
    <row r="35197" s="160" customFormat="1" x14ac:dyDescent="0.3"/>
    <row r="35198" s="160" customFormat="1" x14ac:dyDescent="0.3"/>
    <row r="35199" s="160" customFormat="1" x14ac:dyDescent="0.3"/>
    <row r="35200" s="160" customFormat="1" x14ac:dyDescent="0.3"/>
    <row r="35201" s="160" customFormat="1" x14ac:dyDescent="0.3"/>
    <row r="35202" s="160" customFormat="1" x14ac:dyDescent="0.3"/>
    <row r="35203" s="160" customFormat="1" x14ac:dyDescent="0.3"/>
    <row r="35204" s="160" customFormat="1" x14ac:dyDescent="0.3"/>
    <row r="35205" s="160" customFormat="1" x14ac:dyDescent="0.3"/>
    <row r="35206" s="160" customFormat="1" x14ac:dyDescent="0.3"/>
    <row r="35207" s="160" customFormat="1" x14ac:dyDescent="0.3"/>
    <row r="35208" s="160" customFormat="1" x14ac:dyDescent="0.3"/>
    <row r="35209" s="160" customFormat="1" x14ac:dyDescent="0.3"/>
    <row r="35210" s="160" customFormat="1" x14ac:dyDescent="0.3"/>
    <row r="35211" s="160" customFormat="1" x14ac:dyDescent="0.3"/>
    <row r="35212" s="160" customFormat="1" x14ac:dyDescent="0.3"/>
    <row r="35213" s="160" customFormat="1" x14ac:dyDescent="0.3"/>
    <row r="35214" s="160" customFormat="1" x14ac:dyDescent="0.3"/>
    <row r="35215" s="160" customFormat="1" x14ac:dyDescent="0.3"/>
    <row r="35216" s="160" customFormat="1" x14ac:dyDescent="0.3"/>
    <row r="35217" s="160" customFormat="1" x14ac:dyDescent="0.3"/>
    <row r="35218" s="160" customFormat="1" x14ac:dyDescent="0.3"/>
    <row r="35219" s="160" customFormat="1" x14ac:dyDescent="0.3"/>
    <row r="35220" s="160" customFormat="1" x14ac:dyDescent="0.3"/>
    <row r="35221" s="160" customFormat="1" x14ac:dyDescent="0.3"/>
    <row r="35222" s="160" customFormat="1" x14ac:dyDescent="0.3"/>
    <row r="35223" s="160" customFormat="1" x14ac:dyDescent="0.3"/>
    <row r="35224" s="160" customFormat="1" x14ac:dyDescent="0.3"/>
    <row r="35225" s="160" customFormat="1" x14ac:dyDescent="0.3"/>
    <row r="35226" s="160" customFormat="1" x14ac:dyDescent="0.3"/>
    <row r="35227" s="160" customFormat="1" x14ac:dyDescent="0.3"/>
    <row r="35228" s="160" customFormat="1" x14ac:dyDescent="0.3"/>
    <row r="35229" s="160" customFormat="1" x14ac:dyDescent="0.3"/>
    <row r="35230" s="160" customFormat="1" x14ac:dyDescent="0.3"/>
    <row r="35231" s="160" customFormat="1" x14ac:dyDescent="0.3"/>
    <row r="35232" s="160" customFormat="1" x14ac:dyDescent="0.3"/>
    <row r="35233" s="160" customFormat="1" x14ac:dyDescent="0.3"/>
    <row r="35234" s="160" customFormat="1" x14ac:dyDescent="0.3"/>
    <row r="35235" s="160" customFormat="1" x14ac:dyDescent="0.3"/>
    <row r="35236" s="160" customFormat="1" x14ac:dyDescent="0.3"/>
    <row r="35237" s="160" customFormat="1" x14ac:dyDescent="0.3"/>
    <row r="35238" s="160" customFormat="1" x14ac:dyDescent="0.3"/>
    <row r="35239" s="160" customFormat="1" x14ac:dyDescent="0.3"/>
    <row r="35240" s="160" customFormat="1" x14ac:dyDescent="0.3"/>
    <row r="35241" s="160" customFormat="1" x14ac:dyDescent="0.3"/>
    <row r="35242" s="160" customFormat="1" x14ac:dyDescent="0.3"/>
    <row r="35243" s="160" customFormat="1" x14ac:dyDescent="0.3"/>
    <row r="35244" s="160" customFormat="1" x14ac:dyDescent="0.3"/>
    <row r="35245" s="160" customFormat="1" x14ac:dyDescent="0.3"/>
    <row r="35246" s="160" customFormat="1" x14ac:dyDescent="0.3"/>
    <row r="35247" s="160" customFormat="1" x14ac:dyDescent="0.3"/>
    <row r="35248" s="160" customFormat="1" x14ac:dyDescent="0.3"/>
    <row r="35249" s="160" customFormat="1" x14ac:dyDescent="0.3"/>
    <row r="35250" s="160" customFormat="1" x14ac:dyDescent="0.3"/>
    <row r="35251" s="160" customFormat="1" x14ac:dyDescent="0.3"/>
    <row r="35252" s="160" customFormat="1" x14ac:dyDescent="0.3"/>
    <row r="35253" s="160" customFormat="1" x14ac:dyDescent="0.3"/>
    <row r="35254" s="160" customFormat="1" x14ac:dyDescent="0.3"/>
    <row r="35255" s="160" customFormat="1" x14ac:dyDescent="0.3"/>
    <row r="35256" s="160" customFormat="1" x14ac:dyDescent="0.3"/>
    <row r="35257" s="160" customFormat="1" x14ac:dyDescent="0.3"/>
    <row r="35258" s="160" customFormat="1" x14ac:dyDescent="0.3"/>
    <row r="35259" s="160" customFormat="1" x14ac:dyDescent="0.3"/>
    <row r="35260" s="160" customFormat="1" x14ac:dyDescent="0.3"/>
    <row r="35261" s="160" customFormat="1" x14ac:dyDescent="0.3"/>
    <row r="35262" s="160" customFormat="1" x14ac:dyDescent="0.3"/>
    <row r="35263" s="160" customFormat="1" x14ac:dyDescent="0.3"/>
    <row r="35264" s="160" customFormat="1" x14ac:dyDescent="0.3"/>
    <row r="35265" s="160" customFormat="1" x14ac:dyDescent="0.3"/>
    <row r="35266" s="160" customFormat="1" x14ac:dyDescent="0.3"/>
    <row r="35267" s="160" customFormat="1" x14ac:dyDescent="0.3"/>
    <row r="35268" s="160" customFormat="1" x14ac:dyDescent="0.3"/>
    <row r="35269" s="160" customFormat="1" x14ac:dyDescent="0.3"/>
    <row r="35270" s="160" customFormat="1" x14ac:dyDescent="0.3"/>
    <row r="35271" s="160" customFormat="1" x14ac:dyDescent="0.3"/>
    <row r="35272" s="160" customFormat="1" x14ac:dyDescent="0.3"/>
    <row r="35273" s="160" customFormat="1" x14ac:dyDescent="0.3"/>
    <row r="35274" s="160" customFormat="1" x14ac:dyDescent="0.3"/>
    <row r="35275" s="160" customFormat="1" x14ac:dyDescent="0.3"/>
    <row r="35276" s="160" customFormat="1" x14ac:dyDescent="0.3"/>
    <row r="35277" s="160" customFormat="1" x14ac:dyDescent="0.3"/>
    <row r="35278" s="160" customFormat="1" x14ac:dyDescent="0.3"/>
    <row r="35279" s="160" customFormat="1" x14ac:dyDescent="0.3"/>
    <row r="35280" s="160" customFormat="1" x14ac:dyDescent="0.3"/>
    <row r="35281" s="160" customFormat="1" x14ac:dyDescent="0.3"/>
    <row r="35282" s="160" customFormat="1" x14ac:dyDescent="0.3"/>
    <row r="35283" s="160" customFormat="1" x14ac:dyDescent="0.3"/>
    <row r="35284" s="160" customFormat="1" x14ac:dyDescent="0.3"/>
    <row r="35285" s="160" customFormat="1" x14ac:dyDescent="0.3"/>
    <row r="35286" s="160" customFormat="1" x14ac:dyDescent="0.3"/>
    <row r="35287" s="160" customFormat="1" x14ac:dyDescent="0.3"/>
    <row r="35288" s="160" customFormat="1" x14ac:dyDescent="0.3"/>
    <row r="35289" s="160" customFormat="1" x14ac:dyDescent="0.3"/>
    <row r="35290" s="160" customFormat="1" x14ac:dyDescent="0.3"/>
    <row r="35291" s="160" customFormat="1" x14ac:dyDescent="0.3"/>
    <row r="35292" s="160" customFormat="1" x14ac:dyDescent="0.3"/>
    <row r="35293" s="160" customFormat="1" x14ac:dyDescent="0.3"/>
    <row r="35294" s="160" customFormat="1" x14ac:dyDescent="0.3"/>
    <row r="35295" s="160" customFormat="1" x14ac:dyDescent="0.3"/>
    <row r="35296" s="160" customFormat="1" x14ac:dyDescent="0.3"/>
    <row r="35297" s="160" customFormat="1" x14ac:dyDescent="0.3"/>
    <row r="35298" s="160" customFormat="1" x14ac:dyDescent="0.3"/>
    <row r="35299" s="160" customFormat="1" x14ac:dyDescent="0.3"/>
    <row r="35300" s="160" customFormat="1" x14ac:dyDescent="0.3"/>
    <row r="35301" s="160" customFormat="1" x14ac:dyDescent="0.3"/>
    <row r="35302" s="160" customFormat="1" x14ac:dyDescent="0.3"/>
    <row r="35303" s="160" customFormat="1" x14ac:dyDescent="0.3"/>
    <row r="35304" s="160" customFormat="1" x14ac:dyDescent="0.3"/>
    <row r="35305" s="160" customFormat="1" x14ac:dyDescent="0.3"/>
    <row r="35306" s="160" customFormat="1" x14ac:dyDescent="0.3"/>
    <row r="35307" s="160" customFormat="1" x14ac:dyDescent="0.3"/>
    <row r="35308" s="160" customFormat="1" x14ac:dyDescent="0.3"/>
    <row r="35309" s="160" customFormat="1" x14ac:dyDescent="0.3"/>
    <row r="35310" s="160" customFormat="1" x14ac:dyDescent="0.3"/>
    <row r="35311" s="160" customFormat="1" x14ac:dyDescent="0.3"/>
    <row r="35312" s="160" customFormat="1" x14ac:dyDescent="0.3"/>
    <row r="35313" s="160" customFormat="1" x14ac:dyDescent="0.3"/>
    <row r="35314" s="160" customFormat="1" x14ac:dyDescent="0.3"/>
    <row r="35315" s="160" customFormat="1" x14ac:dyDescent="0.3"/>
    <row r="35316" s="160" customFormat="1" x14ac:dyDescent="0.3"/>
    <row r="35317" s="160" customFormat="1" x14ac:dyDescent="0.3"/>
    <row r="35318" s="160" customFormat="1" x14ac:dyDescent="0.3"/>
    <row r="35319" s="160" customFormat="1" x14ac:dyDescent="0.3"/>
    <row r="35320" s="160" customFormat="1" x14ac:dyDescent="0.3"/>
    <row r="35321" s="160" customFormat="1" x14ac:dyDescent="0.3"/>
    <row r="35322" s="160" customFormat="1" x14ac:dyDescent="0.3"/>
    <row r="35323" s="160" customFormat="1" x14ac:dyDescent="0.3"/>
    <row r="35324" s="160" customFormat="1" x14ac:dyDescent="0.3"/>
    <row r="35325" s="160" customFormat="1" x14ac:dyDescent="0.3"/>
    <row r="35326" s="160" customFormat="1" x14ac:dyDescent="0.3"/>
    <row r="35327" s="160" customFormat="1" x14ac:dyDescent="0.3"/>
    <row r="35328" s="160" customFormat="1" x14ac:dyDescent="0.3"/>
    <row r="35329" s="160" customFormat="1" x14ac:dyDescent="0.3"/>
    <row r="35330" s="160" customFormat="1" x14ac:dyDescent="0.3"/>
    <row r="35331" s="160" customFormat="1" x14ac:dyDescent="0.3"/>
    <row r="35332" s="160" customFormat="1" x14ac:dyDescent="0.3"/>
    <row r="35333" s="160" customFormat="1" x14ac:dyDescent="0.3"/>
    <row r="35334" s="160" customFormat="1" x14ac:dyDescent="0.3"/>
    <row r="35335" s="160" customFormat="1" x14ac:dyDescent="0.3"/>
    <row r="35336" s="160" customFormat="1" x14ac:dyDescent="0.3"/>
    <row r="35337" s="160" customFormat="1" x14ac:dyDescent="0.3"/>
    <row r="35338" s="160" customFormat="1" x14ac:dyDescent="0.3"/>
    <row r="35339" s="160" customFormat="1" x14ac:dyDescent="0.3"/>
    <row r="35340" s="160" customFormat="1" x14ac:dyDescent="0.3"/>
    <row r="35341" s="160" customFormat="1" x14ac:dyDescent="0.3"/>
    <row r="35342" s="160" customFormat="1" x14ac:dyDescent="0.3"/>
    <row r="35343" s="160" customFormat="1" x14ac:dyDescent="0.3"/>
    <row r="35344" s="160" customFormat="1" x14ac:dyDescent="0.3"/>
    <row r="35345" s="160" customFormat="1" x14ac:dyDescent="0.3"/>
    <row r="35346" s="160" customFormat="1" x14ac:dyDescent="0.3"/>
    <row r="35347" s="160" customFormat="1" x14ac:dyDescent="0.3"/>
    <row r="35348" s="160" customFormat="1" x14ac:dyDescent="0.3"/>
    <row r="35349" s="160" customFormat="1" x14ac:dyDescent="0.3"/>
    <row r="35350" s="160" customFormat="1" x14ac:dyDescent="0.3"/>
    <row r="35351" s="160" customFormat="1" x14ac:dyDescent="0.3"/>
    <row r="35352" s="160" customFormat="1" x14ac:dyDescent="0.3"/>
    <row r="35353" s="160" customFormat="1" x14ac:dyDescent="0.3"/>
    <row r="35354" s="160" customFormat="1" x14ac:dyDescent="0.3"/>
    <row r="35355" s="160" customFormat="1" x14ac:dyDescent="0.3"/>
    <row r="35356" s="160" customFormat="1" x14ac:dyDescent="0.3"/>
    <row r="35357" s="160" customFormat="1" x14ac:dyDescent="0.3"/>
    <row r="35358" s="160" customFormat="1" x14ac:dyDescent="0.3"/>
    <row r="35359" s="160" customFormat="1" x14ac:dyDescent="0.3"/>
    <row r="35360" s="160" customFormat="1" x14ac:dyDescent="0.3"/>
    <row r="35361" s="160" customFormat="1" x14ac:dyDescent="0.3"/>
    <row r="35362" s="160" customFormat="1" x14ac:dyDescent="0.3"/>
    <row r="35363" s="160" customFormat="1" x14ac:dyDescent="0.3"/>
    <row r="35364" s="160" customFormat="1" x14ac:dyDescent="0.3"/>
    <row r="35365" s="160" customFormat="1" x14ac:dyDescent="0.3"/>
    <row r="35366" s="160" customFormat="1" x14ac:dyDescent="0.3"/>
    <row r="35367" s="160" customFormat="1" x14ac:dyDescent="0.3"/>
    <row r="35368" s="160" customFormat="1" x14ac:dyDescent="0.3"/>
    <row r="35369" s="160" customFormat="1" x14ac:dyDescent="0.3"/>
    <row r="35370" s="160" customFormat="1" x14ac:dyDescent="0.3"/>
    <row r="35371" s="160" customFormat="1" x14ac:dyDescent="0.3"/>
    <row r="35372" s="160" customFormat="1" x14ac:dyDescent="0.3"/>
    <row r="35373" s="160" customFormat="1" x14ac:dyDescent="0.3"/>
    <row r="35374" s="160" customFormat="1" x14ac:dyDescent="0.3"/>
    <row r="35375" s="160" customFormat="1" x14ac:dyDescent="0.3"/>
    <row r="35376" s="160" customFormat="1" x14ac:dyDescent="0.3"/>
    <row r="35377" s="160" customFormat="1" x14ac:dyDescent="0.3"/>
    <row r="35378" s="160" customFormat="1" x14ac:dyDescent="0.3"/>
    <row r="35379" s="160" customFormat="1" x14ac:dyDescent="0.3"/>
    <row r="35380" s="160" customFormat="1" x14ac:dyDescent="0.3"/>
    <row r="35381" s="160" customFormat="1" x14ac:dyDescent="0.3"/>
    <row r="35382" s="160" customFormat="1" x14ac:dyDescent="0.3"/>
    <row r="35383" s="160" customFormat="1" x14ac:dyDescent="0.3"/>
    <row r="35384" s="160" customFormat="1" x14ac:dyDescent="0.3"/>
    <row r="35385" s="160" customFormat="1" x14ac:dyDescent="0.3"/>
    <row r="35386" s="160" customFormat="1" x14ac:dyDescent="0.3"/>
    <row r="35387" s="160" customFormat="1" x14ac:dyDescent="0.3"/>
    <row r="35388" s="160" customFormat="1" x14ac:dyDescent="0.3"/>
    <row r="35389" s="160" customFormat="1" x14ac:dyDescent="0.3"/>
    <row r="35390" s="160" customFormat="1" x14ac:dyDescent="0.3"/>
    <row r="35391" s="160" customFormat="1" x14ac:dyDescent="0.3"/>
    <row r="35392" s="160" customFormat="1" x14ac:dyDescent="0.3"/>
    <row r="35393" s="160" customFormat="1" x14ac:dyDescent="0.3"/>
    <row r="35394" s="160" customFormat="1" x14ac:dyDescent="0.3"/>
    <row r="35395" s="160" customFormat="1" x14ac:dyDescent="0.3"/>
    <row r="35396" s="160" customFormat="1" x14ac:dyDescent="0.3"/>
    <row r="35397" s="160" customFormat="1" x14ac:dyDescent="0.3"/>
    <row r="35398" s="160" customFormat="1" x14ac:dyDescent="0.3"/>
    <row r="35399" s="160" customFormat="1" x14ac:dyDescent="0.3"/>
    <row r="35400" s="160" customFormat="1" x14ac:dyDescent="0.3"/>
    <row r="35401" s="160" customFormat="1" x14ac:dyDescent="0.3"/>
    <row r="35402" s="160" customFormat="1" x14ac:dyDescent="0.3"/>
    <row r="35403" s="160" customFormat="1" x14ac:dyDescent="0.3"/>
    <row r="35404" s="160" customFormat="1" x14ac:dyDescent="0.3"/>
    <row r="35405" s="160" customFormat="1" x14ac:dyDescent="0.3"/>
    <row r="35406" s="160" customFormat="1" x14ac:dyDescent="0.3"/>
    <row r="35407" s="160" customFormat="1" x14ac:dyDescent="0.3"/>
    <row r="35408" s="160" customFormat="1" x14ac:dyDescent="0.3"/>
    <row r="35409" s="160" customFormat="1" x14ac:dyDescent="0.3"/>
    <row r="35410" s="160" customFormat="1" x14ac:dyDescent="0.3"/>
    <row r="35411" s="160" customFormat="1" x14ac:dyDescent="0.3"/>
    <row r="35412" s="160" customFormat="1" x14ac:dyDescent="0.3"/>
    <row r="35413" s="160" customFormat="1" x14ac:dyDescent="0.3"/>
    <row r="35414" s="160" customFormat="1" x14ac:dyDescent="0.3"/>
    <row r="35415" s="160" customFormat="1" x14ac:dyDescent="0.3"/>
    <row r="35416" s="160" customFormat="1" x14ac:dyDescent="0.3"/>
    <row r="35417" s="160" customFormat="1" x14ac:dyDescent="0.3"/>
    <row r="35418" s="160" customFormat="1" x14ac:dyDescent="0.3"/>
    <row r="35419" s="160" customFormat="1" x14ac:dyDescent="0.3"/>
    <row r="35420" s="160" customFormat="1" x14ac:dyDescent="0.3"/>
    <row r="35421" s="160" customFormat="1" x14ac:dyDescent="0.3"/>
    <row r="35422" s="160" customFormat="1" x14ac:dyDescent="0.3"/>
    <row r="35423" s="160" customFormat="1" x14ac:dyDescent="0.3"/>
    <row r="35424" s="160" customFormat="1" x14ac:dyDescent="0.3"/>
    <row r="35425" s="160" customFormat="1" x14ac:dyDescent="0.3"/>
    <row r="35426" s="160" customFormat="1" x14ac:dyDescent="0.3"/>
    <row r="35427" s="160" customFormat="1" x14ac:dyDescent="0.3"/>
    <row r="35428" s="160" customFormat="1" x14ac:dyDescent="0.3"/>
    <row r="35429" s="160" customFormat="1" x14ac:dyDescent="0.3"/>
    <row r="35430" s="160" customFormat="1" x14ac:dyDescent="0.3"/>
    <row r="35431" s="160" customFormat="1" x14ac:dyDescent="0.3"/>
    <row r="35432" s="160" customFormat="1" x14ac:dyDescent="0.3"/>
    <row r="35433" s="160" customFormat="1" x14ac:dyDescent="0.3"/>
    <row r="35434" s="160" customFormat="1" x14ac:dyDescent="0.3"/>
    <row r="35435" s="160" customFormat="1" x14ac:dyDescent="0.3"/>
    <row r="35436" s="160" customFormat="1" x14ac:dyDescent="0.3"/>
    <row r="35437" s="160" customFormat="1" x14ac:dyDescent="0.3"/>
    <row r="35438" s="160" customFormat="1" x14ac:dyDescent="0.3"/>
    <row r="35439" s="160" customFormat="1" x14ac:dyDescent="0.3"/>
    <row r="35440" s="160" customFormat="1" x14ac:dyDescent="0.3"/>
    <row r="35441" s="160" customFormat="1" x14ac:dyDescent="0.3"/>
    <row r="35442" s="160" customFormat="1" x14ac:dyDescent="0.3"/>
    <row r="35443" s="160" customFormat="1" x14ac:dyDescent="0.3"/>
    <row r="35444" s="160" customFormat="1" x14ac:dyDescent="0.3"/>
    <row r="35445" s="160" customFormat="1" x14ac:dyDescent="0.3"/>
    <row r="35446" s="160" customFormat="1" x14ac:dyDescent="0.3"/>
    <row r="35447" s="160" customFormat="1" x14ac:dyDescent="0.3"/>
    <row r="35448" s="160" customFormat="1" x14ac:dyDescent="0.3"/>
    <row r="35449" s="160" customFormat="1" x14ac:dyDescent="0.3"/>
    <row r="35450" s="160" customFormat="1" x14ac:dyDescent="0.3"/>
    <row r="35451" s="160" customFormat="1" x14ac:dyDescent="0.3"/>
    <row r="35452" s="160" customFormat="1" x14ac:dyDescent="0.3"/>
    <row r="35453" s="160" customFormat="1" x14ac:dyDescent="0.3"/>
    <row r="35454" s="160" customFormat="1" x14ac:dyDescent="0.3"/>
    <row r="35455" s="160" customFormat="1" x14ac:dyDescent="0.3"/>
    <row r="35456" s="160" customFormat="1" x14ac:dyDescent="0.3"/>
    <row r="35457" s="160" customFormat="1" x14ac:dyDescent="0.3"/>
    <row r="35458" s="160" customFormat="1" x14ac:dyDescent="0.3"/>
    <row r="35459" s="160" customFormat="1" x14ac:dyDescent="0.3"/>
    <row r="35460" s="160" customFormat="1" x14ac:dyDescent="0.3"/>
    <row r="35461" s="160" customFormat="1" x14ac:dyDescent="0.3"/>
    <row r="35462" s="160" customFormat="1" x14ac:dyDescent="0.3"/>
    <row r="35463" s="160" customFormat="1" x14ac:dyDescent="0.3"/>
    <row r="35464" s="160" customFormat="1" x14ac:dyDescent="0.3"/>
    <row r="35465" s="160" customFormat="1" x14ac:dyDescent="0.3"/>
    <row r="35466" s="160" customFormat="1" x14ac:dyDescent="0.3"/>
    <row r="35467" s="160" customFormat="1" x14ac:dyDescent="0.3"/>
    <row r="35468" s="160" customFormat="1" x14ac:dyDescent="0.3"/>
    <row r="35469" s="160" customFormat="1" x14ac:dyDescent="0.3"/>
    <row r="35470" s="160" customFormat="1" x14ac:dyDescent="0.3"/>
    <row r="35471" s="160" customFormat="1" x14ac:dyDescent="0.3"/>
    <row r="35472" s="160" customFormat="1" x14ac:dyDescent="0.3"/>
    <row r="35473" s="160" customFormat="1" x14ac:dyDescent="0.3"/>
    <row r="35474" s="160" customFormat="1" x14ac:dyDescent="0.3"/>
    <row r="35475" s="160" customFormat="1" x14ac:dyDescent="0.3"/>
    <row r="35476" s="160" customFormat="1" x14ac:dyDescent="0.3"/>
    <row r="35477" s="160" customFormat="1" x14ac:dyDescent="0.3"/>
    <row r="35478" s="160" customFormat="1" x14ac:dyDescent="0.3"/>
    <row r="35479" s="160" customFormat="1" x14ac:dyDescent="0.3"/>
    <row r="35480" s="160" customFormat="1" x14ac:dyDescent="0.3"/>
    <row r="35481" s="160" customFormat="1" x14ac:dyDescent="0.3"/>
    <row r="35482" s="160" customFormat="1" x14ac:dyDescent="0.3"/>
    <row r="35483" s="160" customFormat="1" x14ac:dyDescent="0.3"/>
    <row r="35484" s="160" customFormat="1" x14ac:dyDescent="0.3"/>
    <row r="35485" s="160" customFormat="1" x14ac:dyDescent="0.3"/>
    <row r="35486" s="160" customFormat="1" x14ac:dyDescent="0.3"/>
    <row r="35487" s="160" customFormat="1" x14ac:dyDescent="0.3"/>
    <row r="35488" s="160" customFormat="1" x14ac:dyDescent="0.3"/>
    <row r="35489" s="160" customFormat="1" x14ac:dyDescent="0.3"/>
    <row r="35490" s="160" customFormat="1" x14ac:dyDescent="0.3"/>
    <row r="35491" s="160" customFormat="1" x14ac:dyDescent="0.3"/>
    <row r="35492" s="160" customFormat="1" x14ac:dyDescent="0.3"/>
    <row r="35493" s="160" customFormat="1" x14ac:dyDescent="0.3"/>
    <row r="35494" s="160" customFormat="1" x14ac:dyDescent="0.3"/>
    <row r="35495" s="160" customFormat="1" x14ac:dyDescent="0.3"/>
    <row r="35496" s="160" customFormat="1" x14ac:dyDescent="0.3"/>
    <row r="35497" s="160" customFormat="1" x14ac:dyDescent="0.3"/>
    <row r="35498" s="160" customFormat="1" x14ac:dyDescent="0.3"/>
    <row r="35499" s="160" customFormat="1" x14ac:dyDescent="0.3"/>
    <row r="35500" s="160" customFormat="1" x14ac:dyDescent="0.3"/>
    <row r="35501" s="160" customFormat="1" x14ac:dyDescent="0.3"/>
    <row r="35502" s="160" customFormat="1" x14ac:dyDescent="0.3"/>
    <row r="35503" s="160" customFormat="1" x14ac:dyDescent="0.3"/>
    <row r="35504" s="160" customFormat="1" x14ac:dyDescent="0.3"/>
    <row r="35505" s="160" customFormat="1" x14ac:dyDescent="0.3"/>
    <row r="35506" s="160" customFormat="1" x14ac:dyDescent="0.3"/>
    <row r="35507" s="160" customFormat="1" x14ac:dyDescent="0.3"/>
    <row r="35508" s="160" customFormat="1" x14ac:dyDescent="0.3"/>
    <row r="35509" s="160" customFormat="1" x14ac:dyDescent="0.3"/>
    <row r="35510" s="160" customFormat="1" x14ac:dyDescent="0.3"/>
    <row r="35511" s="160" customFormat="1" x14ac:dyDescent="0.3"/>
    <row r="35512" s="160" customFormat="1" x14ac:dyDescent="0.3"/>
    <row r="35513" s="160" customFormat="1" x14ac:dyDescent="0.3"/>
    <row r="35514" s="160" customFormat="1" x14ac:dyDescent="0.3"/>
    <row r="35515" s="160" customFormat="1" x14ac:dyDescent="0.3"/>
    <row r="35516" s="160" customFormat="1" x14ac:dyDescent="0.3"/>
    <row r="35517" s="160" customFormat="1" x14ac:dyDescent="0.3"/>
    <row r="35518" s="160" customFormat="1" x14ac:dyDescent="0.3"/>
    <row r="35519" s="160" customFormat="1" x14ac:dyDescent="0.3"/>
    <row r="35520" s="160" customFormat="1" x14ac:dyDescent="0.3"/>
    <row r="35521" s="160" customFormat="1" x14ac:dyDescent="0.3"/>
    <row r="35522" s="160" customFormat="1" x14ac:dyDescent="0.3"/>
    <row r="35523" s="160" customFormat="1" x14ac:dyDescent="0.3"/>
    <row r="35524" s="160" customFormat="1" x14ac:dyDescent="0.3"/>
    <row r="35525" s="160" customFormat="1" x14ac:dyDescent="0.3"/>
    <row r="35526" s="160" customFormat="1" x14ac:dyDescent="0.3"/>
    <row r="35527" s="160" customFormat="1" x14ac:dyDescent="0.3"/>
    <row r="35528" s="160" customFormat="1" x14ac:dyDescent="0.3"/>
    <row r="35529" s="160" customFormat="1" x14ac:dyDescent="0.3"/>
    <row r="35530" s="160" customFormat="1" x14ac:dyDescent="0.3"/>
    <row r="35531" s="160" customFormat="1" x14ac:dyDescent="0.3"/>
    <row r="35532" s="160" customFormat="1" x14ac:dyDescent="0.3"/>
    <row r="35533" s="160" customFormat="1" x14ac:dyDescent="0.3"/>
    <row r="35534" s="160" customFormat="1" x14ac:dyDescent="0.3"/>
    <row r="35535" s="160" customFormat="1" x14ac:dyDescent="0.3"/>
    <row r="35536" s="160" customFormat="1" x14ac:dyDescent="0.3"/>
    <row r="35537" s="160" customFormat="1" x14ac:dyDescent="0.3"/>
    <row r="35538" s="160" customFormat="1" x14ac:dyDescent="0.3"/>
    <row r="35539" s="160" customFormat="1" x14ac:dyDescent="0.3"/>
    <row r="35540" s="160" customFormat="1" x14ac:dyDescent="0.3"/>
    <row r="35541" s="160" customFormat="1" x14ac:dyDescent="0.3"/>
    <row r="35542" s="160" customFormat="1" x14ac:dyDescent="0.3"/>
    <row r="35543" s="160" customFormat="1" x14ac:dyDescent="0.3"/>
    <row r="35544" s="160" customFormat="1" x14ac:dyDescent="0.3"/>
    <row r="35545" s="160" customFormat="1" x14ac:dyDescent="0.3"/>
    <row r="35546" s="160" customFormat="1" x14ac:dyDescent="0.3"/>
    <row r="35547" s="160" customFormat="1" x14ac:dyDescent="0.3"/>
    <row r="35548" s="160" customFormat="1" x14ac:dyDescent="0.3"/>
    <row r="35549" s="160" customFormat="1" x14ac:dyDescent="0.3"/>
    <row r="35550" s="160" customFormat="1" x14ac:dyDescent="0.3"/>
    <row r="35551" s="160" customFormat="1" x14ac:dyDescent="0.3"/>
    <row r="35552" s="160" customFormat="1" x14ac:dyDescent="0.3"/>
    <row r="35553" s="160" customFormat="1" x14ac:dyDescent="0.3"/>
    <row r="35554" s="160" customFormat="1" x14ac:dyDescent="0.3"/>
    <row r="35555" s="160" customFormat="1" x14ac:dyDescent="0.3"/>
    <row r="35556" s="160" customFormat="1" x14ac:dyDescent="0.3"/>
    <row r="35557" s="160" customFormat="1" x14ac:dyDescent="0.3"/>
    <row r="35558" s="160" customFormat="1" x14ac:dyDescent="0.3"/>
    <row r="35559" s="160" customFormat="1" x14ac:dyDescent="0.3"/>
    <row r="35560" s="160" customFormat="1" x14ac:dyDescent="0.3"/>
    <row r="35561" s="160" customFormat="1" x14ac:dyDescent="0.3"/>
    <row r="35562" s="160" customFormat="1" x14ac:dyDescent="0.3"/>
    <row r="35563" s="160" customFormat="1" x14ac:dyDescent="0.3"/>
    <row r="35564" s="160" customFormat="1" x14ac:dyDescent="0.3"/>
    <row r="35565" s="160" customFormat="1" x14ac:dyDescent="0.3"/>
    <row r="35566" s="160" customFormat="1" x14ac:dyDescent="0.3"/>
    <row r="35567" s="160" customFormat="1" x14ac:dyDescent="0.3"/>
    <row r="35568" s="160" customFormat="1" x14ac:dyDescent="0.3"/>
    <row r="35569" s="160" customFormat="1" x14ac:dyDescent="0.3"/>
    <row r="35570" s="160" customFormat="1" x14ac:dyDescent="0.3"/>
    <row r="35571" s="160" customFormat="1" x14ac:dyDescent="0.3"/>
    <row r="35572" s="160" customFormat="1" x14ac:dyDescent="0.3"/>
    <row r="35573" s="160" customFormat="1" x14ac:dyDescent="0.3"/>
    <row r="35574" s="160" customFormat="1" x14ac:dyDescent="0.3"/>
    <row r="35575" s="160" customFormat="1" x14ac:dyDescent="0.3"/>
    <row r="35576" s="160" customFormat="1" x14ac:dyDescent="0.3"/>
    <row r="35577" s="160" customFormat="1" x14ac:dyDescent="0.3"/>
    <row r="35578" s="160" customFormat="1" x14ac:dyDescent="0.3"/>
    <row r="35579" s="160" customFormat="1" x14ac:dyDescent="0.3"/>
    <row r="35580" s="160" customFormat="1" x14ac:dyDescent="0.3"/>
    <row r="35581" s="160" customFormat="1" x14ac:dyDescent="0.3"/>
    <row r="35582" s="160" customFormat="1" x14ac:dyDescent="0.3"/>
    <row r="35583" s="160" customFormat="1" x14ac:dyDescent="0.3"/>
    <row r="35584" s="160" customFormat="1" x14ac:dyDescent="0.3"/>
    <row r="35585" s="160" customFormat="1" x14ac:dyDescent="0.3"/>
    <row r="35586" s="160" customFormat="1" x14ac:dyDescent="0.3"/>
    <row r="35587" s="160" customFormat="1" x14ac:dyDescent="0.3"/>
    <row r="35588" s="160" customFormat="1" x14ac:dyDescent="0.3"/>
    <row r="35589" s="160" customFormat="1" x14ac:dyDescent="0.3"/>
    <row r="35590" s="160" customFormat="1" x14ac:dyDescent="0.3"/>
    <row r="35591" s="160" customFormat="1" x14ac:dyDescent="0.3"/>
    <row r="35592" s="160" customFormat="1" x14ac:dyDescent="0.3"/>
    <row r="35593" s="160" customFormat="1" x14ac:dyDescent="0.3"/>
    <row r="35594" s="160" customFormat="1" x14ac:dyDescent="0.3"/>
    <row r="35595" s="160" customFormat="1" x14ac:dyDescent="0.3"/>
    <row r="35596" s="160" customFormat="1" x14ac:dyDescent="0.3"/>
    <row r="35597" s="160" customFormat="1" x14ac:dyDescent="0.3"/>
    <row r="35598" s="160" customFormat="1" x14ac:dyDescent="0.3"/>
    <row r="35599" s="160" customFormat="1" x14ac:dyDescent="0.3"/>
    <row r="35600" s="160" customFormat="1" x14ac:dyDescent="0.3"/>
    <row r="35601" s="160" customFormat="1" x14ac:dyDescent="0.3"/>
    <row r="35602" s="160" customFormat="1" x14ac:dyDescent="0.3"/>
    <row r="35603" s="160" customFormat="1" x14ac:dyDescent="0.3"/>
    <row r="35604" s="160" customFormat="1" x14ac:dyDescent="0.3"/>
    <row r="35605" s="160" customFormat="1" x14ac:dyDescent="0.3"/>
    <row r="35606" s="160" customFormat="1" x14ac:dyDescent="0.3"/>
    <row r="35607" s="160" customFormat="1" x14ac:dyDescent="0.3"/>
    <row r="35608" s="160" customFormat="1" x14ac:dyDescent="0.3"/>
    <row r="35609" s="160" customFormat="1" x14ac:dyDescent="0.3"/>
    <row r="35610" s="160" customFormat="1" x14ac:dyDescent="0.3"/>
    <row r="35611" s="160" customFormat="1" x14ac:dyDescent="0.3"/>
    <row r="35612" s="160" customFormat="1" x14ac:dyDescent="0.3"/>
    <row r="35613" s="160" customFormat="1" x14ac:dyDescent="0.3"/>
    <row r="35614" s="160" customFormat="1" x14ac:dyDescent="0.3"/>
    <row r="35615" s="160" customFormat="1" x14ac:dyDescent="0.3"/>
    <row r="35616" s="160" customFormat="1" x14ac:dyDescent="0.3"/>
    <row r="35617" s="160" customFormat="1" x14ac:dyDescent="0.3"/>
    <row r="35618" s="160" customFormat="1" x14ac:dyDescent="0.3"/>
    <row r="35619" s="160" customFormat="1" x14ac:dyDescent="0.3"/>
    <row r="35620" s="160" customFormat="1" x14ac:dyDescent="0.3"/>
    <row r="35621" s="160" customFormat="1" x14ac:dyDescent="0.3"/>
    <row r="35622" s="160" customFormat="1" x14ac:dyDescent="0.3"/>
    <row r="35623" s="160" customFormat="1" x14ac:dyDescent="0.3"/>
    <row r="35624" s="160" customFormat="1" x14ac:dyDescent="0.3"/>
    <row r="35625" s="160" customFormat="1" x14ac:dyDescent="0.3"/>
    <row r="35626" s="160" customFormat="1" x14ac:dyDescent="0.3"/>
    <row r="35627" s="160" customFormat="1" x14ac:dyDescent="0.3"/>
    <row r="35628" s="160" customFormat="1" x14ac:dyDescent="0.3"/>
    <row r="35629" s="160" customFormat="1" x14ac:dyDescent="0.3"/>
    <row r="35630" s="160" customFormat="1" x14ac:dyDescent="0.3"/>
    <row r="35631" s="160" customFormat="1" x14ac:dyDescent="0.3"/>
    <row r="35632" s="160" customFormat="1" x14ac:dyDescent="0.3"/>
    <row r="35633" s="160" customFormat="1" x14ac:dyDescent="0.3"/>
    <row r="35634" s="160" customFormat="1" x14ac:dyDescent="0.3"/>
    <row r="35635" s="160" customFormat="1" x14ac:dyDescent="0.3"/>
    <row r="35636" s="160" customFormat="1" x14ac:dyDescent="0.3"/>
    <row r="35637" s="160" customFormat="1" x14ac:dyDescent="0.3"/>
    <row r="35638" s="160" customFormat="1" x14ac:dyDescent="0.3"/>
    <row r="35639" s="160" customFormat="1" x14ac:dyDescent="0.3"/>
    <row r="35640" s="160" customFormat="1" x14ac:dyDescent="0.3"/>
    <row r="35641" s="160" customFormat="1" x14ac:dyDescent="0.3"/>
    <row r="35642" s="160" customFormat="1" x14ac:dyDescent="0.3"/>
    <row r="35643" s="160" customFormat="1" x14ac:dyDescent="0.3"/>
    <row r="35644" s="160" customFormat="1" x14ac:dyDescent="0.3"/>
    <row r="35645" s="160" customFormat="1" x14ac:dyDescent="0.3"/>
    <row r="35646" s="160" customFormat="1" x14ac:dyDescent="0.3"/>
    <row r="35647" s="160" customFormat="1" x14ac:dyDescent="0.3"/>
    <row r="35648" s="160" customFormat="1" x14ac:dyDescent="0.3"/>
    <row r="35649" s="160" customFormat="1" x14ac:dyDescent="0.3"/>
    <row r="35650" s="160" customFormat="1" x14ac:dyDescent="0.3"/>
    <row r="35651" s="160" customFormat="1" x14ac:dyDescent="0.3"/>
    <row r="35652" s="160" customFormat="1" x14ac:dyDescent="0.3"/>
    <row r="35653" s="160" customFormat="1" x14ac:dyDescent="0.3"/>
    <row r="35654" s="160" customFormat="1" x14ac:dyDescent="0.3"/>
    <row r="35655" s="160" customFormat="1" x14ac:dyDescent="0.3"/>
    <row r="35656" s="160" customFormat="1" x14ac:dyDescent="0.3"/>
    <row r="35657" s="160" customFormat="1" x14ac:dyDescent="0.3"/>
    <row r="35658" s="160" customFormat="1" x14ac:dyDescent="0.3"/>
    <row r="35659" s="160" customFormat="1" x14ac:dyDescent="0.3"/>
    <row r="35660" s="160" customFormat="1" x14ac:dyDescent="0.3"/>
    <row r="35661" s="160" customFormat="1" x14ac:dyDescent="0.3"/>
    <row r="35662" s="160" customFormat="1" x14ac:dyDescent="0.3"/>
    <row r="35663" s="160" customFormat="1" x14ac:dyDescent="0.3"/>
    <row r="35664" s="160" customFormat="1" x14ac:dyDescent="0.3"/>
    <row r="35665" s="160" customFormat="1" x14ac:dyDescent="0.3"/>
    <row r="35666" s="160" customFormat="1" x14ac:dyDescent="0.3"/>
    <row r="35667" s="160" customFormat="1" x14ac:dyDescent="0.3"/>
    <row r="35668" s="160" customFormat="1" x14ac:dyDescent="0.3"/>
    <row r="35669" s="160" customFormat="1" x14ac:dyDescent="0.3"/>
    <row r="35670" s="160" customFormat="1" x14ac:dyDescent="0.3"/>
    <row r="35671" s="160" customFormat="1" x14ac:dyDescent="0.3"/>
    <row r="35672" s="160" customFormat="1" x14ac:dyDescent="0.3"/>
    <row r="35673" s="160" customFormat="1" x14ac:dyDescent="0.3"/>
    <row r="35674" s="160" customFormat="1" x14ac:dyDescent="0.3"/>
    <row r="35675" s="160" customFormat="1" x14ac:dyDescent="0.3"/>
    <row r="35676" s="160" customFormat="1" x14ac:dyDescent="0.3"/>
    <row r="35677" s="160" customFormat="1" x14ac:dyDescent="0.3"/>
    <row r="35678" s="160" customFormat="1" x14ac:dyDescent="0.3"/>
    <row r="35679" s="160" customFormat="1" x14ac:dyDescent="0.3"/>
    <row r="35680" s="160" customFormat="1" x14ac:dyDescent="0.3"/>
    <row r="35681" s="160" customFormat="1" x14ac:dyDescent="0.3"/>
    <row r="35682" s="160" customFormat="1" x14ac:dyDescent="0.3"/>
    <row r="35683" s="160" customFormat="1" x14ac:dyDescent="0.3"/>
    <row r="35684" s="160" customFormat="1" x14ac:dyDescent="0.3"/>
    <row r="35685" s="160" customFormat="1" x14ac:dyDescent="0.3"/>
    <row r="35686" s="160" customFormat="1" x14ac:dyDescent="0.3"/>
    <row r="35687" s="160" customFormat="1" x14ac:dyDescent="0.3"/>
    <row r="35688" s="160" customFormat="1" x14ac:dyDescent="0.3"/>
    <row r="35689" s="160" customFormat="1" x14ac:dyDescent="0.3"/>
    <row r="35690" s="160" customFormat="1" x14ac:dyDescent="0.3"/>
    <row r="35691" s="160" customFormat="1" x14ac:dyDescent="0.3"/>
    <row r="35692" s="160" customFormat="1" x14ac:dyDescent="0.3"/>
    <row r="35693" s="160" customFormat="1" x14ac:dyDescent="0.3"/>
    <row r="35694" s="160" customFormat="1" x14ac:dyDescent="0.3"/>
    <row r="35695" s="160" customFormat="1" x14ac:dyDescent="0.3"/>
    <row r="35696" s="160" customFormat="1" x14ac:dyDescent="0.3"/>
    <row r="35697" s="160" customFormat="1" x14ac:dyDescent="0.3"/>
    <row r="35698" s="160" customFormat="1" x14ac:dyDescent="0.3"/>
    <row r="35699" s="160" customFormat="1" x14ac:dyDescent="0.3"/>
    <row r="35700" s="160" customFormat="1" x14ac:dyDescent="0.3"/>
    <row r="35701" s="160" customFormat="1" x14ac:dyDescent="0.3"/>
    <row r="35702" s="160" customFormat="1" x14ac:dyDescent="0.3"/>
    <row r="35703" s="160" customFormat="1" x14ac:dyDescent="0.3"/>
    <row r="35704" s="160" customFormat="1" x14ac:dyDescent="0.3"/>
    <row r="35705" s="160" customFormat="1" x14ac:dyDescent="0.3"/>
    <row r="35706" s="160" customFormat="1" x14ac:dyDescent="0.3"/>
    <row r="35707" s="160" customFormat="1" x14ac:dyDescent="0.3"/>
    <row r="35708" s="160" customFormat="1" x14ac:dyDescent="0.3"/>
    <row r="35709" s="160" customFormat="1" x14ac:dyDescent="0.3"/>
    <row r="35710" s="160" customFormat="1" x14ac:dyDescent="0.3"/>
    <row r="35711" s="160" customFormat="1" x14ac:dyDescent="0.3"/>
    <row r="35712" s="160" customFormat="1" x14ac:dyDescent="0.3"/>
    <row r="35713" s="160" customFormat="1" x14ac:dyDescent="0.3"/>
    <row r="35714" s="160" customFormat="1" x14ac:dyDescent="0.3"/>
    <row r="35715" s="160" customFormat="1" x14ac:dyDescent="0.3"/>
    <row r="35716" s="160" customFormat="1" x14ac:dyDescent="0.3"/>
    <row r="35717" s="160" customFormat="1" x14ac:dyDescent="0.3"/>
    <row r="35718" s="160" customFormat="1" x14ac:dyDescent="0.3"/>
    <row r="35719" s="160" customFormat="1" x14ac:dyDescent="0.3"/>
    <row r="35720" s="160" customFormat="1" x14ac:dyDescent="0.3"/>
    <row r="35721" s="160" customFormat="1" x14ac:dyDescent="0.3"/>
    <row r="35722" s="160" customFormat="1" x14ac:dyDescent="0.3"/>
    <row r="35723" s="160" customFormat="1" x14ac:dyDescent="0.3"/>
    <row r="35724" s="160" customFormat="1" x14ac:dyDescent="0.3"/>
    <row r="35725" s="160" customFormat="1" x14ac:dyDescent="0.3"/>
    <row r="35726" s="160" customFormat="1" x14ac:dyDescent="0.3"/>
    <row r="35727" s="160" customFormat="1" x14ac:dyDescent="0.3"/>
    <row r="35728" s="160" customFormat="1" x14ac:dyDescent="0.3"/>
    <row r="35729" s="160" customFormat="1" x14ac:dyDescent="0.3"/>
    <row r="35730" s="160" customFormat="1" x14ac:dyDescent="0.3"/>
    <row r="35731" s="160" customFormat="1" x14ac:dyDescent="0.3"/>
    <row r="35732" s="160" customFormat="1" x14ac:dyDescent="0.3"/>
    <row r="35733" s="160" customFormat="1" x14ac:dyDescent="0.3"/>
    <row r="35734" s="160" customFormat="1" x14ac:dyDescent="0.3"/>
    <row r="35735" s="160" customFormat="1" x14ac:dyDescent="0.3"/>
    <row r="35736" s="160" customFormat="1" x14ac:dyDescent="0.3"/>
    <row r="35737" s="160" customFormat="1" x14ac:dyDescent="0.3"/>
    <row r="35738" s="160" customFormat="1" x14ac:dyDescent="0.3"/>
    <row r="35739" s="160" customFormat="1" x14ac:dyDescent="0.3"/>
    <row r="35740" s="160" customFormat="1" x14ac:dyDescent="0.3"/>
    <row r="35741" s="160" customFormat="1" x14ac:dyDescent="0.3"/>
    <row r="35742" s="160" customFormat="1" x14ac:dyDescent="0.3"/>
    <row r="35743" s="160" customFormat="1" x14ac:dyDescent="0.3"/>
    <row r="35744" s="160" customFormat="1" x14ac:dyDescent="0.3"/>
    <row r="35745" s="160" customFormat="1" x14ac:dyDescent="0.3"/>
    <row r="35746" s="160" customFormat="1" x14ac:dyDescent="0.3"/>
    <row r="35747" s="160" customFormat="1" x14ac:dyDescent="0.3"/>
    <row r="35748" s="160" customFormat="1" x14ac:dyDescent="0.3"/>
    <row r="35749" s="160" customFormat="1" x14ac:dyDescent="0.3"/>
    <row r="35750" s="160" customFormat="1" x14ac:dyDescent="0.3"/>
    <row r="35751" s="160" customFormat="1" x14ac:dyDescent="0.3"/>
    <row r="35752" s="160" customFormat="1" x14ac:dyDescent="0.3"/>
    <row r="35753" s="160" customFormat="1" x14ac:dyDescent="0.3"/>
    <row r="35754" s="160" customFormat="1" x14ac:dyDescent="0.3"/>
    <row r="35755" s="160" customFormat="1" x14ac:dyDescent="0.3"/>
    <row r="35756" s="160" customFormat="1" x14ac:dyDescent="0.3"/>
    <row r="35757" s="160" customFormat="1" x14ac:dyDescent="0.3"/>
    <row r="35758" s="160" customFormat="1" x14ac:dyDescent="0.3"/>
    <row r="35759" s="160" customFormat="1" x14ac:dyDescent="0.3"/>
    <row r="35760" s="160" customFormat="1" x14ac:dyDescent="0.3"/>
    <row r="35761" s="160" customFormat="1" x14ac:dyDescent="0.3"/>
    <row r="35762" s="160" customFormat="1" x14ac:dyDescent="0.3"/>
    <row r="35763" s="160" customFormat="1" x14ac:dyDescent="0.3"/>
    <row r="35764" s="160" customFormat="1" x14ac:dyDescent="0.3"/>
    <row r="35765" s="160" customFormat="1" x14ac:dyDescent="0.3"/>
    <row r="35766" s="160" customFormat="1" x14ac:dyDescent="0.3"/>
    <row r="35767" s="160" customFormat="1" x14ac:dyDescent="0.3"/>
    <row r="35768" s="160" customFormat="1" x14ac:dyDescent="0.3"/>
    <row r="35769" s="160" customFormat="1" x14ac:dyDescent="0.3"/>
    <row r="35770" s="160" customFormat="1" x14ac:dyDescent="0.3"/>
    <row r="35771" s="160" customFormat="1" x14ac:dyDescent="0.3"/>
    <row r="35772" s="160" customFormat="1" x14ac:dyDescent="0.3"/>
    <row r="35773" s="160" customFormat="1" x14ac:dyDescent="0.3"/>
    <row r="35774" s="160" customFormat="1" x14ac:dyDescent="0.3"/>
    <row r="35775" s="160" customFormat="1" x14ac:dyDescent="0.3"/>
    <row r="35776" s="160" customFormat="1" x14ac:dyDescent="0.3"/>
    <row r="35777" s="160" customFormat="1" x14ac:dyDescent="0.3"/>
    <row r="35778" s="160" customFormat="1" x14ac:dyDescent="0.3"/>
    <row r="35779" s="160" customFormat="1" x14ac:dyDescent="0.3"/>
    <row r="35780" s="160" customFormat="1" x14ac:dyDescent="0.3"/>
    <row r="35781" s="160" customFormat="1" x14ac:dyDescent="0.3"/>
    <row r="35782" s="160" customFormat="1" x14ac:dyDescent="0.3"/>
    <row r="35783" s="160" customFormat="1" x14ac:dyDescent="0.3"/>
    <row r="35784" s="160" customFormat="1" x14ac:dyDescent="0.3"/>
    <row r="35785" s="160" customFormat="1" x14ac:dyDescent="0.3"/>
    <row r="35786" s="160" customFormat="1" x14ac:dyDescent="0.3"/>
    <row r="35787" s="160" customFormat="1" x14ac:dyDescent="0.3"/>
    <row r="35788" s="160" customFormat="1" x14ac:dyDescent="0.3"/>
    <row r="35789" s="160" customFormat="1" x14ac:dyDescent="0.3"/>
    <row r="35790" s="160" customFormat="1" x14ac:dyDescent="0.3"/>
    <row r="35791" s="160" customFormat="1" x14ac:dyDescent="0.3"/>
    <row r="35792" s="160" customFormat="1" x14ac:dyDescent="0.3"/>
    <row r="35793" s="160" customFormat="1" x14ac:dyDescent="0.3"/>
    <row r="35794" s="160" customFormat="1" x14ac:dyDescent="0.3"/>
    <row r="35795" s="160" customFormat="1" x14ac:dyDescent="0.3"/>
    <row r="35796" s="160" customFormat="1" x14ac:dyDescent="0.3"/>
    <row r="35797" s="160" customFormat="1" x14ac:dyDescent="0.3"/>
    <row r="35798" s="160" customFormat="1" x14ac:dyDescent="0.3"/>
    <row r="35799" s="160" customFormat="1" x14ac:dyDescent="0.3"/>
    <row r="35800" s="160" customFormat="1" x14ac:dyDescent="0.3"/>
    <row r="35801" s="160" customFormat="1" x14ac:dyDescent="0.3"/>
    <row r="35802" s="160" customFormat="1" x14ac:dyDescent="0.3"/>
    <row r="35803" s="160" customFormat="1" x14ac:dyDescent="0.3"/>
    <row r="35804" s="160" customFormat="1" x14ac:dyDescent="0.3"/>
    <row r="35805" s="160" customFormat="1" x14ac:dyDescent="0.3"/>
    <row r="35806" s="160" customFormat="1" x14ac:dyDescent="0.3"/>
    <row r="35807" s="160" customFormat="1" x14ac:dyDescent="0.3"/>
    <row r="35808" s="160" customFormat="1" x14ac:dyDescent="0.3"/>
    <row r="35809" s="160" customFormat="1" x14ac:dyDescent="0.3"/>
    <row r="35810" s="160" customFormat="1" x14ac:dyDescent="0.3"/>
    <row r="35811" s="160" customFormat="1" x14ac:dyDescent="0.3"/>
    <row r="35812" s="160" customFormat="1" x14ac:dyDescent="0.3"/>
    <row r="35813" s="160" customFormat="1" x14ac:dyDescent="0.3"/>
    <row r="35814" s="160" customFormat="1" x14ac:dyDescent="0.3"/>
    <row r="35815" s="160" customFormat="1" x14ac:dyDescent="0.3"/>
    <row r="35816" s="160" customFormat="1" x14ac:dyDescent="0.3"/>
    <row r="35817" s="160" customFormat="1" x14ac:dyDescent="0.3"/>
    <row r="35818" s="160" customFormat="1" x14ac:dyDescent="0.3"/>
    <row r="35819" s="160" customFormat="1" x14ac:dyDescent="0.3"/>
    <row r="35820" s="160" customFormat="1" x14ac:dyDescent="0.3"/>
    <row r="35821" s="160" customFormat="1" x14ac:dyDescent="0.3"/>
    <row r="35822" s="160" customFormat="1" x14ac:dyDescent="0.3"/>
    <row r="35823" s="160" customFormat="1" x14ac:dyDescent="0.3"/>
    <row r="35824" s="160" customFormat="1" x14ac:dyDescent="0.3"/>
    <row r="35825" s="160" customFormat="1" x14ac:dyDescent="0.3"/>
    <row r="35826" s="160" customFormat="1" x14ac:dyDescent="0.3"/>
    <row r="35827" s="160" customFormat="1" x14ac:dyDescent="0.3"/>
    <row r="35828" s="160" customFormat="1" x14ac:dyDescent="0.3"/>
    <row r="35829" s="160" customFormat="1" x14ac:dyDescent="0.3"/>
    <row r="35830" s="160" customFormat="1" x14ac:dyDescent="0.3"/>
    <row r="35831" s="160" customFormat="1" x14ac:dyDescent="0.3"/>
    <row r="35832" s="160" customFormat="1" x14ac:dyDescent="0.3"/>
    <row r="35833" s="160" customFormat="1" x14ac:dyDescent="0.3"/>
    <row r="35834" s="160" customFormat="1" x14ac:dyDescent="0.3"/>
    <row r="35835" s="160" customFormat="1" x14ac:dyDescent="0.3"/>
    <row r="35836" s="160" customFormat="1" x14ac:dyDescent="0.3"/>
    <row r="35837" s="160" customFormat="1" x14ac:dyDescent="0.3"/>
    <row r="35838" s="160" customFormat="1" x14ac:dyDescent="0.3"/>
    <row r="35839" s="160" customFormat="1" x14ac:dyDescent="0.3"/>
    <row r="35840" s="160" customFormat="1" x14ac:dyDescent="0.3"/>
    <row r="35841" s="160" customFormat="1" x14ac:dyDescent="0.3"/>
    <row r="35842" s="160" customFormat="1" x14ac:dyDescent="0.3"/>
    <row r="35843" s="160" customFormat="1" x14ac:dyDescent="0.3"/>
    <row r="35844" s="160" customFormat="1" x14ac:dyDescent="0.3"/>
    <row r="35845" s="160" customFormat="1" x14ac:dyDescent="0.3"/>
    <row r="35846" s="160" customFormat="1" x14ac:dyDescent="0.3"/>
    <row r="35847" s="160" customFormat="1" x14ac:dyDescent="0.3"/>
    <row r="35848" s="160" customFormat="1" x14ac:dyDescent="0.3"/>
    <row r="35849" s="160" customFormat="1" x14ac:dyDescent="0.3"/>
    <row r="35850" s="160" customFormat="1" x14ac:dyDescent="0.3"/>
    <row r="35851" s="160" customFormat="1" x14ac:dyDescent="0.3"/>
    <row r="35852" s="160" customFormat="1" x14ac:dyDescent="0.3"/>
    <row r="35853" s="160" customFormat="1" x14ac:dyDescent="0.3"/>
    <row r="35854" s="160" customFormat="1" x14ac:dyDescent="0.3"/>
    <row r="35855" s="160" customFormat="1" x14ac:dyDescent="0.3"/>
    <row r="35856" s="160" customFormat="1" x14ac:dyDescent="0.3"/>
    <row r="35857" s="160" customFormat="1" x14ac:dyDescent="0.3"/>
    <row r="35858" s="160" customFormat="1" x14ac:dyDescent="0.3"/>
    <row r="35859" s="160" customFormat="1" x14ac:dyDescent="0.3"/>
    <row r="35860" s="160" customFormat="1" x14ac:dyDescent="0.3"/>
    <row r="35861" s="160" customFormat="1" x14ac:dyDescent="0.3"/>
    <row r="35862" s="160" customFormat="1" x14ac:dyDescent="0.3"/>
    <row r="35863" s="160" customFormat="1" x14ac:dyDescent="0.3"/>
    <row r="35864" s="160" customFormat="1" x14ac:dyDescent="0.3"/>
    <row r="35865" s="160" customFormat="1" x14ac:dyDescent="0.3"/>
    <row r="35866" s="160" customFormat="1" x14ac:dyDescent="0.3"/>
    <row r="35867" s="160" customFormat="1" x14ac:dyDescent="0.3"/>
    <row r="35868" s="160" customFormat="1" x14ac:dyDescent="0.3"/>
    <row r="35869" s="160" customFormat="1" x14ac:dyDescent="0.3"/>
    <row r="35870" s="160" customFormat="1" x14ac:dyDescent="0.3"/>
    <row r="35871" s="160" customFormat="1" x14ac:dyDescent="0.3"/>
    <row r="35872" s="160" customFormat="1" x14ac:dyDescent="0.3"/>
    <row r="35873" s="160" customFormat="1" x14ac:dyDescent="0.3"/>
    <row r="35874" s="160" customFormat="1" x14ac:dyDescent="0.3"/>
    <row r="35875" s="160" customFormat="1" x14ac:dyDescent="0.3"/>
    <row r="35876" s="160" customFormat="1" x14ac:dyDescent="0.3"/>
    <row r="35877" s="160" customFormat="1" x14ac:dyDescent="0.3"/>
    <row r="35878" s="160" customFormat="1" x14ac:dyDescent="0.3"/>
    <row r="35879" s="160" customFormat="1" x14ac:dyDescent="0.3"/>
    <row r="35880" s="160" customFormat="1" x14ac:dyDescent="0.3"/>
    <row r="35881" s="160" customFormat="1" x14ac:dyDescent="0.3"/>
    <row r="35882" s="160" customFormat="1" x14ac:dyDescent="0.3"/>
    <row r="35883" s="160" customFormat="1" x14ac:dyDescent="0.3"/>
    <row r="35884" s="160" customFormat="1" x14ac:dyDescent="0.3"/>
    <row r="35885" s="160" customFormat="1" x14ac:dyDescent="0.3"/>
    <row r="35886" s="160" customFormat="1" x14ac:dyDescent="0.3"/>
    <row r="35887" s="160" customFormat="1" x14ac:dyDescent="0.3"/>
    <row r="35888" s="160" customFormat="1" x14ac:dyDescent="0.3"/>
    <row r="35889" s="160" customFormat="1" x14ac:dyDescent="0.3"/>
    <row r="35890" s="160" customFormat="1" x14ac:dyDescent="0.3"/>
    <row r="35891" s="160" customFormat="1" x14ac:dyDescent="0.3"/>
    <row r="35892" s="160" customFormat="1" x14ac:dyDescent="0.3"/>
    <row r="35893" s="160" customFormat="1" x14ac:dyDescent="0.3"/>
    <row r="35894" s="160" customFormat="1" x14ac:dyDescent="0.3"/>
    <row r="35895" s="160" customFormat="1" x14ac:dyDescent="0.3"/>
    <row r="35896" s="160" customFormat="1" x14ac:dyDescent="0.3"/>
    <row r="35897" s="160" customFormat="1" x14ac:dyDescent="0.3"/>
    <row r="35898" s="160" customFormat="1" x14ac:dyDescent="0.3"/>
    <row r="35899" s="160" customFormat="1" x14ac:dyDescent="0.3"/>
    <row r="35900" s="160" customFormat="1" x14ac:dyDescent="0.3"/>
    <row r="35901" s="160" customFormat="1" x14ac:dyDescent="0.3"/>
    <row r="35902" s="160" customFormat="1" x14ac:dyDescent="0.3"/>
    <row r="35903" s="160" customFormat="1" x14ac:dyDescent="0.3"/>
    <row r="35904" s="160" customFormat="1" x14ac:dyDescent="0.3"/>
    <row r="35905" s="160" customFormat="1" x14ac:dyDescent="0.3"/>
    <row r="35906" s="160" customFormat="1" x14ac:dyDescent="0.3"/>
    <row r="35907" s="160" customFormat="1" x14ac:dyDescent="0.3"/>
    <row r="35908" s="160" customFormat="1" x14ac:dyDescent="0.3"/>
    <row r="35909" s="160" customFormat="1" x14ac:dyDescent="0.3"/>
    <row r="35910" s="160" customFormat="1" x14ac:dyDescent="0.3"/>
    <row r="35911" s="160" customFormat="1" x14ac:dyDescent="0.3"/>
    <row r="35912" s="160" customFormat="1" x14ac:dyDescent="0.3"/>
    <row r="35913" s="160" customFormat="1" x14ac:dyDescent="0.3"/>
    <row r="35914" s="160" customFormat="1" x14ac:dyDescent="0.3"/>
    <row r="35915" s="160" customFormat="1" x14ac:dyDescent="0.3"/>
    <row r="35916" s="160" customFormat="1" x14ac:dyDescent="0.3"/>
    <row r="35917" s="160" customFormat="1" x14ac:dyDescent="0.3"/>
    <row r="35918" s="160" customFormat="1" x14ac:dyDescent="0.3"/>
    <row r="35919" s="160" customFormat="1" x14ac:dyDescent="0.3"/>
    <row r="35920" s="160" customFormat="1" x14ac:dyDescent="0.3"/>
    <row r="35921" s="160" customFormat="1" x14ac:dyDescent="0.3"/>
    <row r="35922" s="160" customFormat="1" x14ac:dyDescent="0.3"/>
    <row r="35923" s="160" customFormat="1" x14ac:dyDescent="0.3"/>
    <row r="35924" s="160" customFormat="1" x14ac:dyDescent="0.3"/>
    <row r="35925" s="160" customFormat="1" x14ac:dyDescent="0.3"/>
    <row r="35926" s="160" customFormat="1" x14ac:dyDescent="0.3"/>
    <row r="35927" s="160" customFormat="1" x14ac:dyDescent="0.3"/>
    <row r="35928" s="160" customFormat="1" x14ac:dyDescent="0.3"/>
    <row r="35929" s="160" customFormat="1" x14ac:dyDescent="0.3"/>
    <row r="35930" s="160" customFormat="1" x14ac:dyDescent="0.3"/>
    <row r="35931" s="160" customFormat="1" x14ac:dyDescent="0.3"/>
    <row r="35932" s="160" customFormat="1" x14ac:dyDescent="0.3"/>
    <row r="35933" s="160" customFormat="1" x14ac:dyDescent="0.3"/>
    <row r="35934" s="160" customFormat="1" x14ac:dyDescent="0.3"/>
    <row r="35935" s="160" customFormat="1" x14ac:dyDescent="0.3"/>
    <row r="35936" s="160" customFormat="1" x14ac:dyDescent="0.3"/>
    <row r="35937" s="160" customFormat="1" x14ac:dyDescent="0.3"/>
    <row r="35938" s="160" customFormat="1" x14ac:dyDescent="0.3"/>
    <row r="35939" s="160" customFormat="1" x14ac:dyDescent="0.3"/>
    <row r="35940" s="160" customFormat="1" x14ac:dyDescent="0.3"/>
    <row r="35941" s="160" customFormat="1" x14ac:dyDescent="0.3"/>
    <row r="35942" s="160" customFormat="1" x14ac:dyDescent="0.3"/>
    <row r="35943" s="160" customFormat="1" x14ac:dyDescent="0.3"/>
    <row r="35944" s="160" customFormat="1" x14ac:dyDescent="0.3"/>
    <row r="35945" s="160" customFormat="1" x14ac:dyDescent="0.3"/>
    <row r="35946" s="160" customFormat="1" x14ac:dyDescent="0.3"/>
    <row r="35947" s="160" customFormat="1" x14ac:dyDescent="0.3"/>
    <row r="35948" s="160" customFormat="1" x14ac:dyDescent="0.3"/>
    <row r="35949" s="160" customFormat="1" x14ac:dyDescent="0.3"/>
    <row r="35950" s="160" customFormat="1" x14ac:dyDescent="0.3"/>
    <row r="35951" s="160" customFormat="1" x14ac:dyDescent="0.3"/>
    <row r="35952" s="160" customFormat="1" x14ac:dyDescent="0.3"/>
    <row r="35953" s="160" customFormat="1" x14ac:dyDescent="0.3"/>
    <row r="35954" s="160" customFormat="1" x14ac:dyDescent="0.3"/>
    <row r="35955" s="160" customFormat="1" x14ac:dyDescent="0.3"/>
    <row r="35956" s="160" customFormat="1" x14ac:dyDescent="0.3"/>
    <row r="35957" s="160" customFormat="1" x14ac:dyDescent="0.3"/>
    <row r="35958" s="160" customFormat="1" x14ac:dyDescent="0.3"/>
    <row r="35959" s="160" customFormat="1" x14ac:dyDescent="0.3"/>
    <row r="35960" s="160" customFormat="1" x14ac:dyDescent="0.3"/>
    <row r="35961" s="160" customFormat="1" x14ac:dyDescent="0.3"/>
    <row r="35962" s="160" customFormat="1" x14ac:dyDescent="0.3"/>
    <row r="35963" s="160" customFormat="1" x14ac:dyDescent="0.3"/>
    <row r="35964" s="160" customFormat="1" x14ac:dyDescent="0.3"/>
    <row r="35965" s="160" customFormat="1" x14ac:dyDescent="0.3"/>
    <row r="35966" s="160" customFormat="1" x14ac:dyDescent="0.3"/>
    <row r="35967" s="160" customFormat="1" x14ac:dyDescent="0.3"/>
    <row r="35968" s="160" customFormat="1" x14ac:dyDescent="0.3"/>
    <row r="35969" s="160" customFormat="1" x14ac:dyDescent="0.3"/>
    <row r="35970" s="160" customFormat="1" x14ac:dyDescent="0.3"/>
    <row r="35971" s="160" customFormat="1" x14ac:dyDescent="0.3"/>
    <row r="35972" s="160" customFormat="1" x14ac:dyDescent="0.3"/>
    <row r="35973" s="160" customFormat="1" x14ac:dyDescent="0.3"/>
    <row r="35974" s="160" customFormat="1" x14ac:dyDescent="0.3"/>
    <row r="35975" s="160" customFormat="1" x14ac:dyDescent="0.3"/>
    <row r="35976" s="160" customFormat="1" x14ac:dyDescent="0.3"/>
    <row r="35977" s="160" customFormat="1" x14ac:dyDescent="0.3"/>
    <row r="35978" s="160" customFormat="1" x14ac:dyDescent="0.3"/>
    <row r="35979" s="160" customFormat="1" x14ac:dyDescent="0.3"/>
    <row r="35980" s="160" customFormat="1" x14ac:dyDescent="0.3"/>
    <row r="35981" s="160" customFormat="1" x14ac:dyDescent="0.3"/>
    <row r="35982" s="160" customFormat="1" x14ac:dyDescent="0.3"/>
    <row r="35983" s="160" customFormat="1" x14ac:dyDescent="0.3"/>
    <row r="35984" s="160" customFormat="1" x14ac:dyDescent="0.3"/>
    <row r="35985" s="160" customFormat="1" x14ac:dyDescent="0.3"/>
    <row r="35986" s="160" customFormat="1" x14ac:dyDescent="0.3"/>
    <row r="35987" s="160" customFormat="1" x14ac:dyDescent="0.3"/>
    <row r="35988" s="160" customFormat="1" x14ac:dyDescent="0.3"/>
    <row r="35989" s="160" customFormat="1" x14ac:dyDescent="0.3"/>
    <row r="35990" s="160" customFormat="1" x14ac:dyDescent="0.3"/>
    <row r="35991" s="160" customFormat="1" x14ac:dyDescent="0.3"/>
    <row r="35992" s="160" customFormat="1" x14ac:dyDescent="0.3"/>
    <row r="35993" s="160" customFormat="1" x14ac:dyDescent="0.3"/>
    <row r="35994" s="160" customFormat="1" x14ac:dyDescent="0.3"/>
    <row r="35995" s="160" customFormat="1" x14ac:dyDescent="0.3"/>
    <row r="35996" s="160" customFormat="1" x14ac:dyDescent="0.3"/>
    <row r="35997" s="160" customFormat="1" x14ac:dyDescent="0.3"/>
    <row r="35998" s="160" customFormat="1" x14ac:dyDescent="0.3"/>
    <row r="35999" s="160" customFormat="1" x14ac:dyDescent="0.3"/>
    <row r="36000" s="160" customFormat="1" x14ac:dyDescent="0.3"/>
    <row r="36001" s="160" customFormat="1" x14ac:dyDescent="0.3"/>
    <row r="36002" s="160" customFormat="1" x14ac:dyDescent="0.3"/>
    <row r="36003" s="160" customFormat="1" x14ac:dyDescent="0.3"/>
    <row r="36004" s="160" customFormat="1" x14ac:dyDescent="0.3"/>
    <row r="36005" s="160" customFormat="1" x14ac:dyDescent="0.3"/>
    <row r="36006" s="160" customFormat="1" x14ac:dyDescent="0.3"/>
    <row r="36007" s="160" customFormat="1" x14ac:dyDescent="0.3"/>
    <row r="36008" s="160" customFormat="1" x14ac:dyDescent="0.3"/>
    <row r="36009" s="160" customFormat="1" x14ac:dyDescent="0.3"/>
    <row r="36010" s="160" customFormat="1" x14ac:dyDescent="0.3"/>
    <row r="36011" s="160" customFormat="1" x14ac:dyDescent="0.3"/>
    <row r="36012" s="160" customFormat="1" x14ac:dyDescent="0.3"/>
    <row r="36013" s="160" customFormat="1" x14ac:dyDescent="0.3"/>
    <row r="36014" s="160" customFormat="1" x14ac:dyDescent="0.3"/>
    <row r="36015" s="160" customFormat="1" x14ac:dyDescent="0.3"/>
    <row r="36016" s="160" customFormat="1" x14ac:dyDescent="0.3"/>
    <row r="36017" s="160" customFormat="1" x14ac:dyDescent="0.3"/>
    <row r="36018" s="160" customFormat="1" x14ac:dyDescent="0.3"/>
    <row r="36019" s="160" customFormat="1" x14ac:dyDescent="0.3"/>
    <row r="36020" s="160" customFormat="1" x14ac:dyDescent="0.3"/>
    <row r="36021" s="160" customFormat="1" x14ac:dyDescent="0.3"/>
    <row r="36022" s="160" customFormat="1" x14ac:dyDescent="0.3"/>
    <row r="36023" s="160" customFormat="1" x14ac:dyDescent="0.3"/>
    <row r="36024" s="160" customFormat="1" x14ac:dyDescent="0.3"/>
    <row r="36025" s="160" customFormat="1" x14ac:dyDescent="0.3"/>
    <row r="36026" s="160" customFormat="1" x14ac:dyDescent="0.3"/>
    <row r="36027" s="160" customFormat="1" x14ac:dyDescent="0.3"/>
    <row r="36028" s="160" customFormat="1" x14ac:dyDescent="0.3"/>
    <row r="36029" s="160" customFormat="1" x14ac:dyDescent="0.3"/>
    <row r="36030" s="160" customFormat="1" x14ac:dyDescent="0.3"/>
    <row r="36031" s="160" customFormat="1" x14ac:dyDescent="0.3"/>
    <row r="36032" s="160" customFormat="1" x14ac:dyDescent="0.3"/>
    <row r="36033" s="160" customFormat="1" x14ac:dyDescent="0.3"/>
    <row r="36034" s="160" customFormat="1" x14ac:dyDescent="0.3"/>
    <row r="36035" s="160" customFormat="1" x14ac:dyDescent="0.3"/>
    <row r="36036" s="160" customFormat="1" x14ac:dyDescent="0.3"/>
    <row r="36037" s="160" customFormat="1" x14ac:dyDescent="0.3"/>
    <row r="36038" s="160" customFormat="1" x14ac:dyDescent="0.3"/>
    <row r="36039" s="160" customFormat="1" x14ac:dyDescent="0.3"/>
    <row r="36040" s="160" customFormat="1" x14ac:dyDescent="0.3"/>
    <row r="36041" s="160" customFormat="1" x14ac:dyDescent="0.3"/>
    <row r="36042" s="160" customFormat="1" x14ac:dyDescent="0.3"/>
    <row r="36043" s="160" customFormat="1" x14ac:dyDescent="0.3"/>
    <row r="36044" s="160" customFormat="1" x14ac:dyDescent="0.3"/>
    <row r="36045" s="160" customFormat="1" x14ac:dyDescent="0.3"/>
    <row r="36046" s="160" customFormat="1" x14ac:dyDescent="0.3"/>
    <row r="36047" s="160" customFormat="1" x14ac:dyDescent="0.3"/>
    <row r="36048" s="160" customFormat="1" x14ac:dyDescent="0.3"/>
    <row r="36049" s="160" customFormat="1" x14ac:dyDescent="0.3"/>
    <row r="36050" s="160" customFormat="1" x14ac:dyDescent="0.3"/>
    <row r="36051" s="160" customFormat="1" x14ac:dyDescent="0.3"/>
    <row r="36052" s="160" customFormat="1" x14ac:dyDescent="0.3"/>
    <row r="36053" s="160" customFormat="1" x14ac:dyDescent="0.3"/>
    <row r="36054" s="160" customFormat="1" x14ac:dyDescent="0.3"/>
    <row r="36055" s="160" customFormat="1" x14ac:dyDescent="0.3"/>
    <row r="36056" s="160" customFormat="1" x14ac:dyDescent="0.3"/>
    <row r="36057" s="160" customFormat="1" x14ac:dyDescent="0.3"/>
    <row r="36058" s="160" customFormat="1" x14ac:dyDescent="0.3"/>
    <row r="36059" s="160" customFormat="1" x14ac:dyDescent="0.3"/>
    <row r="36060" s="160" customFormat="1" x14ac:dyDescent="0.3"/>
    <row r="36061" s="160" customFormat="1" x14ac:dyDescent="0.3"/>
    <row r="36062" s="160" customFormat="1" x14ac:dyDescent="0.3"/>
    <row r="36063" s="160" customFormat="1" x14ac:dyDescent="0.3"/>
    <row r="36064" s="160" customFormat="1" x14ac:dyDescent="0.3"/>
    <row r="36065" s="160" customFormat="1" x14ac:dyDescent="0.3"/>
    <row r="36066" s="160" customFormat="1" x14ac:dyDescent="0.3"/>
    <row r="36067" s="160" customFormat="1" x14ac:dyDescent="0.3"/>
    <row r="36068" s="160" customFormat="1" x14ac:dyDescent="0.3"/>
    <row r="36069" s="160" customFormat="1" x14ac:dyDescent="0.3"/>
    <row r="36070" s="160" customFormat="1" x14ac:dyDescent="0.3"/>
    <row r="36071" s="160" customFormat="1" x14ac:dyDescent="0.3"/>
    <row r="36072" s="160" customFormat="1" x14ac:dyDescent="0.3"/>
    <row r="36073" s="160" customFormat="1" x14ac:dyDescent="0.3"/>
    <row r="36074" s="160" customFormat="1" x14ac:dyDescent="0.3"/>
    <row r="36075" s="160" customFormat="1" x14ac:dyDescent="0.3"/>
    <row r="36076" s="160" customFormat="1" x14ac:dyDescent="0.3"/>
    <row r="36077" s="160" customFormat="1" x14ac:dyDescent="0.3"/>
    <row r="36078" s="160" customFormat="1" x14ac:dyDescent="0.3"/>
    <row r="36079" s="160" customFormat="1" x14ac:dyDescent="0.3"/>
    <row r="36080" s="160" customFormat="1" x14ac:dyDescent="0.3"/>
    <row r="36081" s="160" customFormat="1" x14ac:dyDescent="0.3"/>
    <row r="36082" s="160" customFormat="1" x14ac:dyDescent="0.3"/>
    <row r="36083" s="160" customFormat="1" x14ac:dyDescent="0.3"/>
    <row r="36084" s="160" customFormat="1" x14ac:dyDescent="0.3"/>
    <row r="36085" s="160" customFormat="1" x14ac:dyDescent="0.3"/>
    <row r="36086" s="160" customFormat="1" x14ac:dyDescent="0.3"/>
    <row r="36087" s="160" customFormat="1" x14ac:dyDescent="0.3"/>
    <row r="36088" s="160" customFormat="1" x14ac:dyDescent="0.3"/>
    <row r="36089" s="160" customFormat="1" x14ac:dyDescent="0.3"/>
    <row r="36090" s="160" customFormat="1" x14ac:dyDescent="0.3"/>
    <row r="36091" s="160" customFormat="1" x14ac:dyDescent="0.3"/>
    <row r="36092" s="160" customFormat="1" x14ac:dyDescent="0.3"/>
    <row r="36093" s="160" customFormat="1" x14ac:dyDescent="0.3"/>
    <row r="36094" s="160" customFormat="1" x14ac:dyDescent="0.3"/>
    <row r="36095" s="160" customFormat="1" x14ac:dyDescent="0.3"/>
    <row r="36096" s="160" customFormat="1" x14ac:dyDescent="0.3"/>
    <row r="36097" s="160" customFormat="1" x14ac:dyDescent="0.3"/>
    <row r="36098" s="160" customFormat="1" x14ac:dyDescent="0.3"/>
    <row r="36099" s="160" customFormat="1" x14ac:dyDescent="0.3"/>
    <row r="36100" s="160" customFormat="1" x14ac:dyDescent="0.3"/>
    <row r="36101" s="160" customFormat="1" x14ac:dyDescent="0.3"/>
    <row r="36102" s="160" customFormat="1" x14ac:dyDescent="0.3"/>
    <row r="36103" s="160" customFormat="1" x14ac:dyDescent="0.3"/>
    <row r="36104" s="160" customFormat="1" x14ac:dyDescent="0.3"/>
    <row r="36105" s="160" customFormat="1" x14ac:dyDescent="0.3"/>
    <row r="36106" s="160" customFormat="1" x14ac:dyDescent="0.3"/>
    <row r="36107" s="160" customFormat="1" x14ac:dyDescent="0.3"/>
    <row r="36108" s="160" customFormat="1" x14ac:dyDescent="0.3"/>
    <row r="36109" s="160" customFormat="1" x14ac:dyDescent="0.3"/>
    <row r="36110" s="160" customFormat="1" x14ac:dyDescent="0.3"/>
    <row r="36111" s="160" customFormat="1" x14ac:dyDescent="0.3"/>
    <row r="36112" s="160" customFormat="1" x14ac:dyDescent="0.3"/>
    <row r="36113" s="160" customFormat="1" x14ac:dyDescent="0.3"/>
    <row r="36114" s="160" customFormat="1" x14ac:dyDescent="0.3"/>
    <row r="36115" s="160" customFormat="1" x14ac:dyDescent="0.3"/>
    <row r="36116" s="160" customFormat="1" x14ac:dyDescent="0.3"/>
    <row r="36117" s="160" customFormat="1" x14ac:dyDescent="0.3"/>
    <row r="36118" s="160" customFormat="1" x14ac:dyDescent="0.3"/>
    <row r="36119" s="160" customFormat="1" x14ac:dyDescent="0.3"/>
    <row r="36120" s="160" customFormat="1" x14ac:dyDescent="0.3"/>
    <row r="36121" s="160" customFormat="1" x14ac:dyDescent="0.3"/>
    <row r="36122" s="160" customFormat="1" x14ac:dyDescent="0.3"/>
    <row r="36123" s="160" customFormat="1" x14ac:dyDescent="0.3"/>
    <row r="36124" s="160" customFormat="1" x14ac:dyDescent="0.3"/>
    <row r="36125" s="160" customFormat="1" x14ac:dyDescent="0.3"/>
    <row r="36126" s="160" customFormat="1" x14ac:dyDescent="0.3"/>
    <row r="36127" s="160" customFormat="1" x14ac:dyDescent="0.3"/>
    <row r="36128" s="160" customFormat="1" x14ac:dyDescent="0.3"/>
    <row r="36129" s="160" customFormat="1" x14ac:dyDescent="0.3"/>
    <row r="36130" s="160" customFormat="1" x14ac:dyDescent="0.3"/>
    <row r="36131" s="160" customFormat="1" x14ac:dyDescent="0.3"/>
    <row r="36132" s="160" customFormat="1" x14ac:dyDescent="0.3"/>
    <row r="36133" s="160" customFormat="1" x14ac:dyDescent="0.3"/>
    <row r="36134" s="160" customFormat="1" x14ac:dyDescent="0.3"/>
    <row r="36135" s="160" customFormat="1" x14ac:dyDescent="0.3"/>
    <row r="36136" s="160" customFormat="1" x14ac:dyDescent="0.3"/>
    <row r="36137" s="160" customFormat="1" x14ac:dyDescent="0.3"/>
    <row r="36138" s="160" customFormat="1" x14ac:dyDescent="0.3"/>
    <row r="36139" s="160" customFormat="1" x14ac:dyDescent="0.3"/>
    <row r="36140" s="160" customFormat="1" x14ac:dyDescent="0.3"/>
    <row r="36141" s="160" customFormat="1" x14ac:dyDescent="0.3"/>
    <row r="36142" s="160" customFormat="1" x14ac:dyDescent="0.3"/>
    <row r="36143" s="160" customFormat="1" x14ac:dyDescent="0.3"/>
    <row r="36144" s="160" customFormat="1" x14ac:dyDescent="0.3"/>
    <row r="36145" s="160" customFormat="1" x14ac:dyDescent="0.3"/>
    <row r="36146" s="160" customFormat="1" x14ac:dyDescent="0.3"/>
    <row r="36147" s="160" customFormat="1" x14ac:dyDescent="0.3"/>
    <row r="36148" s="160" customFormat="1" x14ac:dyDescent="0.3"/>
    <row r="36149" s="160" customFormat="1" x14ac:dyDescent="0.3"/>
    <row r="36150" s="160" customFormat="1" x14ac:dyDescent="0.3"/>
    <row r="36151" s="160" customFormat="1" x14ac:dyDescent="0.3"/>
    <row r="36152" s="160" customFormat="1" x14ac:dyDescent="0.3"/>
    <row r="36153" s="160" customFormat="1" x14ac:dyDescent="0.3"/>
    <row r="36154" s="160" customFormat="1" x14ac:dyDescent="0.3"/>
    <row r="36155" s="160" customFormat="1" x14ac:dyDescent="0.3"/>
    <row r="36156" s="160" customFormat="1" x14ac:dyDescent="0.3"/>
    <row r="36157" s="160" customFormat="1" x14ac:dyDescent="0.3"/>
    <row r="36158" s="160" customFormat="1" x14ac:dyDescent="0.3"/>
    <row r="36159" s="160" customFormat="1" x14ac:dyDescent="0.3"/>
    <row r="36160" s="160" customFormat="1" x14ac:dyDescent="0.3"/>
    <row r="36161" s="160" customFormat="1" x14ac:dyDescent="0.3"/>
    <row r="36162" s="160" customFormat="1" x14ac:dyDescent="0.3"/>
    <row r="36163" s="160" customFormat="1" x14ac:dyDescent="0.3"/>
    <row r="36164" s="160" customFormat="1" x14ac:dyDescent="0.3"/>
    <row r="36165" s="160" customFormat="1" x14ac:dyDescent="0.3"/>
    <row r="36166" s="160" customFormat="1" x14ac:dyDescent="0.3"/>
    <row r="36167" s="160" customFormat="1" x14ac:dyDescent="0.3"/>
    <row r="36168" s="160" customFormat="1" x14ac:dyDescent="0.3"/>
    <row r="36169" s="160" customFormat="1" x14ac:dyDescent="0.3"/>
    <row r="36170" s="160" customFormat="1" x14ac:dyDescent="0.3"/>
    <row r="36171" s="160" customFormat="1" x14ac:dyDescent="0.3"/>
    <row r="36172" s="160" customFormat="1" x14ac:dyDescent="0.3"/>
    <row r="36173" s="160" customFormat="1" x14ac:dyDescent="0.3"/>
    <row r="36174" s="160" customFormat="1" x14ac:dyDescent="0.3"/>
    <row r="36175" s="160" customFormat="1" x14ac:dyDescent="0.3"/>
    <row r="36176" s="160" customFormat="1" x14ac:dyDescent="0.3"/>
    <row r="36177" s="160" customFormat="1" x14ac:dyDescent="0.3"/>
    <row r="36178" s="160" customFormat="1" x14ac:dyDescent="0.3"/>
    <row r="36179" s="160" customFormat="1" x14ac:dyDescent="0.3"/>
    <row r="36180" s="160" customFormat="1" x14ac:dyDescent="0.3"/>
    <row r="36181" s="160" customFormat="1" x14ac:dyDescent="0.3"/>
    <row r="36182" s="160" customFormat="1" x14ac:dyDescent="0.3"/>
    <row r="36183" s="160" customFormat="1" x14ac:dyDescent="0.3"/>
    <row r="36184" s="160" customFormat="1" x14ac:dyDescent="0.3"/>
    <row r="36185" s="160" customFormat="1" x14ac:dyDescent="0.3"/>
    <row r="36186" s="160" customFormat="1" x14ac:dyDescent="0.3"/>
    <row r="36187" s="160" customFormat="1" x14ac:dyDescent="0.3"/>
    <row r="36188" s="160" customFormat="1" x14ac:dyDescent="0.3"/>
    <row r="36189" s="160" customFormat="1" x14ac:dyDescent="0.3"/>
    <row r="36190" s="160" customFormat="1" x14ac:dyDescent="0.3"/>
    <row r="36191" s="160" customFormat="1" x14ac:dyDescent="0.3"/>
    <row r="36192" s="160" customFormat="1" x14ac:dyDescent="0.3"/>
    <row r="36193" s="160" customFormat="1" x14ac:dyDescent="0.3"/>
    <row r="36194" s="160" customFormat="1" x14ac:dyDescent="0.3"/>
    <row r="36195" s="160" customFormat="1" x14ac:dyDescent="0.3"/>
    <row r="36196" s="160" customFormat="1" x14ac:dyDescent="0.3"/>
    <row r="36197" s="160" customFormat="1" x14ac:dyDescent="0.3"/>
    <row r="36198" s="160" customFormat="1" x14ac:dyDescent="0.3"/>
    <row r="36199" s="160" customFormat="1" x14ac:dyDescent="0.3"/>
    <row r="36200" s="160" customFormat="1" x14ac:dyDescent="0.3"/>
    <row r="36201" s="160" customFormat="1" x14ac:dyDescent="0.3"/>
    <row r="36202" s="160" customFormat="1" x14ac:dyDescent="0.3"/>
    <row r="36203" s="160" customFormat="1" x14ac:dyDescent="0.3"/>
    <row r="36204" s="160" customFormat="1" x14ac:dyDescent="0.3"/>
    <row r="36205" s="160" customFormat="1" x14ac:dyDescent="0.3"/>
    <row r="36206" s="160" customFormat="1" x14ac:dyDescent="0.3"/>
    <row r="36207" s="160" customFormat="1" x14ac:dyDescent="0.3"/>
    <row r="36208" s="160" customFormat="1" x14ac:dyDescent="0.3"/>
    <row r="36209" s="160" customFormat="1" x14ac:dyDescent="0.3"/>
    <row r="36210" s="160" customFormat="1" x14ac:dyDescent="0.3"/>
    <row r="36211" s="160" customFormat="1" x14ac:dyDescent="0.3"/>
    <row r="36212" s="160" customFormat="1" x14ac:dyDescent="0.3"/>
    <row r="36213" s="160" customFormat="1" x14ac:dyDescent="0.3"/>
    <row r="36214" s="160" customFormat="1" x14ac:dyDescent="0.3"/>
    <row r="36215" s="160" customFormat="1" x14ac:dyDescent="0.3"/>
    <row r="36216" s="160" customFormat="1" x14ac:dyDescent="0.3"/>
    <row r="36217" s="160" customFormat="1" x14ac:dyDescent="0.3"/>
    <row r="36218" s="160" customFormat="1" x14ac:dyDescent="0.3"/>
    <row r="36219" s="160" customFormat="1" x14ac:dyDescent="0.3"/>
    <row r="36220" s="160" customFormat="1" x14ac:dyDescent="0.3"/>
    <row r="36221" s="160" customFormat="1" x14ac:dyDescent="0.3"/>
    <row r="36222" s="160" customFormat="1" x14ac:dyDescent="0.3"/>
    <row r="36223" s="160" customFormat="1" x14ac:dyDescent="0.3"/>
    <row r="36224" s="160" customFormat="1" x14ac:dyDescent="0.3"/>
    <row r="36225" s="160" customFormat="1" x14ac:dyDescent="0.3"/>
    <row r="36226" s="160" customFormat="1" x14ac:dyDescent="0.3"/>
    <row r="36227" s="160" customFormat="1" x14ac:dyDescent="0.3"/>
    <row r="36228" s="160" customFormat="1" x14ac:dyDescent="0.3"/>
    <row r="36229" s="160" customFormat="1" x14ac:dyDescent="0.3"/>
    <row r="36230" s="160" customFormat="1" x14ac:dyDescent="0.3"/>
    <row r="36231" s="160" customFormat="1" x14ac:dyDescent="0.3"/>
    <row r="36232" s="160" customFormat="1" x14ac:dyDescent="0.3"/>
    <row r="36233" s="160" customFormat="1" x14ac:dyDescent="0.3"/>
    <row r="36234" s="160" customFormat="1" x14ac:dyDescent="0.3"/>
    <row r="36235" s="160" customFormat="1" x14ac:dyDescent="0.3"/>
    <row r="36236" s="160" customFormat="1" x14ac:dyDescent="0.3"/>
    <row r="36237" s="160" customFormat="1" x14ac:dyDescent="0.3"/>
    <row r="36238" s="160" customFormat="1" x14ac:dyDescent="0.3"/>
    <row r="36239" s="160" customFormat="1" x14ac:dyDescent="0.3"/>
    <row r="36240" s="160" customFormat="1" x14ac:dyDescent="0.3"/>
    <row r="36241" s="160" customFormat="1" x14ac:dyDescent="0.3"/>
    <row r="36242" s="160" customFormat="1" x14ac:dyDescent="0.3"/>
    <row r="36243" s="160" customFormat="1" x14ac:dyDescent="0.3"/>
    <row r="36244" s="160" customFormat="1" x14ac:dyDescent="0.3"/>
    <row r="36245" s="160" customFormat="1" x14ac:dyDescent="0.3"/>
    <row r="36246" s="160" customFormat="1" x14ac:dyDescent="0.3"/>
    <row r="36247" s="160" customFormat="1" x14ac:dyDescent="0.3"/>
    <row r="36248" s="160" customFormat="1" x14ac:dyDescent="0.3"/>
    <row r="36249" s="160" customFormat="1" x14ac:dyDescent="0.3"/>
    <row r="36250" s="160" customFormat="1" x14ac:dyDescent="0.3"/>
    <row r="36251" s="160" customFormat="1" x14ac:dyDescent="0.3"/>
    <row r="36252" s="160" customFormat="1" x14ac:dyDescent="0.3"/>
    <row r="36253" s="160" customFormat="1" x14ac:dyDescent="0.3"/>
    <row r="36254" s="160" customFormat="1" x14ac:dyDescent="0.3"/>
    <row r="36255" s="160" customFormat="1" x14ac:dyDescent="0.3"/>
    <row r="36256" s="160" customFormat="1" x14ac:dyDescent="0.3"/>
    <row r="36257" s="160" customFormat="1" x14ac:dyDescent="0.3"/>
    <row r="36258" s="160" customFormat="1" x14ac:dyDescent="0.3"/>
    <row r="36259" s="160" customFormat="1" x14ac:dyDescent="0.3"/>
    <row r="36260" s="160" customFormat="1" x14ac:dyDescent="0.3"/>
    <row r="36261" s="160" customFormat="1" x14ac:dyDescent="0.3"/>
    <row r="36262" s="160" customFormat="1" x14ac:dyDescent="0.3"/>
    <row r="36263" s="160" customFormat="1" x14ac:dyDescent="0.3"/>
    <row r="36264" s="160" customFormat="1" x14ac:dyDescent="0.3"/>
    <row r="36265" s="160" customFormat="1" x14ac:dyDescent="0.3"/>
    <row r="36266" s="160" customFormat="1" x14ac:dyDescent="0.3"/>
    <row r="36267" s="160" customFormat="1" x14ac:dyDescent="0.3"/>
    <row r="36268" s="160" customFormat="1" x14ac:dyDescent="0.3"/>
    <row r="36269" s="160" customFormat="1" x14ac:dyDescent="0.3"/>
    <row r="36270" s="160" customFormat="1" x14ac:dyDescent="0.3"/>
    <row r="36271" s="160" customFormat="1" x14ac:dyDescent="0.3"/>
    <row r="36272" s="160" customFormat="1" x14ac:dyDescent="0.3"/>
    <row r="36273" s="160" customFormat="1" x14ac:dyDescent="0.3"/>
    <row r="36274" s="160" customFormat="1" x14ac:dyDescent="0.3"/>
    <row r="36275" s="160" customFormat="1" x14ac:dyDescent="0.3"/>
    <row r="36276" s="160" customFormat="1" x14ac:dyDescent="0.3"/>
    <row r="36277" s="160" customFormat="1" x14ac:dyDescent="0.3"/>
    <row r="36278" s="160" customFormat="1" x14ac:dyDescent="0.3"/>
    <row r="36279" s="160" customFormat="1" x14ac:dyDescent="0.3"/>
    <row r="36280" s="160" customFormat="1" x14ac:dyDescent="0.3"/>
    <row r="36281" s="160" customFormat="1" x14ac:dyDescent="0.3"/>
    <row r="36282" s="160" customFormat="1" x14ac:dyDescent="0.3"/>
    <row r="36283" s="160" customFormat="1" x14ac:dyDescent="0.3"/>
    <row r="36284" s="160" customFormat="1" x14ac:dyDescent="0.3"/>
    <row r="36285" s="160" customFormat="1" x14ac:dyDescent="0.3"/>
    <row r="36286" s="160" customFormat="1" x14ac:dyDescent="0.3"/>
    <row r="36287" s="160" customFormat="1" x14ac:dyDescent="0.3"/>
    <row r="36288" s="160" customFormat="1" x14ac:dyDescent="0.3"/>
    <row r="36289" s="160" customFormat="1" x14ac:dyDescent="0.3"/>
    <row r="36290" s="160" customFormat="1" x14ac:dyDescent="0.3"/>
    <row r="36291" s="160" customFormat="1" x14ac:dyDescent="0.3"/>
    <row r="36292" s="160" customFormat="1" x14ac:dyDescent="0.3"/>
    <row r="36293" s="160" customFormat="1" x14ac:dyDescent="0.3"/>
    <row r="36294" s="160" customFormat="1" x14ac:dyDescent="0.3"/>
    <row r="36295" s="160" customFormat="1" x14ac:dyDescent="0.3"/>
    <row r="36296" s="160" customFormat="1" x14ac:dyDescent="0.3"/>
    <row r="36297" s="160" customFormat="1" x14ac:dyDescent="0.3"/>
    <row r="36298" s="160" customFormat="1" x14ac:dyDescent="0.3"/>
    <row r="36299" s="160" customFormat="1" x14ac:dyDescent="0.3"/>
    <row r="36300" s="160" customFormat="1" x14ac:dyDescent="0.3"/>
    <row r="36301" s="160" customFormat="1" x14ac:dyDescent="0.3"/>
    <row r="36302" s="160" customFormat="1" x14ac:dyDescent="0.3"/>
    <row r="36303" s="160" customFormat="1" x14ac:dyDescent="0.3"/>
    <row r="36304" s="160" customFormat="1" x14ac:dyDescent="0.3"/>
    <row r="36305" s="160" customFormat="1" x14ac:dyDescent="0.3"/>
    <row r="36306" s="160" customFormat="1" x14ac:dyDescent="0.3"/>
    <row r="36307" s="160" customFormat="1" x14ac:dyDescent="0.3"/>
    <row r="36308" s="160" customFormat="1" x14ac:dyDescent="0.3"/>
    <row r="36309" s="160" customFormat="1" x14ac:dyDescent="0.3"/>
    <row r="36310" s="160" customFormat="1" x14ac:dyDescent="0.3"/>
    <row r="36311" s="160" customFormat="1" x14ac:dyDescent="0.3"/>
    <row r="36312" s="160" customFormat="1" x14ac:dyDescent="0.3"/>
    <row r="36313" s="160" customFormat="1" x14ac:dyDescent="0.3"/>
    <row r="36314" s="160" customFormat="1" x14ac:dyDescent="0.3"/>
    <row r="36315" s="160" customFormat="1" x14ac:dyDescent="0.3"/>
    <row r="36316" s="160" customFormat="1" x14ac:dyDescent="0.3"/>
    <row r="36317" s="160" customFormat="1" x14ac:dyDescent="0.3"/>
    <row r="36318" s="160" customFormat="1" x14ac:dyDescent="0.3"/>
    <row r="36319" s="160" customFormat="1" x14ac:dyDescent="0.3"/>
    <row r="36320" s="160" customFormat="1" x14ac:dyDescent="0.3"/>
    <row r="36321" s="160" customFormat="1" x14ac:dyDescent="0.3"/>
    <row r="36322" s="160" customFormat="1" x14ac:dyDescent="0.3"/>
    <row r="36323" s="160" customFormat="1" x14ac:dyDescent="0.3"/>
    <row r="36324" s="160" customFormat="1" x14ac:dyDescent="0.3"/>
    <row r="36325" s="160" customFormat="1" x14ac:dyDescent="0.3"/>
    <row r="36326" s="160" customFormat="1" x14ac:dyDescent="0.3"/>
    <row r="36327" s="160" customFormat="1" x14ac:dyDescent="0.3"/>
    <row r="36328" s="160" customFormat="1" x14ac:dyDescent="0.3"/>
    <row r="36329" s="160" customFormat="1" x14ac:dyDescent="0.3"/>
    <row r="36330" s="160" customFormat="1" x14ac:dyDescent="0.3"/>
    <row r="36331" s="160" customFormat="1" x14ac:dyDescent="0.3"/>
    <row r="36332" s="160" customFormat="1" x14ac:dyDescent="0.3"/>
    <row r="36333" s="160" customFormat="1" x14ac:dyDescent="0.3"/>
    <row r="36334" s="160" customFormat="1" x14ac:dyDescent="0.3"/>
    <row r="36335" s="160" customFormat="1" x14ac:dyDescent="0.3"/>
    <row r="36336" s="160" customFormat="1" x14ac:dyDescent="0.3"/>
    <row r="36337" s="160" customFormat="1" x14ac:dyDescent="0.3"/>
    <row r="36338" s="160" customFormat="1" x14ac:dyDescent="0.3"/>
    <row r="36339" s="160" customFormat="1" x14ac:dyDescent="0.3"/>
    <row r="36340" s="160" customFormat="1" x14ac:dyDescent="0.3"/>
    <row r="36341" s="160" customFormat="1" x14ac:dyDescent="0.3"/>
    <row r="36342" s="160" customFormat="1" x14ac:dyDescent="0.3"/>
    <row r="36343" s="160" customFormat="1" x14ac:dyDescent="0.3"/>
    <row r="36344" s="160" customFormat="1" x14ac:dyDescent="0.3"/>
    <row r="36345" s="160" customFormat="1" x14ac:dyDescent="0.3"/>
    <row r="36346" s="160" customFormat="1" x14ac:dyDescent="0.3"/>
    <row r="36347" s="160" customFormat="1" x14ac:dyDescent="0.3"/>
    <row r="36348" s="160" customFormat="1" x14ac:dyDescent="0.3"/>
    <row r="36349" s="160" customFormat="1" x14ac:dyDescent="0.3"/>
    <row r="36350" s="160" customFormat="1" x14ac:dyDescent="0.3"/>
    <row r="36351" s="160" customFormat="1" x14ac:dyDescent="0.3"/>
    <row r="36352" s="160" customFormat="1" x14ac:dyDescent="0.3"/>
    <row r="36353" s="160" customFormat="1" x14ac:dyDescent="0.3"/>
    <row r="36354" s="160" customFormat="1" x14ac:dyDescent="0.3"/>
    <row r="36355" s="160" customFormat="1" x14ac:dyDescent="0.3"/>
    <row r="36356" s="160" customFormat="1" x14ac:dyDescent="0.3"/>
    <row r="36357" s="160" customFormat="1" x14ac:dyDescent="0.3"/>
    <row r="36358" s="160" customFormat="1" x14ac:dyDescent="0.3"/>
    <row r="36359" s="160" customFormat="1" x14ac:dyDescent="0.3"/>
    <row r="36360" s="160" customFormat="1" x14ac:dyDescent="0.3"/>
    <row r="36361" s="160" customFormat="1" x14ac:dyDescent="0.3"/>
    <row r="36362" s="160" customFormat="1" x14ac:dyDescent="0.3"/>
    <row r="36363" s="160" customFormat="1" x14ac:dyDescent="0.3"/>
    <row r="36364" s="160" customFormat="1" x14ac:dyDescent="0.3"/>
    <row r="36365" s="160" customFormat="1" x14ac:dyDescent="0.3"/>
    <row r="36366" s="160" customFormat="1" x14ac:dyDescent="0.3"/>
    <row r="36367" s="160" customFormat="1" x14ac:dyDescent="0.3"/>
    <row r="36368" s="160" customFormat="1" x14ac:dyDescent="0.3"/>
    <row r="36369" s="160" customFormat="1" x14ac:dyDescent="0.3"/>
    <row r="36370" s="160" customFormat="1" x14ac:dyDescent="0.3"/>
    <row r="36371" s="160" customFormat="1" x14ac:dyDescent="0.3"/>
    <row r="36372" s="160" customFormat="1" x14ac:dyDescent="0.3"/>
    <row r="36373" s="160" customFormat="1" x14ac:dyDescent="0.3"/>
    <row r="36374" s="160" customFormat="1" x14ac:dyDescent="0.3"/>
    <row r="36375" s="160" customFormat="1" x14ac:dyDescent="0.3"/>
    <row r="36376" s="160" customFormat="1" x14ac:dyDescent="0.3"/>
    <row r="36377" s="160" customFormat="1" x14ac:dyDescent="0.3"/>
    <row r="36378" s="160" customFormat="1" x14ac:dyDescent="0.3"/>
    <row r="36379" s="160" customFormat="1" x14ac:dyDescent="0.3"/>
    <row r="36380" s="160" customFormat="1" x14ac:dyDescent="0.3"/>
    <row r="36381" s="160" customFormat="1" x14ac:dyDescent="0.3"/>
    <row r="36382" s="160" customFormat="1" x14ac:dyDescent="0.3"/>
    <row r="36383" s="160" customFormat="1" x14ac:dyDescent="0.3"/>
    <row r="36384" s="160" customFormat="1" x14ac:dyDescent="0.3"/>
    <row r="36385" s="160" customFormat="1" x14ac:dyDescent="0.3"/>
    <row r="36386" s="160" customFormat="1" x14ac:dyDescent="0.3"/>
    <row r="36387" s="160" customFormat="1" x14ac:dyDescent="0.3"/>
    <row r="36388" s="160" customFormat="1" x14ac:dyDescent="0.3"/>
    <row r="36389" s="160" customFormat="1" x14ac:dyDescent="0.3"/>
    <row r="36390" s="160" customFormat="1" x14ac:dyDescent="0.3"/>
    <row r="36391" s="160" customFormat="1" x14ac:dyDescent="0.3"/>
    <row r="36392" s="160" customFormat="1" x14ac:dyDescent="0.3"/>
    <row r="36393" s="160" customFormat="1" x14ac:dyDescent="0.3"/>
    <row r="36394" s="160" customFormat="1" x14ac:dyDescent="0.3"/>
    <row r="36395" s="160" customFormat="1" x14ac:dyDescent="0.3"/>
    <row r="36396" s="160" customFormat="1" x14ac:dyDescent="0.3"/>
    <row r="36397" s="160" customFormat="1" x14ac:dyDescent="0.3"/>
    <row r="36398" s="160" customFormat="1" x14ac:dyDescent="0.3"/>
    <row r="36399" s="160" customFormat="1" x14ac:dyDescent="0.3"/>
    <row r="36400" s="160" customFormat="1" x14ac:dyDescent="0.3"/>
    <row r="36401" s="160" customFormat="1" x14ac:dyDescent="0.3"/>
    <row r="36402" s="160" customFormat="1" x14ac:dyDescent="0.3"/>
    <row r="36403" s="160" customFormat="1" x14ac:dyDescent="0.3"/>
    <row r="36404" s="160" customFormat="1" x14ac:dyDescent="0.3"/>
    <row r="36405" s="160" customFormat="1" x14ac:dyDescent="0.3"/>
    <row r="36406" s="160" customFormat="1" x14ac:dyDescent="0.3"/>
    <row r="36407" s="160" customFormat="1" x14ac:dyDescent="0.3"/>
    <row r="36408" s="160" customFormat="1" x14ac:dyDescent="0.3"/>
    <row r="36409" s="160" customFormat="1" x14ac:dyDescent="0.3"/>
    <row r="36410" s="160" customFormat="1" x14ac:dyDescent="0.3"/>
    <row r="36411" s="160" customFormat="1" x14ac:dyDescent="0.3"/>
    <row r="36412" s="160" customFormat="1" x14ac:dyDescent="0.3"/>
    <row r="36413" s="160" customFormat="1" x14ac:dyDescent="0.3"/>
    <row r="36414" s="160" customFormat="1" x14ac:dyDescent="0.3"/>
    <row r="36415" s="160" customFormat="1" x14ac:dyDescent="0.3"/>
    <row r="36416" s="160" customFormat="1" x14ac:dyDescent="0.3"/>
    <row r="36417" s="160" customFormat="1" x14ac:dyDescent="0.3"/>
    <row r="36418" s="160" customFormat="1" x14ac:dyDescent="0.3"/>
    <row r="36419" s="160" customFormat="1" x14ac:dyDescent="0.3"/>
    <row r="36420" s="160" customFormat="1" x14ac:dyDescent="0.3"/>
    <row r="36421" s="160" customFormat="1" x14ac:dyDescent="0.3"/>
    <row r="36422" s="160" customFormat="1" x14ac:dyDescent="0.3"/>
    <row r="36423" s="160" customFormat="1" x14ac:dyDescent="0.3"/>
    <row r="36424" s="160" customFormat="1" x14ac:dyDescent="0.3"/>
    <row r="36425" s="160" customFormat="1" x14ac:dyDescent="0.3"/>
    <row r="36426" s="160" customFormat="1" x14ac:dyDescent="0.3"/>
    <row r="36427" s="160" customFormat="1" x14ac:dyDescent="0.3"/>
    <row r="36428" s="160" customFormat="1" x14ac:dyDescent="0.3"/>
    <row r="36429" s="160" customFormat="1" x14ac:dyDescent="0.3"/>
    <row r="36430" s="160" customFormat="1" x14ac:dyDescent="0.3"/>
    <row r="36431" s="160" customFormat="1" x14ac:dyDescent="0.3"/>
    <row r="36432" s="160" customFormat="1" x14ac:dyDescent="0.3"/>
    <row r="36433" s="160" customFormat="1" x14ac:dyDescent="0.3"/>
    <row r="36434" s="160" customFormat="1" x14ac:dyDescent="0.3"/>
    <row r="36435" s="160" customFormat="1" x14ac:dyDescent="0.3"/>
    <row r="36436" s="160" customFormat="1" x14ac:dyDescent="0.3"/>
    <row r="36437" s="160" customFormat="1" x14ac:dyDescent="0.3"/>
    <row r="36438" s="160" customFormat="1" x14ac:dyDescent="0.3"/>
    <row r="36439" s="160" customFormat="1" x14ac:dyDescent="0.3"/>
    <row r="36440" s="160" customFormat="1" x14ac:dyDescent="0.3"/>
    <row r="36441" s="160" customFormat="1" x14ac:dyDescent="0.3"/>
    <row r="36442" s="160" customFormat="1" x14ac:dyDescent="0.3"/>
    <row r="36443" s="160" customFormat="1" x14ac:dyDescent="0.3"/>
    <row r="36444" s="160" customFormat="1" x14ac:dyDescent="0.3"/>
    <row r="36445" s="160" customFormat="1" x14ac:dyDescent="0.3"/>
    <row r="36446" s="160" customFormat="1" x14ac:dyDescent="0.3"/>
    <row r="36447" s="160" customFormat="1" x14ac:dyDescent="0.3"/>
    <row r="36448" s="160" customFormat="1" x14ac:dyDescent="0.3"/>
    <row r="36449" s="160" customFormat="1" x14ac:dyDescent="0.3"/>
    <row r="36450" s="160" customFormat="1" x14ac:dyDescent="0.3"/>
    <row r="36451" s="160" customFormat="1" x14ac:dyDescent="0.3"/>
    <row r="36452" s="160" customFormat="1" x14ac:dyDescent="0.3"/>
    <row r="36453" s="160" customFormat="1" x14ac:dyDescent="0.3"/>
    <row r="36454" s="160" customFormat="1" x14ac:dyDescent="0.3"/>
    <row r="36455" s="160" customFormat="1" x14ac:dyDescent="0.3"/>
    <row r="36456" s="160" customFormat="1" x14ac:dyDescent="0.3"/>
    <row r="36457" s="160" customFormat="1" x14ac:dyDescent="0.3"/>
    <row r="36458" s="160" customFormat="1" x14ac:dyDescent="0.3"/>
    <row r="36459" s="160" customFormat="1" x14ac:dyDescent="0.3"/>
    <row r="36460" s="160" customFormat="1" x14ac:dyDescent="0.3"/>
    <row r="36461" s="160" customFormat="1" x14ac:dyDescent="0.3"/>
    <row r="36462" s="160" customFormat="1" x14ac:dyDescent="0.3"/>
    <row r="36463" s="160" customFormat="1" x14ac:dyDescent="0.3"/>
    <row r="36464" s="160" customFormat="1" x14ac:dyDescent="0.3"/>
    <row r="36465" s="160" customFormat="1" x14ac:dyDescent="0.3"/>
    <row r="36466" s="160" customFormat="1" x14ac:dyDescent="0.3"/>
    <row r="36467" s="160" customFormat="1" x14ac:dyDescent="0.3"/>
    <row r="36468" s="160" customFormat="1" x14ac:dyDescent="0.3"/>
    <row r="36469" s="160" customFormat="1" x14ac:dyDescent="0.3"/>
    <row r="36470" s="160" customFormat="1" x14ac:dyDescent="0.3"/>
    <row r="36471" s="160" customFormat="1" x14ac:dyDescent="0.3"/>
    <row r="36472" s="160" customFormat="1" x14ac:dyDescent="0.3"/>
    <row r="36473" s="160" customFormat="1" x14ac:dyDescent="0.3"/>
    <row r="36474" s="160" customFormat="1" x14ac:dyDescent="0.3"/>
    <row r="36475" s="160" customFormat="1" x14ac:dyDescent="0.3"/>
    <row r="36476" s="160" customFormat="1" x14ac:dyDescent="0.3"/>
    <row r="36477" s="160" customFormat="1" x14ac:dyDescent="0.3"/>
    <row r="36478" s="160" customFormat="1" x14ac:dyDescent="0.3"/>
    <row r="36479" s="160" customFormat="1" x14ac:dyDescent="0.3"/>
    <row r="36480" s="160" customFormat="1" x14ac:dyDescent="0.3"/>
    <row r="36481" s="160" customFormat="1" x14ac:dyDescent="0.3"/>
    <row r="36482" s="160" customFormat="1" x14ac:dyDescent="0.3"/>
    <row r="36483" s="160" customFormat="1" x14ac:dyDescent="0.3"/>
    <row r="36484" s="160" customFormat="1" x14ac:dyDescent="0.3"/>
    <row r="36485" s="160" customFormat="1" x14ac:dyDescent="0.3"/>
    <row r="36486" s="160" customFormat="1" x14ac:dyDescent="0.3"/>
    <row r="36487" s="160" customFormat="1" x14ac:dyDescent="0.3"/>
    <row r="36488" s="160" customFormat="1" x14ac:dyDescent="0.3"/>
    <row r="36489" s="160" customFormat="1" x14ac:dyDescent="0.3"/>
    <row r="36490" s="160" customFormat="1" x14ac:dyDescent="0.3"/>
    <row r="36491" s="160" customFormat="1" x14ac:dyDescent="0.3"/>
    <row r="36492" s="160" customFormat="1" x14ac:dyDescent="0.3"/>
    <row r="36493" s="160" customFormat="1" x14ac:dyDescent="0.3"/>
    <row r="36494" s="160" customFormat="1" x14ac:dyDescent="0.3"/>
    <row r="36495" s="160" customFormat="1" x14ac:dyDescent="0.3"/>
    <row r="36496" s="160" customFormat="1" x14ac:dyDescent="0.3"/>
    <row r="36497" s="160" customFormat="1" x14ac:dyDescent="0.3"/>
    <row r="36498" s="160" customFormat="1" x14ac:dyDescent="0.3"/>
    <row r="36499" s="160" customFormat="1" x14ac:dyDescent="0.3"/>
    <row r="36500" s="160" customFormat="1" x14ac:dyDescent="0.3"/>
    <row r="36501" s="160" customFormat="1" x14ac:dyDescent="0.3"/>
    <row r="36502" s="160" customFormat="1" x14ac:dyDescent="0.3"/>
    <row r="36503" s="160" customFormat="1" x14ac:dyDescent="0.3"/>
    <row r="36504" s="160" customFormat="1" x14ac:dyDescent="0.3"/>
    <row r="36505" s="160" customFormat="1" x14ac:dyDescent="0.3"/>
    <row r="36506" s="160" customFormat="1" x14ac:dyDescent="0.3"/>
    <row r="36507" s="160" customFormat="1" x14ac:dyDescent="0.3"/>
    <row r="36508" s="160" customFormat="1" x14ac:dyDescent="0.3"/>
    <row r="36509" s="160" customFormat="1" x14ac:dyDescent="0.3"/>
    <row r="36510" s="160" customFormat="1" x14ac:dyDescent="0.3"/>
    <row r="36511" s="160" customFormat="1" x14ac:dyDescent="0.3"/>
    <row r="36512" s="160" customFormat="1" x14ac:dyDescent="0.3"/>
    <row r="36513" s="160" customFormat="1" x14ac:dyDescent="0.3"/>
    <row r="36514" s="160" customFormat="1" x14ac:dyDescent="0.3"/>
    <row r="36515" s="160" customFormat="1" x14ac:dyDescent="0.3"/>
    <row r="36516" s="160" customFormat="1" x14ac:dyDescent="0.3"/>
    <row r="36517" s="160" customFormat="1" x14ac:dyDescent="0.3"/>
    <row r="36518" s="160" customFormat="1" x14ac:dyDescent="0.3"/>
    <row r="36519" s="160" customFormat="1" x14ac:dyDescent="0.3"/>
    <row r="36520" s="160" customFormat="1" x14ac:dyDescent="0.3"/>
    <row r="36521" s="160" customFormat="1" x14ac:dyDescent="0.3"/>
    <row r="36522" s="160" customFormat="1" x14ac:dyDescent="0.3"/>
    <row r="36523" s="160" customFormat="1" x14ac:dyDescent="0.3"/>
    <row r="36524" s="160" customFormat="1" x14ac:dyDescent="0.3"/>
    <row r="36525" s="160" customFormat="1" x14ac:dyDescent="0.3"/>
    <row r="36526" s="160" customFormat="1" x14ac:dyDescent="0.3"/>
    <row r="36527" s="160" customFormat="1" x14ac:dyDescent="0.3"/>
    <row r="36528" s="160" customFormat="1" x14ac:dyDescent="0.3"/>
    <row r="36529" s="160" customFormat="1" x14ac:dyDescent="0.3"/>
    <row r="36530" s="160" customFormat="1" x14ac:dyDescent="0.3"/>
    <row r="36531" s="160" customFormat="1" x14ac:dyDescent="0.3"/>
    <row r="36532" s="160" customFormat="1" x14ac:dyDescent="0.3"/>
    <row r="36533" s="160" customFormat="1" x14ac:dyDescent="0.3"/>
    <row r="36534" s="160" customFormat="1" x14ac:dyDescent="0.3"/>
    <row r="36535" s="160" customFormat="1" x14ac:dyDescent="0.3"/>
    <row r="36536" s="160" customFormat="1" x14ac:dyDescent="0.3"/>
    <row r="36537" s="160" customFormat="1" x14ac:dyDescent="0.3"/>
    <row r="36538" s="160" customFormat="1" x14ac:dyDescent="0.3"/>
    <row r="36539" s="160" customFormat="1" x14ac:dyDescent="0.3"/>
    <row r="36540" s="160" customFormat="1" x14ac:dyDescent="0.3"/>
    <row r="36541" s="160" customFormat="1" x14ac:dyDescent="0.3"/>
    <row r="36542" s="160" customFormat="1" x14ac:dyDescent="0.3"/>
    <row r="36543" s="160" customFormat="1" x14ac:dyDescent="0.3"/>
    <row r="36544" s="160" customFormat="1" x14ac:dyDescent="0.3"/>
    <row r="36545" s="160" customFormat="1" x14ac:dyDescent="0.3"/>
    <row r="36546" s="160" customFormat="1" x14ac:dyDescent="0.3"/>
    <row r="36547" s="160" customFormat="1" x14ac:dyDescent="0.3"/>
    <row r="36548" s="160" customFormat="1" x14ac:dyDescent="0.3"/>
    <row r="36549" s="160" customFormat="1" x14ac:dyDescent="0.3"/>
    <row r="36550" s="160" customFormat="1" x14ac:dyDescent="0.3"/>
    <row r="36551" s="160" customFormat="1" x14ac:dyDescent="0.3"/>
    <row r="36552" s="160" customFormat="1" x14ac:dyDescent="0.3"/>
    <row r="36553" s="160" customFormat="1" x14ac:dyDescent="0.3"/>
    <row r="36554" s="160" customFormat="1" x14ac:dyDescent="0.3"/>
    <row r="36555" s="160" customFormat="1" x14ac:dyDescent="0.3"/>
    <row r="36556" s="160" customFormat="1" x14ac:dyDescent="0.3"/>
    <row r="36557" s="160" customFormat="1" x14ac:dyDescent="0.3"/>
    <row r="36558" s="160" customFormat="1" x14ac:dyDescent="0.3"/>
    <row r="36559" s="160" customFormat="1" x14ac:dyDescent="0.3"/>
    <row r="36560" s="160" customFormat="1" x14ac:dyDescent="0.3"/>
    <row r="36561" s="160" customFormat="1" x14ac:dyDescent="0.3"/>
    <row r="36562" s="160" customFormat="1" x14ac:dyDescent="0.3"/>
    <row r="36563" s="160" customFormat="1" x14ac:dyDescent="0.3"/>
    <row r="36564" s="160" customFormat="1" x14ac:dyDescent="0.3"/>
    <row r="36565" s="160" customFormat="1" x14ac:dyDescent="0.3"/>
    <row r="36566" s="160" customFormat="1" x14ac:dyDescent="0.3"/>
    <row r="36567" s="160" customFormat="1" x14ac:dyDescent="0.3"/>
    <row r="36568" s="160" customFormat="1" x14ac:dyDescent="0.3"/>
    <row r="36569" s="160" customFormat="1" x14ac:dyDescent="0.3"/>
    <row r="36570" s="160" customFormat="1" x14ac:dyDescent="0.3"/>
    <row r="36571" s="160" customFormat="1" x14ac:dyDescent="0.3"/>
    <row r="36572" s="160" customFormat="1" x14ac:dyDescent="0.3"/>
    <row r="36573" s="160" customFormat="1" x14ac:dyDescent="0.3"/>
    <row r="36574" s="160" customFormat="1" x14ac:dyDescent="0.3"/>
    <row r="36575" s="160" customFormat="1" x14ac:dyDescent="0.3"/>
    <row r="36576" s="160" customFormat="1" x14ac:dyDescent="0.3"/>
    <row r="36577" s="160" customFormat="1" x14ac:dyDescent="0.3"/>
    <row r="36578" s="160" customFormat="1" x14ac:dyDescent="0.3"/>
    <row r="36579" s="160" customFormat="1" x14ac:dyDescent="0.3"/>
    <row r="36580" s="160" customFormat="1" x14ac:dyDescent="0.3"/>
    <row r="36581" s="160" customFormat="1" x14ac:dyDescent="0.3"/>
    <row r="36582" s="160" customFormat="1" x14ac:dyDescent="0.3"/>
    <row r="36583" s="160" customFormat="1" x14ac:dyDescent="0.3"/>
    <row r="36584" s="160" customFormat="1" x14ac:dyDescent="0.3"/>
    <row r="36585" s="160" customFormat="1" x14ac:dyDescent="0.3"/>
    <row r="36586" s="160" customFormat="1" x14ac:dyDescent="0.3"/>
    <row r="36587" s="160" customFormat="1" x14ac:dyDescent="0.3"/>
    <row r="36588" s="160" customFormat="1" x14ac:dyDescent="0.3"/>
    <row r="36589" s="160" customFormat="1" x14ac:dyDescent="0.3"/>
    <row r="36590" s="160" customFormat="1" x14ac:dyDescent="0.3"/>
    <row r="36591" s="160" customFormat="1" x14ac:dyDescent="0.3"/>
    <row r="36592" s="160" customFormat="1" x14ac:dyDescent="0.3"/>
    <row r="36593" s="160" customFormat="1" x14ac:dyDescent="0.3"/>
    <row r="36594" s="160" customFormat="1" x14ac:dyDescent="0.3"/>
    <row r="36595" s="160" customFormat="1" x14ac:dyDescent="0.3"/>
    <row r="36596" s="160" customFormat="1" x14ac:dyDescent="0.3"/>
    <row r="36597" s="160" customFormat="1" x14ac:dyDescent="0.3"/>
    <row r="36598" s="160" customFormat="1" x14ac:dyDescent="0.3"/>
    <row r="36599" s="160" customFormat="1" x14ac:dyDescent="0.3"/>
    <row r="36600" s="160" customFormat="1" x14ac:dyDescent="0.3"/>
    <row r="36601" s="160" customFormat="1" x14ac:dyDescent="0.3"/>
    <row r="36602" s="160" customFormat="1" x14ac:dyDescent="0.3"/>
    <row r="36603" s="160" customFormat="1" x14ac:dyDescent="0.3"/>
    <row r="36604" s="160" customFormat="1" x14ac:dyDescent="0.3"/>
    <row r="36605" s="160" customFormat="1" x14ac:dyDescent="0.3"/>
    <row r="36606" s="160" customFormat="1" x14ac:dyDescent="0.3"/>
    <row r="36607" s="160" customFormat="1" x14ac:dyDescent="0.3"/>
    <row r="36608" s="160" customFormat="1" x14ac:dyDescent="0.3"/>
    <row r="36609" s="160" customFormat="1" x14ac:dyDescent="0.3"/>
    <row r="36610" s="160" customFormat="1" x14ac:dyDescent="0.3"/>
    <row r="36611" s="160" customFormat="1" x14ac:dyDescent="0.3"/>
    <row r="36612" s="160" customFormat="1" x14ac:dyDescent="0.3"/>
    <row r="36613" s="160" customFormat="1" x14ac:dyDescent="0.3"/>
    <row r="36614" s="160" customFormat="1" x14ac:dyDescent="0.3"/>
    <row r="36615" s="160" customFormat="1" x14ac:dyDescent="0.3"/>
    <row r="36616" s="160" customFormat="1" x14ac:dyDescent="0.3"/>
    <row r="36617" s="160" customFormat="1" x14ac:dyDescent="0.3"/>
    <row r="36618" s="160" customFormat="1" x14ac:dyDescent="0.3"/>
    <row r="36619" s="160" customFormat="1" x14ac:dyDescent="0.3"/>
    <row r="36620" s="160" customFormat="1" x14ac:dyDescent="0.3"/>
    <row r="36621" s="160" customFormat="1" x14ac:dyDescent="0.3"/>
    <row r="36622" s="160" customFormat="1" x14ac:dyDescent="0.3"/>
    <row r="36623" s="160" customFormat="1" x14ac:dyDescent="0.3"/>
    <row r="36624" s="160" customFormat="1" x14ac:dyDescent="0.3"/>
    <row r="36625" s="160" customFormat="1" x14ac:dyDescent="0.3"/>
    <row r="36626" s="160" customFormat="1" x14ac:dyDescent="0.3"/>
    <row r="36627" s="160" customFormat="1" x14ac:dyDescent="0.3"/>
    <row r="36628" s="160" customFormat="1" x14ac:dyDescent="0.3"/>
    <row r="36629" s="160" customFormat="1" x14ac:dyDescent="0.3"/>
    <row r="36630" s="160" customFormat="1" x14ac:dyDescent="0.3"/>
    <row r="36631" s="160" customFormat="1" x14ac:dyDescent="0.3"/>
    <row r="36632" s="160" customFormat="1" x14ac:dyDescent="0.3"/>
    <row r="36633" s="160" customFormat="1" x14ac:dyDescent="0.3"/>
    <row r="36634" s="160" customFormat="1" x14ac:dyDescent="0.3"/>
    <row r="36635" s="160" customFormat="1" x14ac:dyDescent="0.3"/>
    <row r="36636" s="160" customFormat="1" x14ac:dyDescent="0.3"/>
    <row r="36637" s="160" customFormat="1" x14ac:dyDescent="0.3"/>
    <row r="36638" s="160" customFormat="1" x14ac:dyDescent="0.3"/>
    <row r="36639" s="160" customFormat="1" x14ac:dyDescent="0.3"/>
    <row r="36640" s="160" customFormat="1" x14ac:dyDescent="0.3"/>
    <row r="36641" s="160" customFormat="1" x14ac:dyDescent="0.3"/>
    <row r="36642" s="160" customFormat="1" x14ac:dyDescent="0.3"/>
    <row r="36643" s="160" customFormat="1" x14ac:dyDescent="0.3"/>
    <row r="36644" s="160" customFormat="1" x14ac:dyDescent="0.3"/>
    <row r="36645" s="160" customFormat="1" x14ac:dyDescent="0.3"/>
    <row r="36646" s="160" customFormat="1" x14ac:dyDescent="0.3"/>
    <row r="36647" s="160" customFormat="1" x14ac:dyDescent="0.3"/>
    <row r="36648" s="160" customFormat="1" x14ac:dyDescent="0.3"/>
    <row r="36649" s="160" customFormat="1" x14ac:dyDescent="0.3"/>
    <row r="36650" s="160" customFormat="1" x14ac:dyDescent="0.3"/>
    <row r="36651" s="160" customFormat="1" x14ac:dyDescent="0.3"/>
    <row r="36652" s="160" customFormat="1" x14ac:dyDescent="0.3"/>
    <row r="36653" s="160" customFormat="1" x14ac:dyDescent="0.3"/>
    <row r="36654" s="160" customFormat="1" x14ac:dyDescent="0.3"/>
    <row r="36655" s="160" customFormat="1" x14ac:dyDescent="0.3"/>
    <row r="36656" s="160" customFormat="1" x14ac:dyDescent="0.3"/>
    <row r="36657" s="160" customFormat="1" x14ac:dyDescent="0.3"/>
    <row r="36658" s="160" customFormat="1" x14ac:dyDescent="0.3"/>
    <row r="36659" s="160" customFormat="1" x14ac:dyDescent="0.3"/>
    <row r="36660" s="160" customFormat="1" x14ac:dyDescent="0.3"/>
    <row r="36661" s="160" customFormat="1" x14ac:dyDescent="0.3"/>
    <row r="36662" s="160" customFormat="1" x14ac:dyDescent="0.3"/>
    <row r="36663" s="160" customFormat="1" x14ac:dyDescent="0.3"/>
    <row r="36664" s="160" customFormat="1" x14ac:dyDescent="0.3"/>
    <row r="36665" s="160" customFormat="1" x14ac:dyDescent="0.3"/>
    <row r="36666" s="160" customFormat="1" x14ac:dyDescent="0.3"/>
    <row r="36667" s="160" customFormat="1" x14ac:dyDescent="0.3"/>
    <row r="36668" s="160" customFormat="1" x14ac:dyDescent="0.3"/>
    <row r="36669" s="160" customFormat="1" x14ac:dyDescent="0.3"/>
    <row r="36670" s="160" customFormat="1" x14ac:dyDescent="0.3"/>
    <row r="36671" s="160" customFormat="1" x14ac:dyDescent="0.3"/>
    <row r="36672" s="160" customFormat="1" x14ac:dyDescent="0.3"/>
    <row r="36673" s="160" customFormat="1" x14ac:dyDescent="0.3"/>
    <row r="36674" s="160" customFormat="1" x14ac:dyDescent="0.3"/>
    <row r="36675" s="160" customFormat="1" x14ac:dyDescent="0.3"/>
    <row r="36676" s="160" customFormat="1" x14ac:dyDescent="0.3"/>
    <row r="36677" s="160" customFormat="1" x14ac:dyDescent="0.3"/>
    <row r="36678" s="160" customFormat="1" x14ac:dyDescent="0.3"/>
    <row r="36679" s="160" customFormat="1" x14ac:dyDescent="0.3"/>
    <row r="36680" s="160" customFormat="1" x14ac:dyDescent="0.3"/>
    <row r="36681" s="160" customFormat="1" x14ac:dyDescent="0.3"/>
    <row r="36682" s="160" customFormat="1" x14ac:dyDescent="0.3"/>
    <row r="36683" s="160" customFormat="1" x14ac:dyDescent="0.3"/>
    <row r="36684" s="160" customFormat="1" x14ac:dyDescent="0.3"/>
    <row r="36685" s="160" customFormat="1" x14ac:dyDescent="0.3"/>
    <row r="36686" s="160" customFormat="1" x14ac:dyDescent="0.3"/>
    <row r="36687" s="160" customFormat="1" x14ac:dyDescent="0.3"/>
    <row r="36688" s="160" customFormat="1" x14ac:dyDescent="0.3"/>
    <row r="36689" s="160" customFormat="1" x14ac:dyDescent="0.3"/>
    <row r="36690" s="160" customFormat="1" x14ac:dyDescent="0.3"/>
    <row r="36691" s="160" customFormat="1" x14ac:dyDescent="0.3"/>
    <row r="36692" s="160" customFormat="1" x14ac:dyDescent="0.3"/>
    <row r="36693" s="160" customFormat="1" x14ac:dyDescent="0.3"/>
    <row r="36694" s="160" customFormat="1" x14ac:dyDescent="0.3"/>
    <row r="36695" s="160" customFormat="1" x14ac:dyDescent="0.3"/>
    <row r="36696" s="160" customFormat="1" x14ac:dyDescent="0.3"/>
    <row r="36697" s="160" customFormat="1" x14ac:dyDescent="0.3"/>
    <row r="36698" s="160" customFormat="1" x14ac:dyDescent="0.3"/>
    <row r="36699" s="160" customFormat="1" x14ac:dyDescent="0.3"/>
    <row r="36700" s="160" customFormat="1" x14ac:dyDescent="0.3"/>
    <row r="36701" s="160" customFormat="1" x14ac:dyDescent="0.3"/>
    <row r="36702" s="160" customFormat="1" x14ac:dyDescent="0.3"/>
    <row r="36703" s="160" customFormat="1" x14ac:dyDescent="0.3"/>
    <row r="36704" s="160" customFormat="1" x14ac:dyDescent="0.3"/>
    <row r="36705" s="160" customFormat="1" x14ac:dyDescent="0.3"/>
    <row r="36706" s="160" customFormat="1" x14ac:dyDescent="0.3"/>
    <row r="36707" s="160" customFormat="1" x14ac:dyDescent="0.3"/>
    <row r="36708" s="160" customFormat="1" x14ac:dyDescent="0.3"/>
    <row r="36709" s="160" customFormat="1" x14ac:dyDescent="0.3"/>
    <row r="36710" s="160" customFormat="1" x14ac:dyDescent="0.3"/>
    <row r="36711" s="160" customFormat="1" x14ac:dyDescent="0.3"/>
    <row r="36712" s="160" customFormat="1" x14ac:dyDescent="0.3"/>
    <row r="36713" s="160" customFormat="1" x14ac:dyDescent="0.3"/>
    <row r="36714" s="160" customFormat="1" x14ac:dyDescent="0.3"/>
    <row r="36715" s="160" customFormat="1" x14ac:dyDescent="0.3"/>
    <row r="36716" s="160" customFormat="1" x14ac:dyDescent="0.3"/>
    <row r="36717" s="160" customFormat="1" x14ac:dyDescent="0.3"/>
    <row r="36718" s="160" customFormat="1" x14ac:dyDescent="0.3"/>
    <row r="36719" s="160" customFormat="1" x14ac:dyDescent="0.3"/>
    <row r="36720" s="160" customFormat="1" x14ac:dyDescent="0.3"/>
    <row r="36721" s="160" customFormat="1" x14ac:dyDescent="0.3"/>
    <row r="36722" s="160" customFormat="1" x14ac:dyDescent="0.3"/>
    <row r="36723" s="160" customFormat="1" x14ac:dyDescent="0.3"/>
    <row r="36724" s="160" customFormat="1" x14ac:dyDescent="0.3"/>
    <row r="36725" s="160" customFormat="1" x14ac:dyDescent="0.3"/>
    <row r="36726" s="160" customFormat="1" x14ac:dyDescent="0.3"/>
    <row r="36727" s="160" customFormat="1" x14ac:dyDescent="0.3"/>
    <row r="36728" s="160" customFormat="1" x14ac:dyDescent="0.3"/>
    <row r="36729" s="160" customFormat="1" x14ac:dyDescent="0.3"/>
    <row r="36730" s="160" customFormat="1" x14ac:dyDescent="0.3"/>
    <row r="36731" s="160" customFormat="1" x14ac:dyDescent="0.3"/>
    <row r="36732" s="160" customFormat="1" x14ac:dyDescent="0.3"/>
    <row r="36733" s="160" customFormat="1" x14ac:dyDescent="0.3"/>
    <row r="36734" s="160" customFormat="1" x14ac:dyDescent="0.3"/>
    <row r="36735" s="160" customFormat="1" x14ac:dyDescent="0.3"/>
    <row r="36736" s="160" customFormat="1" x14ac:dyDescent="0.3"/>
    <row r="36737" s="160" customFormat="1" x14ac:dyDescent="0.3"/>
    <row r="36738" s="160" customFormat="1" x14ac:dyDescent="0.3"/>
    <row r="36739" s="160" customFormat="1" x14ac:dyDescent="0.3"/>
    <row r="36740" s="160" customFormat="1" x14ac:dyDescent="0.3"/>
    <row r="36741" s="160" customFormat="1" x14ac:dyDescent="0.3"/>
    <row r="36742" s="160" customFormat="1" x14ac:dyDescent="0.3"/>
    <row r="36743" s="160" customFormat="1" x14ac:dyDescent="0.3"/>
    <row r="36744" s="160" customFormat="1" x14ac:dyDescent="0.3"/>
    <row r="36745" s="160" customFormat="1" x14ac:dyDescent="0.3"/>
    <row r="36746" s="160" customFormat="1" x14ac:dyDescent="0.3"/>
    <row r="36747" s="160" customFormat="1" x14ac:dyDescent="0.3"/>
    <row r="36748" s="160" customFormat="1" x14ac:dyDescent="0.3"/>
    <row r="36749" s="160" customFormat="1" x14ac:dyDescent="0.3"/>
    <row r="36750" s="160" customFormat="1" x14ac:dyDescent="0.3"/>
    <row r="36751" s="160" customFormat="1" x14ac:dyDescent="0.3"/>
    <row r="36752" s="160" customFormat="1" x14ac:dyDescent="0.3"/>
    <row r="36753" s="160" customFormat="1" x14ac:dyDescent="0.3"/>
    <row r="36754" s="160" customFormat="1" x14ac:dyDescent="0.3"/>
    <row r="36755" s="160" customFormat="1" x14ac:dyDescent="0.3"/>
    <row r="36756" s="160" customFormat="1" x14ac:dyDescent="0.3"/>
    <row r="36757" s="160" customFormat="1" x14ac:dyDescent="0.3"/>
    <row r="36758" s="160" customFormat="1" x14ac:dyDescent="0.3"/>
    <row r="36759" s="160" customFormat="1" x14ac:dyDescent="0.3"/>
    <row r="36760" s="160" customFormat="1" x14ac:dyDescent="0.3"/>
    <row r="36761" s="160" customFormat="1" x14ac:dyDescent="0.3"/>
    <row r="36762" s="160" customFormat="1" x14ac:dyDescent="0.3"/>
    <row r="36763" s="160" customFormat="1" x14ac:dyDescent="0.3"/>
    <row r="36764" s="160" customFormat="1" x14ac:dyDescent="0.3"/>
    <row r="36765" s="160" customFormat="1" x14ac:dyDescent="0.3"/>
    <row r="36766" s="160" customFormat="1" x14ac:dyDescent="0.3"/>
    <row r="36767" s="160" customFormat="1" x14ac:dyDescent="0.3"/>
    <row r="36768" s="160" customFormat="1" x14ac:dyDescent="0.3"/>
    <row r="36769" s="160" customFormat="1" x14ac:dyDescent="0.3"/>
    <row r="36770" s="160" customFormat="1" x14ac:dyDescent="0.3"/>
    <row r="36771" s="160" customFormat="1" x14ac:dyDescent="0.3"/>
    <row r="36772" s="160" customFormat="1" x14ac:dyDescent="0.3"/>
    <row r="36773" s="160" customFormat="1" x14ac:dyDescent="0.3"/>
    <row r="36774" s="160" customFormat="1" x14ac:dyDescent="0.3"/>
    <row r="36775" s="160" customFormat="1" x14ac:dyDescent="0.3"/>
    <row r="36776" s="160" customFormat="1" x14ac:dyDescent="0.3"/>
    <row r="36777" s="160" customFormat="1" x14ac:dyDescent="0.3"/>
    <row r="36778" s="160" customFormat="1" x14ac:dyDescent="0.3"/>
    <row r="36779" s="160" customFormat="1" x14ac:dyDescent="0.3"/>
    <row r="36780" s="160" customFormat="1" x14ac:dyDescent="0.3"/>
    <row r="36781" s="160" customFormat="1" x14ac:dyDescent="0.3"/>
    <row r="36782" s="160" customFormat="1" x14ac:dyDescent="0.3"/>
    <row r="36783" s="160" customFormat="1" x14ac:dyDescent="0.3"/>
    <row r="36784" s="160" customFormat="1" x14ac:dyDescent="0.3"/>
    <row r="36785" s="160" customFormat="1" x14ac:dyDescent="0.3"/>
    <row r="36786" s="160" customFormat="1" x14ac:dyDescent="0.3"/>
    <row r="36787" s="160" customFormat="1" x14ac:dyDescent="0.3"/>
    <row r="36788" s="160" customFormat="1" x14ac:dyDescent="0.3"/>
    <row r="36789" s="160" customFormat="1" x14ac:dyDescent="0.3"/>
    <row r="36790" s="160" customFormat="1" x14ac:dyDescent="0.3"/>
    <row r="36791" s="160" customFormat="1" x14ac:dyDescent="0.3"/>
    <row r="36792" s="160" customFormat="1" x14ac:dyDescent="0.3"/>
    <row r="36793" s="160" customFormat="1" x14ac:dyDescent="0.3"/>
    <row r="36794" s="160" customFormat="1" x14ac:dyDescent="0.3"/>
    <row r="36795" s="160" customFormat="1" x14ac:dyDescent="0.3"/>
    <row r="36796" s="160" customFormat="1" x14ac:dyDescent="0.3"/>
    <row r="36797" s="160" customFormat="1" x14ac:dyDescent="0.3"/>
    <row r="36798" s="160" customFormat="1" x14ac:dyDescent="0.3"/>
    <row r="36799" s="160" customFormat="1" x14ac:dyDescent="0.3"/>
    <row r="36800" s="160" customFormat="1" x14ac:dyDescent="0.3"/>
    <row r="36801" s="160" customFormat="1" x14ac:dyDescent="0.3"/>
    <row r="36802" s="160" customFormat="1" x14ac:dyDescent="0.3"/>
    <row r="36803" s="160" customFormat="1" x14ac:dyDescent="0.3"/>
    <row r="36804" s="160" customFormat="1" x14ac:dyDescent="0.3"/>
    <row r="36805" s="160" customFormat="1" x14ac:dyDescent="0.3"/>
    <row r="36806" s="160" customFormat="1" x14ac:dyDescent="0.3"/>
    <row r="36807" s="160" customFormat="1" x14ac:dyDescent="0.3"/>
    <row r="36808" s="160" customFormat="1" x14ac:dyDescent="0.3"/>
    <row r="36809" s="160" customFormat="1" x14ac:dyDescent="0.3"/>
    <row r="36810" s="160" customFormat="1" x14ac:dyDescent="0.3"/>
    <row r="36811" s="160" customFormat="1" x14ac:dyDescent="0.3"/>
    <row r="36812" s="160" customFormat="1" x14ac:dyDescent="0.3"/>
    <row r="36813" s="160" customFormat="1" x14ac:dyDescent="0.3"/>
    <row r="36814" s="160" customFormat="1" x14ac:dyDescent="0.3"/>
    <row r="36815" s="160" customFormat="1" x14ac:dyDescent="0.3"/>
    <row r="36816" s="160" customFormat="1" x14ac:dyDescent="0.3"/>
    <row r="36817" s="160" customFormat="1" x14ac:dyDescent="0.3"/>
    <row r="36818" s="160" customFormat="1" x14ac:dyDescent="0.3"/>
    <row r="36819" s="160" customFormat="1" x14ac:dyDescent="0.3"/>
    <row r="36820" s="160" customFormat="1" x14ac:dyDescent="0.3"/>
    <row r="36821" s="160" customFormat="1" x14ac:dyDescent="0.3"/>
    <row r="36822" s="160" customFormat="1" x14ac:dyDescent="0.3"/>
    <row r="36823" s="160" customFormat="1" x14ac:dyDescent="0.3"/>
    <row r="36824" s="160" customFormat="1" x14ac:dyDescent="0.3"/>
    <row r="36825" s="160" customFormat="1" x14ac:dyDescent="0.3"/>
    <row r="36826" s="160" customFormat="1" x14ac:dyDescent="0.3"/>
    <row r="36827" s="160" customFormat="1" x14ac:dyDescent="0.3"/>
    <row r="36828" s="160" customFormat="1" x14ac:dyDescent="0.3"/>
    <row r="36829" s="160" customFormat="1" x14ac:dyDescent="0.3"/>
    <row r="36830" s="160" customFormat="1" x14ac:dyDescent="0.3"/>
    <row r="36831" s="160" customFormat="1" x14ac:dyDescent="0.3"/>
    <row r="36832" s="160" customFormat="1" x14ac:dyDescent="0.3"/>
    <row r="36833" s="160" customFormat="1" x14ac:dyDescent="0.3"/>
    <row r="36834" s="160" customFormat="1" x14ac:dyDescent="0.3"/>
    <row r="36835" s="160" customFormat="1" x14ac:dyDescent="0.3"/>
    <row r="36836" s="160" customFormat="1" x14ac:dyDescent="0.3"/>
    <row r="36837" s="160" customFormat="1" x14ac:dyDescent="0.3"/>
    <row r="36838" s="160" customFormat="1" x14ac:dyDescent="0.3"/>
    <row r="36839" s="160" customFormat="1" x14ac:dyDescent="0.3"/>
    <row r="36840" s="160" customFormat="1" x14ac:dyDescent="0.3"/>
    <row r="36841" s="160" customFormat="1" x14ac:dyDescent="0.3"/>
    <row r="36842" s="160" customFormat="1" x14ac:dyDescent="0.3"/>
    <row r="36843" s="160" customFormat="1" x14ac:dyDescent="0.3"/>
    <row r="36844" s="160" customFormat="1" x14ac:dyDescent="0.3"/>
    <row r="36845" s="160" customFormat="1" x14ac:dyDescent="0.3"/>
    <row r="36846" s="160" customFormat="1" x14ac:dyDescent="0.3"/>
    <row r="36847" s="160" customFormat="1" x14ac:dyDescent="0.3"/>
    <row r="36848" s="160" customFormat="1" x14ac:dyDescent="0.3"/>
    <row r="36849" s="160" customFormat="1" x14ac:dyDescent="0.3"/>
    <row r="36850" s="160" customFormat="1" x14ac:dyDescent="0.3"/>
    <row r="36851" s="160" customFormat="1" x14ac:dyDescent="0.3"/>
    <row r="36852" s="160" customFormat="1" x14ac:dyDescent="0.3"/>
    <row r="36853" s="160" customFormat="1" x14ac:dyDescent="0.3"/>
    <row r="36854" s="160" customFormat="1" x14ac:dyDescent="0.3"/>
    <row r="36855" s="160" customFormat="1" x14ac:dyDescent="0.3"/>
    <row r="36856" s="160" customFormat="1" x14ac:dyDescent="0.3"/>
    <row r="36857" s="160" customFormat="1" x14ac:dyDescent="0.3"/>
    <row r="36858" s="160" customFormat="1" x14ac:dyDescent="0.3"/>
    <row r="36859" s="160" customFormat="1" x14ac:dyDescent="0.3"/>
    <row r="36860" s="160" customFormat="1" x14ac:dyDescent="0.3"/>
    <row r="36861" s="160" customFormat="1" x14ac:dyDescent="0.3"/>
    <row r="36862" s="160" customFormat="1" x14ac:dyDescent="0.3"/>
    <row r="36863" s="160" customFormat="1" x14ac:dyDescent="0.3"/>
    <row r="36864" s="160" customFormat="1" x14ac:dyDescent="0.3"/>
    <row r="36865" s="160" customFormat="1" x14ac:dyDescent="0.3"/>
    <row r="36866" s="160" customFormat="1" x14ac:dyDescent="0.3"/>
    <row r="36867" s="160" customFormat="1" x14ac:dyDescent="0.3"/>
    <row r="36868" s="160" customFormat="1" x14ac:dyDescent="0.3"/>
    <row r="36869" s="160" customFormat="1" x14ac:dyDescent="0.3"/>
    <row r="36870" s="160" customFormat="1" x14ac:dyDescent="0.3"/>
    <row r="36871" s="160" customFormat="1" x14ac:dyDescent="0.3"/>
    <row r="36872" s="160" customFormat="1" x14ac:dyDescent="0.3"/>
    <row r="36873" s="160" customFormat="1" x14ac:dyDescent="0.3"/>
    <row r="36874" s="160" customFormat="1" x14ac:dyDescent="0.3"/>
    <row r="36875" s="160" customFormat="1" x14ac:dyDescent="0.3"/>
    <row r="36876" s="160" customFormat="1" x14ac:dyDescent="0.3"/>
    <row r="36877" s="160" customFormat="1" x14ac:dyDescent="0.3"/>
    <row r="36878" s="160" customFormat="1" x14ac:dyDescent="0.3"/>
    <row r="36879" s="160" customFormat="1" x14ac:dyDescent="0.3"/>
    <row r="36880" s="160" customFormat="1" x14ac:dyDescent="0.3"/>
    <row r="36881" s="160" customFormat="1" x14ac:dyDescent="0.3"/>
    <row r="36882" s="160" customFormat="1" x14ac:dyDescent="0.3"/>
    <row r="36883" s="160" customFormat="1" x14ac:dyDescent="0.3"/>
    <row r="36884" s="160" customFormat="1" x14ac:dyDescent="0.3"/>
    <row r="36885" s="160" customFormat="1" x14ac:dyDescent="0.3"/>
    <row r="36886" s="160" customFormat="1" x14ac:dyDescent="0.3"/>
    <row r="36887" s="160" customFormat="1" x14ac:dyDescent="0.3"/>
    <row r="36888" s="160" customFormat="1" x14ac:dyDescent="0.3"/>
    <row r="36889" s="160" customFormat="1" x14ac:dyDescent="0.3"/>
    <row r="36890" s="160" customFormat="1" x14ac:dyDescent="0.3"/>
    <row r="36891" s="160" customFormat="1" x14ac:dyDescent="0.3"/>
    <row r="36892" s="160" customFormat="1" x14ac:dyDescent="0.3"/>
    <row r="36893" s="160" customFormat="1" x14ac:dyDescent="0.3"/>
    <row r="36894" s="160" customFormat="1" x14ac:dyDescent="0.3"/>
    <row r="36895" s="160" customFormat="1" x14ac:dyDescent="0.3"/>
    <row r="36896" s="160" customFormat="1" x14ac:dyDescent="0.3"/>
    <row r="36897" s="160" customFormat="1" x14ac:dyDescent="0.3"/>
    <row r="36898" s="160" customFormat="1" x14ac:dyDescent="0.3"/>
    <row r="36899" s="160" customFormat="1" x14ac:dyDescent="0.3"/>
    <row r="36900" s="160" customFormat="1" x14ac:dyDescent="0.3"/>
    <row r="36901" s="160" customFormat="1" x14ac:dyDescent="0.3"/>
    <row r="36902" s="160" customFormat="1" x14ac:dyDescent="0.3"/>
    <row r="36903" s="160" customFormat="1" x14ac:dyDescent="0.3"/>
    <row r="36904" s="160" customFormat="1" x14ac:dyDescent="0.3"/>
    <row r="36905" s="160" customFormat="1" x14ac:dyDescent="0.3"/>
    <row r="36906" s="160" customFormat="1" x14ac:dyDescent="0.3"/>
    <row r="36907" s="160" customFormat="1" x14ac:dyDescent="0.3"/>
    <row r="36908" s="160" customFormat="1" x14ac:dyDescent="0.3"/>
    <row r="36909" s="160" customFormat="1" x14ac:dyDescent="0.3"/>
    <row r="36910" s="160" customFormat="1" x14ac:dyDescent="0.3"/>
    <row r="36911" s="160" customFormat="1" x14ac:dyDescent="0.3"/>
    <row r="36912" s="160" customFormat="1" x14ac:dyDescent="0.3"/>
    <row r="36913" s="160" customFormat="1" x14ac:dyDescent="0.3"/>
    <row r="36914" s="160" customFormat="1" x14ac:dyDescent="0.3"/>
    <row r="36915" s="160" customFormat="1" x14ac:dyDescent="0.3"/>
    <row r="36916" s="160" customFormat="1" x14ac:dyDescent="0.3"/>
    <row r="36917" s="160" customFormat="1" x14ac:dyDescent="0.3"/>
    <row r="36918" s="160" customFormat="1" x14ac:dyDescent="0.3"/>
    <row r="36919" s="160" customFormat="1" x14ac:dyDescent="0.3"/>
    <row r="36920" s="160" customFormat="1" x14ac:dyDescent="0.3"/>
    <row r="36921" s="160" customFormat="1" x14ac:dyDescent="0.3"/>
    <row r="36922" s="160" customFormat="1" x14ac:dyDescent="0.3"/>
    <row r="36923" s="160" customFormat="1" x14ac:dyDescent="0.3"/>
    <row r="36924" s="160" customFormat="1" x14ac:dyDescent="0.3"/>
    <row r="36925" s="160" customFormat="1" x14ac:dyDescent="0.3"/>
    <row r="36926" s="160" customFormat="1" x14ac:dyDescent="0.3"/>
    <row r="36927" s="160" customFormat="1" x14ac:dyDescent="0.3"/>
    <row r="36928" s="160" customFormat="1" x14ac:dyDescent="0.3"/>
    <row r="36929" s="160" customFormat="1" x14ac:dyDescent="0.3"/>
    <row r="36930" s="160" customFormat="1" x14ac:dyDescent="0.3"/>
    <row r="36931" s="160" customFormat="1" x14ac:dyDescent="0.3"/>
    <row r="36932" s="160" customFormat="1" x14ac:dyDescent="0.3"/>
    <row r="36933" s="160" customFormat="1" x14ac:dyDescent="0.3"/>
    <row r="36934" s="160" customFormat="1" x14ac:dyDescent="0.3"/>
    <row r="36935" s="160" customFormat="1" x14ac:dyDescent="0.3"/>
    <row r="36936" s="160" customFormat="1" x14ac:dyDescent="0.3"/>
    <row r="36937" s="160" customFormat="1" x14ac:dyDescent="0.3"/>
    <row r="36938" s="160" customFormat="1" x14ac:dyDescent="0.3"/>
    <row r="36939" s="160" customFormat="1" x14ac:dyDescent="0.3"/>
    <row r="36940" s="160" customFormat="1" x14ac:dyDescent="0.3"/>
    <row r="36941" s="160" customFormat="1" x14ac:dyDescent="0.3"/>
    <row r="36942" s="160" customFormat="1" x14ac:dyDescent="0.3"/>
    <row r="36943" s="160" customFormat="1" x14ac:dyDescent="0.3"/>
    <row r="36944" s="160" customFormat="1" x14ac:dyDescent="0.3"/>
    <row r="36945" s="160" customFormat="1" x14ac:dyDescent="0.3"/>
    <row r="36946" s="160" customFormat="1" x14ac:dyDescent="0.3"/>
    <row r="36947" s="160" customFormat="1" x14ac:dyDescent="0.3"/>
    <row r="36948" s="160" customFormat="1" x14ac:dyDescent="0.3"/>
    <row r="36949" s="160" customFormat="1" x14ac:dyDescent="0.3"/>
    <row r="36950" s="160" customFormat="1" x14ac:dyDescent="0.3"/>
    <row r="36951" s="160" customFormat="1" x14ac:dyDescent="0.3"/>
    <row r="36952" s="160" customFormat="1" x14ac:dyDescent="0.3"/>
    <row r="36953" s="160" customFormat="1" x14ac:dyDescent="0.3"/>
    <row r="36954" s="160" customFormat="1" x14ac:dyDescent="0.3"/>
    <row r="36955" s="160" customFormat="1" x14ac:dyDescent="0.3"/>
    <row r="36956" s="160" customFormat="1" x14ac:dyDescent="0.3"/>
    <row r="36957" s="160" customFormat="1" x14ac:dyDescent="0.3"/>
    <row r="36958" s="160" customFormat="1" x14ac:dyDescent="0.3"/>
    <row r="36959" s="160" customFormat="1" x14ac:dyDescent="0.3"/>
    <row r="36960" s="160" customFormat="1" x14ac:dyDescent="0.3"/>
    <row r="36961" s="160" customFormat="1" x14ac:dyDescent="0.3"/>
    <row r="36962" s="160" customFormat="1" x14ac:dyDescent="0.3"/>
    <row r="36963" s="160" customFormat="1" x14ac:dyDescent="0.3"/>
    <row r="36964" s="160" customFormat="1" x14ac:dyDescent="0.3"/>
    <row r="36965" s="160" customFormat="1" x14ac:dyDescent="0.3"/>
    <row r="36966" s="160" customFormat="1" x14ac:dyDescent="0.3"/>
    <row r="36967" s="160" customFormat="1" x14ac:dyDescent="0.3"/>
    <row r="36968" s="160" customFormat="1" x14ac:dyDescent="0.3"/>
    <row r="36969" s="160" customFormat="1" x14ac:dyDescent="0.3"/>
    <row r="36970" s="160" customFormat="1" x14ac:dyDescent="0.3"/>
    <row r="36971" s="160" customFormat="1" x14ac:dyDescent="0.3"/>
    <row r="36972" s="160" customFormat="1" x14ac:dyDescent="0.3"/>
    <row r="36973" s="160" customFormat="1" x14ac:dyDescent="0.3"/>
    <row r="36974" s="160" customFormat="1" x14ac:dyDescent="0.3"/>
    <row r="36975" s="160" customFormat="1" x14ac:dyDescent="0.3"/>
    <row r="36976" s="160" customFormat="1" x14ac:dyDescent="0.3"/>
    <row r="36977" s="160" customFormat="1" x14ac:dyDescent="0.3"/>
    <row r="36978" s="160" customFormat="1" x14ac:dyDescent="0.3"/>
    <row r="36979" s="160" customFormat="1" x14ac:dyDescent="0.3"/>
    <row r="36980" s="160" customFormat="1" x14ac:dyDescent="0.3"/>
    <row r="36981" s="160" customFormat="1" x14ac:dyDescent="0.3"/>
    <row r="36982" s="160" customFormat="1" x14ac:dyDescent="0.3"/>
    <row r="36983" s="160" customFormat="1" x14ac:dyDescent="0.3"/>
    <row r="36984" s="160" customFormat="1" x14ac:dyDescent="0.3"/>
    <row r="36985" s="160" customFormat="1" x14ac:dyDescent="0.3"/>
    <row r="36986" s="160" customFormat="1" x14ac:dyDescent="0.3"/>
    <row r="36987" s="160" customFormat="1" x14ac:dyDescent="0.3"/>
    <row r="36988" s="160" customFormat="1" x14ac:dyDescent="0.3"/>
    <row r="36989" s="160" customFormat="1" x14ac:dyDescent="0.3"/>
    <row r="36990" s="160" customFormat="1" x14ac:dyDescent="0.3"/>
    <row r="36991" s="160" customFormat="1" x14ac:dyDescent="0.3"/>
    <row r="36992" s="160" customFormat="1" x14ac:dyDescent="0.3"/>
    <row r="36993" s="160" customFormat="1" x14ac:dyDescent="0.3"/>
    <row r="36994" s="160" customFormat="1" x14ac:dyDescent="0.3"/>
    <row r="36995" s="160" customFormat="1" x14ac:dyDescent="0.3"/>
    <row r="36996" s="160" customFormat="1" x14ac:dyDescent="0.3"/>
    <row r="36997" s="160" customFormat="1" x14ac:dyDescent="0.3"/>
    <row r="36998" s="160" customFormat="1" x14ac:dyDescent="0.3"/>
    <row r="36999" s="160" customFormat="1" x14ac:dyDescent="0.3"/>
    <row r="37000" s="160" customFormat="1" x14ac:dyDescent="0.3"/>
    <row r="37001" s="160" customFormat="1" x14ac:dyDescent="0.3"/>
    <row r="37002" s="160" customFormat="1" x14ac:dyDescent="0.3"/>
    <row r="37003" s="160" customFormat="1" x14ac:dyDescent="0.3"/>
    <row r="37004" s="160" customFormat="1" x14ac:dyDescent="0.3"/>
    <row r="37005" s="160" customFormat="1" x14ac:dyDescent="0.3"/>
    <row r="37006" s="160" customFormat="1" x14ac:dyDescent="0.3"/>
    <row r="37007" s="160" customFormat="1" x14ac:dyDescent="0.3"/>
    <row r="37008" s="160" customFormat="1" x14ac:dyDescent="0.3"/>
    <row r="37009" s="160" customFormat="1" x14ac:dyDescent="0.3"/>
    <row r="37010" s="160" customFormat="1" x14ac:dyDescent="0.3"/>
    <row r="37011" s="160" customFormat="1" x14ac:dyDescent="0.3"/>
    <row r="37012" s="160" customFormat="1" x14ac:dyDescent="0.3"/>
    <row r="37013" s="160" customFormat="1" x14ac:dyDescent="0.3"/>
    <row r="37014" s="160" customFormat="1" x14ac:dyDescent="0.3"/>
    <row r="37015" s="160" customFormat="1" x14ac:dyDescent="0.3"/>
    <row r="37016" s="160" customFormat="1" x14ac:dyDescent="0.3"/>
    <row r="37017" s="160" customFormat="1" x14ac:dyDescent="0.3"/>
    <row r="37018" s="160" customFormat="1" x14ac:dyDescent="0.3"/>
    <row r="37019" s="160" customFormat="1" x14ac:dyDescent="0.3"/>
    <row r="37020" s="160" customFormat="1" x14ac:dyDescent="0.3"/>
    <row r="37021" s="160" customFormat="1" x14ac:dyDescent="0.3"/>
    <row r="37022" s="160" customFormat="1" x14ac:dyDescent="0.3"/>
    <row r="37023" s="160" customFormat="1" x14ac:dyDescent="0.3"/>
    <row r="37024" s="160" customFormat="1" x14ac:dyDescent="0.3"/>
    <row r="37025" s="160" customFormat="1" x14ac:dyDescent="0.3"/>
    <row r="37026" s="160" customFormat="1" x14ac:dyDescent="0.3"/>
    <row r="37027" s="160" customFormat="1" x14ac:dyDescent="0.3"/>
    <row r="37028" s="160" customFormat="1" x14ac:dyDescent="0.3"/>
    <row r="37029" s="160" customFormat="1" x14ac:dyDescent="0.3"/>
    <row r="37030" s="160" customFormat="1" x14ac:dyDescent="0.3"/>
    <row r="37031" s="160" customFormat="1" x14ac:dyDescent="0.3"/>
    <row r="37032" s="160" customFormat="1" x14ac:dyDescent="0.3"/>
    <row r="37033" s="160" customFormat="1" x14ac:dyDescent="0.3"/>
    <row r="37034" s="160" customFormat="1" x14ac:dyDescent="0.3"/>
    <row r="37035" s="160" customFormat="1" x14ac:dyDescent="0.3"/>
    <row r="37036" s="160" customFormat="1" x14ac:dyDescent="0.3"/>
    <row r="37037" s="160" customFormat="1" x14ac:dyDescent="0.3"/>
    <row r="37038" s="160" customFormat="1" x14ac:dyDescent="0.3"/>
    <row r="37039" s="160" customFormat="1" x14ac:dyDescent="0.3"/>
    <row r="37040" s="160" customFormat="1" x14ac:dyDescent="0.3"/>
    <row r="37041" s="160" customFormat="1" x14ac:dyDescent="0.3"/>
    <row r="37042" s="160" customFormat="1" x14ac:dyDescent="0.3"/>
    <row r="37043" s="160" customFormat="1" x14ac:dyDescent="0.3"/>
    <row r="37044" s="160" customFormat="1" x14ac:dyDescent="0.3"/>
    <row r="37045" s="160" customFormat="1" x14ac:dyDescent="0.3"/>
    <row r="37046" s="160" customFormat="1" x14ac:dyDescent="0.3"/>
    <row r="37047" s="160" customFormat="1" x14ac:dyDescent="0.3"/>
    <row r="37048" s="160" customFormat="1" x14ac:dyDescent="0.3"/>
    <row r="37049" s="160" customFormat="1" x14ac:dyDescent="0.3"/>
    <row r="37050" s="160" customFormat="1" x14ac:dyDescent="0.3"/>
    <row r="37051" s="160" customFormat="1" x14ac:dyDescent="0.3"/>
    <row r="37052" s="160" customFormat="1" x14ac:dyDescent="0.3"/>
    <row r="37053" s="160" customFormat="1" x14ac:dyDescent="0.3"/>
    <row r="37054" s="160" customFormat="1" x14ac:dyDescent="0.3"/>
    <row r="37055" s="160" customFormat="1" x14ac:dyDescent="0.3"/>
    <row r="37056" s="160" customFormat="1" x14ac:dyDescent="0.3"/>
    <row r="37057" s="160" customFormat="1" x14ac:dyDescent="0.3"/>
    <row r="37058" s="160" customFormat="1" x14ac:dyDescent="0.3"/>
    <row r="37059" s="160" customFormat="1" x14ac:dyDescent="0.3"/>
    <row r="37060" s="160" customFormat="1" x14ac:dyDescent="0.3"/>
    <row r="37061" s="160" customFormat="1" x14ac:dyDescent="0.3"/>
    <row r="37062" s="160" customFormat="1" x14ac:dyDescent="0.3"/>
    <row r="37063" s="160" customFormat="1" x14ac:dyDescent="0.3"/>
    <row r="37064" s="160" customFormat="1" x14ac:dyDescent="0.3"/>
    <row r="37065" s="160" customFormat="1" x14ac:dyDescent="0.3"/>
    <row r="37066" s="160" customFormat="1" x14ac:dyDescent="0.3"/>
    <row r="37067" s="160" customFormat="1" x14ac:dyDescent="0.3"/>
    <row r="37068" s="160" customFormat="1" x14ac:dyDescent="0.3"/>
    <row r="37069" s="160" customFormat="1" x14ac:dyDescent="0.3"/>
    <row r="37070" s="160" customFormat="1" x14ac:dyDescent="0.3"/>
    <row r="37071" s="160" customFormat="1" x14ac:dyDescent="0.3"/>
    <row r="37072" s="160" customFormat="1" x14ac:dyDescent="0.3"/>
    <row r="37073" s="160" customFormat="1" x14ac:dyDescent="0.3"/>
    <row r="37074" s="160" customFormat="1" x14ac:dyDescent="0.3"/>
    <row r="37075" s="160" customFormat="1" x14ac:dyDescent="0.3"/>
    <row r="37076" s="160" customFormat="1" x14ac:dyDescent="0.3"/>
    <row r="37077" s="160" customFormat="1" x14ac:dyDescent="0.3"/>
    <row r="37078" s="160" customFormat="1" x14ac:dyDescent="0.3"/>
    <row r="37079" s="160" customFormat="1" x14ac:dyDescent="0.3"/>
    <row r="37080" s="160" customFormat="1" x14ac:dyDescent="0.3"/>
    <row r="37081" s="160" customFormat="1" x14ac:dyDescent="0.3"/>
    <row r="37082" s="160" customFormat="1" x14ac:dyDescent="0.3"/>
    <row r="37083" s="160" customFormat="1" x14ac:dyDescent="0.3"/>
    <row r="37084" s="160" customFormat="1" x14ac:dyDescent="0.3"/>
    <row r="37085" s="160" customFormat="1" x14ac:dyDescent="0.3"/>
    <row r="37086" s="160" customFormat="1" x14ac:dyDescent="0.3"/>
    <row r="37087" s="160" customFormat="1" x14ac:dyDescent="0.3"/>
    <row r="37088" s="160" customFormat="1" x14ac:dyDescent="0.3"/>
    <row r="37089" s="160" customFormat="1" x14ac:dyDescent="0.3"/>
    <row r="37090" s="160" customFormat="1" x14ac:dyDescent="0.3"/>
    <row r="37091" s="160" customFormat="1" x14ac:dyDescent="0.3"/>
    <row r="37092" s="160" customFormat="1" x14ac:dyDescent="0.3"/>
    <row r="37093" s="160" customFormat="1" x14ac:dyDescent="0.3"/>
    <row r="37094" s="160" customFormat="1" x14ac:dyDescent="0.3"/>
    <row r="37095" s="160" customFormat="1" x14ac:dyDescent="0.3"/>
    <row r="37096" s="160" customFormat="1" x14ac:dyDescent="0.3"/>
    <row r="37097" s="160" customFormat="1" x14ac:dyDescent="0.3"/>
    <row r="37098" s="160" customFormat="1" x14ac:dyDescent="0.3"/>
    <row r="37099" s="160" customFormat="1" x14ac:dyDescent="0.3"/>
    <row r="37100" s="160" customFormat="1" x14ac:dyDescent="0.3"/>
    <row r="37101" s="160" customFormat="1" x14ac:dyDescent="0.3"/>
    <row r="37102" s="160" customFormat="1" x14ac:dyDescent="0.3"/>
    <row r="37103" s="160" customFormat="1" x14ac:dyDescent="0.3"/>
    <row r="37104" s="160" customFormat="1" x14ac:dyDescent="0.3"/>
    <row r="37105" s="160" customFormat="1" x14ac:dyDescent="0.3"/>
    <row r="37106" s="160" customFormat="1" x14ac:dyDescent="0.3"/>
    <row r="37107" s="160" customFormat="1" x14ac:dyDescent="0.3"/>
    <row r="37108" s="160" customFormat="1" x14ac:dyDescent="0.3"/>
    <row r="37109" s="160" customFormat="1" x14ac:dyDescent="0.3"/>
    <row r="37110" s="160" customFormat="1" x14ac:dyDescent="0.3"/>
    <row r="37111" s="160" customFormat="1" x14ac:dyDescent="0.3"/>
    <row r="37112" s="160" customFormat="1" x14ac:dyDescent="0.3"/>
    <row r="37113" s="160" customFormat="1" x14ac:dyDescent="0.3"/>
    <row r="37114" s="160" customFormat="1" x14ac:dyDescent="0.3"/>
    <row r="37115" s="160" customFormat="1" x14ac:dyDescent="0.3"/>
    <row r="37116" s="160" customFormat="1" x14ac:dyDescent="0.3"/>
    <row r="37117" s="160" customFormat="1" x14ac:dyDescent="0.3"/>
    <row r="37118" s="160" customFormat="1" x14ac:dyDescent="0.3"/>
    <row r="37119" s="160" customFormat="1" x14ac:dyDescent="0.3"/>
    <row r="37120" s="160" customFormat="1" x14ac:dyDescent="0.3"/>
    <row r="37121" s="160" customFormat="1" x14ac:dyDescent="0.3"/>
    <row r="37122" s="160" customFormat="1" x14ac:dyDescent="0.3"/>
    <row r="37123" s="160" customFormat="1" x14ac:dyDescent="0.3"/>
    <row r="37124" s="160" customFormat="1" x14ac:dyDescent="0.3"/>
    <row r="37125" s="160" customFormat="1" x14ac:dyDescent="0.3"/>
    <row r="37126" s="160" customFormat="1" x14ac:dyDescent="0.3"/>
    <row r="37127" s="160" customFormat="1" x14ac:dyDescent="0.3"/>
    <row r="37128" s="160" customFormat="1" x14ac:dyDescent="0.3"/>
    <row r="37129" s="160" customFormat="1" x14ac:dyDescent="0.3"/>
    <row r="37130" s="160" customFormat="1" x14ac:dyDescent="0.3"/>
    <row r="37131" s="160" customFormat="1" x14ac:dyDescent="0.3"/>
    <row r="37132" s="160" customFormat="1" x14ac:dyDescent="0.3"/>
    <row r="37133" s="160" customFormat="1" x14ac:dyDescent="0.3"/>
    <row r="37134" s="160" customFormat="1" x14ac:dyDescent="0.3"/>
    <row r="37135" s="160" customFormat="1" x14ac:dyDescent="0.3"/>
    <row r="37136" s="160" customFormat="1" x14ac:dyDescent="0.3"/>
    <row r="37137" s="160" customFormat="1" x14ac:dyDescent="0.3"/>
    <row r="37138" s="160" customFormat="1" x14ac:dyDescent="0.3"/>
    <row r="37139" s="160" customFormat="1" x14ac:dyDescent="0.3"/>
    <row r="37140" s="160" customFormat="1" x14ac:dyDescent="0.3"/>
    <row r="37141" s="160" customFormat="1" x14ac:dyDescent="0.3"/>
    <row r="37142" s="160" customFormat="1" x14ac:dyDescent="0.3"/>
    <row r="37143" s="160" customFormat="1" x14ac:dyDescent="0.3"/>
    <row r="37144" s="160" customFormat="1" x14ac:dyDescent="0.3"/>
    <row r="37145" s="160" customFormat="1" x14ac:dyDescent="0.3"/>
    <row r="37146" s="160" customFormat="1" x14ac:dyDescent="0.3"/>
    <row r="37147" s="160" customFormat="1" x14ac:dyDescent="0.3"/>
    <row r="37148" s="160" customFormat="1" x14ac:dyDescent="0.3"/>
    <row r="37149" s="160" customFormat="1" x14ac:dyDescent="0.3"/>
    <row r="37150" s="160" customFormat="1" x14ac:dyDescent="0.3"/>
    <row r="37151" s="160" customFormat="1" x14ac:dyDescent="0.3"/>
    <row r="37152" s="160" customFormat="1" x14ac:dyDescent="0.3"/>
    <row r="37153" s="160" customFormat="1" x14ac:dyDescent="0.3"/>
    <row r="37154" s="160" customFormat="1" x14ac:dyDescent="0.3"/>
    <row r="37155" s="160" customFormat="1" x14ac:dyDescent="0.3"/>
    <row r="37156" s="160" customFormat="1" x14ac:dyDescent="0.3"/>
    <row r="37157" s="160" customFormat="1" x14ac:dyDescent="0.3"/>
    <row r="37158" s="160" customFormat="1" x14ac:dyDescent="0.3"/>
    <row r="37159" s="160" customFormat="1" x14ac:dyDescent="0.3"/>
    <row r="37160" s="160" customFormat="1" x14ac:dyDescent="0.3"/>
    <row r="37161" s="160" customFormat="1" x14ac:dyDescent="0.3"/>
    <row r="37162" s="160" customFormat="1" x14ac:dyDescent="0.3"/>
    <row r="37163" s="160" customFormat="1" x14ac:dyDescent="0.3"/>
    <row r="37164" s="160" customFormat="1" x14ac:dyDescent="0.3"/>
    <row r="37165" s="160" customFormat="1" x14ac:dyDescent="0.3"/>
    <row r="37166" s="160" customFormat="1" x14ac:dyDescent="0.3"/>
    <row r="37167" s="160" customFormat="1" x14ac:dyDescent="0.3"/>
    <row r="37168" s="160" customFormat="1" x14ac:dyDescent="0.3"/>
    <row r="37169" s="160" customFormat="1" x14ac:dyDescent="0.3"/>
    <row r="37170" s="160" customFormat="1" x14ac:dyDescent="0.3"/>
    <row r="37171" s="160" customFormat="1" x14ac:dyDescent="0.3"/>
    <row r="37172" s="160" customFormat="1" x14ac:dyDescent="0.3"/>
    <row r="37173" s="160" customFormat="1" x14ac:dyDescent="0.3"/>
    <row r="37174" s="160" customFormat="1" x14ac:dyDescent="0.3"/>
    <row r="37175" s="160" customFormat="1" x14ac:dyDescent="0.3"/>
    <row r="37176" s="160" customFormat="1" x14ac:dyDescent="0.3"/>
    <row r="37177" s="160" customFormat="1" x14ac:dyDescent="0.3"/>
    <row r="37178" s="160" customFormat="1" x14ac:dyDescent="0.3"/>
    <row r="37179" s="160" customFormat="1" x14ac:dyDescent="0.3"/>
    <row r="37180" s="160" customFormat="1" x14ac:dyDescent="0.3"/>
    <row r="37181" s="160" customFormat="1" x14ac:dyDescent="0.3"/>
    <row r="37182" s="160" customFormat="1" x14ac:dyDescent="0.3"/>
    <row r="37183" s="160" customFormat="1" x14ac:dyDescent="0.3"/>
    <row r="37184" s="160" customFormat="1" x14ac:dyDescent="0.3"/>
    <row r="37185" s="160" customFormat="1" x14ac:dyDescent="0.3"/>
    <row r="37186" s="160" customFormat="1" x14ac:dyDescent="0.3"/>
    <row r="37187" s="160" customFormat="1" x14ac:dyDescent="0.3"/>
    <row r="37188" s="160" customFormat="1" x14ac:dyDescent="0.3"/>
    <row r="37189" s="160" customFormat="1" x14ac:dyDescent="0.3"/>
    <row r="37190" s="160" customFormat="1" x14ac:dyDescent="0.3"/>
    <row r="37191" s="160" customFormat="1" x14ac:dyDescent="0.3"/>
    <row r="37192" s="160" customFormat="1" x14ac:dyDescent="0.3"/>
    <row r="37193" s="160" customFormat="1" x14ac:dyDescent="0.3"/>
    <row r="37194" s="160" customFormat="1" x14ac:dyDescent="0.3"/>
    <row r="37195" s="160" customFormat="1" x14ac:dyDescent="0.3"/>
    <row r="37196" s="160" customFormat="1" x14ac:dyDescent="0.3"/>
    <row r="37197" s="160" customFormat="1" x14ac:dyDescent="0.3"/>
    <row r="37198" s="160" customFormat="1" x14ac:dyDescent="0.3"/>
    <row r="37199" s="160" customFormat="1" x14ac:dyDescent="0.3"/>
    <row r="37200" s="160" customFormat="1" x14ac:dyDescent="0.3"/>
    <row r="37201" s="160" customFormat="1" x14ac:dyDescent="0.3"/>
    <row r="37202" s="160" customFormat="1" x14ac:dyDescent="0.3"/>
    <row r="37203" s="160" customFormat="1" x14ac:dyDescent="0.3"/>
    <row r="37204" s="160" customFormat="1" x14ac:dyDescent="0.3"/>
    <row r="37205" s="160" customFormat="1" x14ac:dyDescent="0.3"/>
    <row r="37206" s="160" customFormat="1" x14ac:dyDescent="0.3"/>
    <row r="37207" s="160" customFormat="1" x14ac:dyDescent="0.3"/>
    <row r="37208" s="160" customFormat="1" x14ac:dyDescent="0.3"/>
    <row r="37209" s="160" customFormat="1" x14ac:dyDescent="0.3"/>
    <row r="37210" s="160" customFormat="1" x14ac:dyDescent="0.3"/>
    <row r="37211" s="160" customFormat="1" x14ac:dyDescent="0.3"/>
    <row r="37212" s="160" customFormat="1" x14ac:dyDescent="0.3"/>
    <row r="37213" s="160" customFormat="1" x14ac:dyDescent="0.3"/>
    <row r="37214" s="160" customFormat="1" x14ac:dyDescent="0.3"/>
    <row r="37215" s="160" customFormat="1" x14ac:dyDescent="0.3"/>
    <row r="37216" s="160" customFormat="1" x14ac:dyDescent="0.3"/>
    <row r="37217" s="160" customFormat="1" x14ac:dyDescent="0.3"/>
    <row r="37218" s="160" customFormat="1" x14ac:dyDescent="0.3"/>
    <row r="37219" s="160" customFormat="1" x14ac:dyDescent="0.3"/>
    <row r="37220" s="160" customFormat="1" x14ac:dyDescent="0.3"/>
    <row r="37221" s="160" customFormat="1" x14ac:dyDescent="0.3"/>
    <row r="37222" s="160" customFormat="1" x14ac:dyDescent="0.3"/>
    <row r="37223" s="160" customFormat="1" x14ac:dyDescent="0.3"/>
    <row r="37224" s="160" customFormat="1" x14ac:dyDescent="0.3"/>
    <row r="37225" s="160" customFormat="1" x14ac:dyDescent="0.3"/>
    <row r="37226" s="160" customFormat="1" x14ac:dyDescent="0.3"/>
    <row r="37227" s="160" customFormat="1" x14ac:dyDescent="0.3"/>
    <row r="37228" s="160" customFormat="1" x14ac:dyDescent="0.3"/>
    <row r="37229" s="160" customFormat="1" x14ac:dyDescent="0.3"/>
    <row r="37230" s="160" customFormat="1" x14ac:dyDescent="0.3"/>
    <row r="37231" s="160" customFormat="1" x14ac:dyDescent="0.3"/>
    <row r="37232" s="160" customFormat="1" x14ac:dyDescent="0.3"/>
    <row r="37233" s="160" customFormat="1" x14ac:dyDescent="0.3"/>
    <row r="37234" s="160" customFormat="1" x14ac:dyDescent="0.3"/>
    <row r="37235" s="160" customFormat="1" x14ac:dyDescent="0.3"/>
    <row r="37236" s="160" customFormat="1" x14ac:dyDescent="0.3"/>
    <row r="37237" s="160" customFormat="1" x14ac:dyDescent="0.3"/>
    <row r="37238" s="160" customFormat="1" x14ac:dyDescent="0.3"/>
    <row r="37239" s="160" customFormat="1" x14ac:dyDescent="0.3"/>
    <row r="37240" s="160" customFormat="1" x14ac:dyDescent="0.3"/>
    <row r="37241" s="160" customFormat="1" x14ac:dyDescent="0.3"/>
    <row r="37242" s="160" customFormat="1" x14ac:dyDescent="0.3"/>
    <row r="37243" s="160" customFormat="1" x14ac:dyDescent="0.3"/>
    <row r="37244" s="160" customFormat="1" x14ac:dyDescent="0.3"/>
    <row r="37245" s="160" customFormat="1" x14ac:dyDescent="0.3"/>
    <row r="37246" s="160" customFormat="1" x14ac:dyDescent="0.3"/>
    <row r="37247" s="160" customFormat="1" x14ac:dyDescent="0.3"/>
    <row r="37248" s="160" customFormat="1" x14ac:dyDescent="0.3"/>
    <row r="37249" s="160" customFormat="1" x14ac:dyDescent="0.3"/>
    <row r="37250" s="160" customFormat="1" x14ac:dyDescent="0.3"/>
    <row r="37251" s="160" customFormat="1" x14ac:dyDescent="0.3"/>
    <row r="37252" s="160" customFormat="1" x14ac:dyDescent="0.3"/>
    <row r="37253" s="160" customFormat="1" x14ac:dyDescent="0.3"/>
    <row r="37254" s="160" customFormat="1" x14ac:dyDescent="0.3"/>
    <row r="37255" s="160" customFormat="1" x14ac:dyDescent="0.3"/>
    <row r="37256" s="160" customFormat="1" x14ac:dyDescent="0.3"/>
    <row r="37257" s="160" customFormat="1" x14ac:dyDescent="0.3"/>
    <row r="37258" s="160" customFormat="1" x14ac:dyDescent="0.3"/>
    <row r="37259" s="160" customFormat="1" x14ac:dyDescent="0.3"/>
    <row r="37260" s="160" customFormat="1" x14ac:dyDescent="0.3"/>
    <row r="37261" s="160" customFormat="1" x14ac:dyDescent="0.3"/>
    <row r="37262" s="160" customFormat="1" x14ac:dyDescent="0.3"/>
    <row r="37263" s="160" customFormat="1" x14ac:dyDescent="0.3"/>
    <row r="37264" s="160" customFormat="1" x14ac:dyDescent="0.3"/>
    <row r="37265" s="160" customFormat="1" x14ac:dyDescent="0.3"/>
    <row r="37266" s="160" customFormat="1" x14ac:dyDescent="0.3"/>
    <row r="37267" s="160" customFormat="1" x14ac:dyDescent="0.3"/>
    <row r="37268" s="160" customFormat="1" x14ac:dyDescent="0.3"/>
    <row r="37269" s="160" customFormat="1" x14ac:dyDescent="0.3"/>
    <row r="37270" s="160" customFormat="1" x14ac:dyDescent="0.3"/>
    <row r="37271" s="160" customFormat="1" x14ac:dyDescent="0.3"/>
    <row r="37272" s="160" customFormat="1" x14ac:dyDescent="0.3"/>
    <row r="37273" s="160" customFormat="1" x14ac:dyDescent="0.3"/>
    <row r="37274" s="160" customFormat="1" x14ac:dyDescent="0.3"/>
    <row r="37275" s="160" customFormat="1" x14ac:dyDescent="0.3"/>
    <row r="37276" s="160" customFormat="1" x14ac:dyDescent="0.3"/>
    <row r="37277" s="160" customFormat="1" x14ac:dyDescent="0.3"/>
    <row r="37278" s="160" customFormat="1" x14ac:dyDescent="0.3"/>
    <row r="37279" s="160" customFormat="1" x14ac:dyDescent="0.3"/>
    <row r="37280" s="160" customFormat="1" x14ac:dyDescent="0.3"/>
    <row r="37281" s="160" customFormat="1" x14ac:dyDescent="0.3"/>
    <row r="37282" s="160" customFormat="1" x14ac:dyDescent="0.3"/>
    <row r="37283" s="160" customFormat="1" x14ac:dyDescent="0.3"/>
    <row r="37284" s="160" customFormat="1" x14ac:dyDescent="0.3"/>
    <row r="37285" s="160" customFormat="1" x14ac:dyDescent="0.3"/>
    <row r="37286" s="160" customFormat="1" x14ac:dyDescent="0.3"/>
    <row r="37287" s="160" customFormat="1" x14ac:dyDescent="0.3"/>
    <row r="37288" s="160" customFormat="1" x14ac:dyDescent="0.3"/>
    <row r="37289" s="160" customFormat="1" x14ac:dyDescent="0.3"/>
    <row r="37290" s="160" customFormat="1" x14ac:dyDescent="0.3"/>
    <row r="37291" s="160" customFormat="1" x14ac:dyDescent="0.3"/>
    <row r="37292" s="160" customFormat="1" x14ac:dyDescent="0.3"/>
    <row r="37293" s="160" customFormat="1" x14ac:dyDescent="0.3"/>
    <row r="37294" s="160" customFormat="1" x14ac:dyDescent="0.3"/>
    <row r="37295" s="160" customFormat="1" x14ac:dyDescent="0.3"/>
    <row r="37296" s="160" customFormat="1" x14ac:dyDescent="0.3"/>
    <row r="37297" s="160" customFormat="1" x14ac:dyDescent="0.3"/>
    <row r="37298" s="160" customFormat="1" x14ac:dyDescent="0.3"/>
    <row r="37299" s="160" customFormat="1" x14ac:dyDescent="0.3"/>
    <row r="37300" s="160" customFormat="1" x14ac:dyDescent="0.3"/>
    <row r="37301" s="160" customFormat="1" x14ac:dyDescent="0.3"/>
    <row r="37302" s="160" customFormat="1" x14ac:dyDescent="0.3"/>
    <row r="37303" s="160" customFormat="1" x14ac:dyDescent="0.3"/>
    <row r="37304" s="160" customFormat="1" x14ac:dyDescent="0.3"/>
    <row r="37305" s="160" customFormat="1" x14ac:dyDescent="0.3"/>
    <row r="37306" s="160" customFormat="1" x14ac:dyDescent="0.3"/>
    <row r="37307" s="160" customFormat="1" x14ac:dyDescent="0.3"/>
    <row r="37308" s="160" customFormat="1" x14ac:dyDescent="0.3"/>
    <row r="37309" s="160" customFormat="1" x14ac:dyDescent="0.3"/>
    <row r="37310" s="160" customFormat="1" x14ac:dyDescent="0.3"/>
    <row r="37311" s="160" customFormat="1" x14ac:dyDescent="0.3"/>
    <row r="37312" s="160" customFormat="1" x14ac:dyDescent="0.3"/>
    <row r="37313" s="160" customFormat="1" x14ac:dyDescent="0.3"/>
    <row r="37314" s="160" customFormat="1" x14ac:dyDescent="0.3"/>
    <row r="37315" s="160" customFormat="1" x14ac:dyDescent="0.3"/>
    <row r="37316" s="160" customFormat="1" x14ac:dyDescent="0.3"/>
    <row r="37317" s="160" customFormat="1" x14ac:dyDescent="0.3"/>
    <row r="37318" s="160" customFormat="1" x14ac:dyDescent="0.3"/>
    <row r="37319" s="160" customFormat="1" x14ac:dyDescent="0.3"/>
    <row r="37320" s="160" customFormat="1" x14ac:dyDescent="0.3"/>
    <row r="37321" s="160" customFormat="1" x14ac:dyDescent="0.3"/>
    <row r="37322" s="160" customFormat="1" x14ac:dyDescent="0.3"/>
    <row r="37323" s="160" customFormat="1" x14ac:dyDescent="0.3"/>
    <row r="37324" s="160" customFormat="1" x14ac:dyDescent="0.3"/>
    <row r="37325" s="160" customFormat="1" x14ac:dyDescent="0.3"/>
    <row r="37326" s="160" customFormat="1" x14ac:dyDescent="0.3"/>
    <row r="37327" s="160" customFormat="1" x14ac:dyDescent="0.3"/>
    <row r="37328" s="160" customFormat="1" x14ac:dyDescent="0.3"/>
    <row r="37329" s="160" customFormat="1" x14ac:dyDescent="0.3"/>
    <row r="37330" s="160" customFormat="1" x14ac:dyDescent="0.3"/>
    <row r="37331" s="160" customFormat="1" x14ac:dyDescent="0.3"/>
    <row r="37332" s="160" customFormat="1" x14ac:dyDescent="0.3"/>
    <row r="37333" s="160" customFormat="1" x14ac:dyDescent="0.3"/>
    <row r="37334" s="160" customFormat="1" x14ac:dyDescent="0.3"/>
    <row r="37335" s="160" customFormat="1" x14ac:dyDescent="0.3"/>
    <row r="37336" s="160" customFormat="1" x14ac:dyDescent="0.3"/>
    <row r="37337" s="160" customFormat="1" x14ac:dyDescent="0.3"/>
    <row r="37338" s="160" customFormat="1" x14ac:dyDescent="0.3"/>
    <row r="37339" s="160" customFormat="1" x14ac:dyDescent="0.3"/>
    <row r="37340" s="160" customFormat="1" x14ac:dyDescent="0.3"/>
    <row r="37341" s="160" customFormat="1" x14ac:dyDescent="0.3"/>
    <row r="37342" s="160" customFormat="1" x14ac:dyDescent="0.3"/>
    <row r="37343" s="160" customFormat="1" x14ac:dyDescent="0.3"/>
    <row r="37344" s="160" customFormat="1" x14ac:dyDescent="0.3"/>
    <row r="37345" s="160" customFormat="1" x14ac:dyDescent="0.3"/>
    <row r="37346" s="160" customFormat="1" x14ac:dyDescent="0.3"/>
    <row r="37347" s="160" customFormat="1" x14ac:dyDescent="0.3"/>
    <row r="37348" s="160" customFormat="1" x14ac:dyDescent="0.3"/>
    <row r="37349" s="160" customFormat="1" x14ac:dyDescent="0.3"/>
    <row r="37350" s="160" customFormat="1" x14ac:dyDescent="0.3"/>
    <row r="37351" s="160" customFormat="1" x14ac:dyDescent="0.3"/>
    <row r="37352" s="160" customFormat="1" x14ac:dyDescent="0.3"/>
    <row r="37353" s="160" customFormat="1" x14ac:dyDescent="0.3"/>
    <row r="37354" s="160" customFormat="1" x14ac:dyDescent="0.3"/>
    <row r="37355" s="160" customFormat="1" x14ac:dyDescent="0.3"/>
    <row r="37356" s="160" customFormat="1" x14ac:dyDescent="0.3"/>
    <row r="37357" s="160" customFormat="1" x14ac:dyDescent="0.3"/>
    <row r="37358" s="160" customFormat="1" x14ac:dyDescent="0.3"/>
    <row r="37359" s="160" customFormat="1" x14ac:dyDescent="0.3"/>
    <row r="37360" s="160" customFormat="1" x14ac:dyDescent="0.3"/>
    <row r="37361" s="160" customFormat="1" x14ac:dyDescent="0.3"/>
    <row r="37362" s="160" customFormat="1" x14ac:dyDescent="0.3"/>
    <row r="37363" s="160" customFormat="1" x14ac:dyDescent="0.3"/>
    <row r="37364" s="160" customFormat="1" x14ac:dyDescent="0.3"/>
    <row r="37365" s="160" customFormat="1" x14ac:dyDescent="0.3"/>
    <row r="37366" s="160" customFormat="1" x14ac:dyDescent="0.3"/>
    <row r="37367" s="160" customFormat="1" x14ac:dyDescent="0.3"/>
    <row r="37368" s="160" customFormat="1" x14ac:dyDescent="0.3"/>
    <row r="37369" s="160" customFormat="1" x14ac:dyDescent="0.3"/>
    <row r="37370" s="160" customFormat="1" x14ac:dyDescent="0.3"/>
    <row r="37371" s="160" customFormat="1" x14ac:dyDescent="0.3"/>
    <row r="37372" s="160" customFormat="1" x14ac:dyDescent="0.3"/>
    <row r="37373" s="160" customFormat="1" x14ac:dyDescent="0.3"/>
    <row r="37374" s="160" customFormat="1" x14ac:dyDescent="0.3"/>
    <row r="37375" s="160" customFormat="1" x14ac:dyDescent="0.3"/>
    <row r="37376" s="160" customFormat="1" x14ac:dyDescent="0.3"/>
    <row r="37377" s="160" customFormat="1" x14ac:dyDescent="0.3"/>
    <row r="37378" s="160" customFormat="1" x14ac:dyDescent="0.3"/>
    <row r="37379" s="160" customFormat="1" x14ac:dyDescent="0.3"/>
    <row r="37380" s="160" customFormat="1" x14ac:dyDescent="0.3"/>
    <row r="37381" s="160" customFormat="1" x14ac:dyDescent="0.3"/>
    <row r="37382" s="160" customFormat="1" x14ac:dyDescent="0.3"/>
    <row r="37383" s="160" customFormat="1" x14ac:dyDescent="0.3"/>
    <row r="37384" s="160" customFormat="1" x14ac:dyDescent="0.3"/>
    <row r="37385" s="160" customFormat="1" x14ac:dyDescent="0.3"/>
    <row r="37386" s="160" customFormat="1" x14ac:dyDescent="0.3"/>
    <row r="37387" s="160" customFormat="1" x14ac:dyDescent="0.3"/>
    <row r="37388" s="160" customFormat="1" x14ac:dyDescent="0.3"/>
    <row r="37389" s="160" customFormat="1" x14ac:dyDescent="0.3"/>
    <row r="37390" s="160" customFormat="1" x14ac:dyDescent="0.3"/>
    <row r="37391" s="160" customFormat="1" x14ac:dyDescent="0.3"/>
    <row r="37392" s="160" customFormat="1" x14ac:dyDescent="0.3"/>
    <row r="37393" s="160" customFormat="1" x14ac:dyDescent="0.3"/>
    <row r="37394" s="160" customFormat="1" x14ac:dyDescent="0.3"/>
    <row r="37395" s="160" customFormat="1" x14ac:dyDescent="0.3"/>
    <row r="37396" s="160" customFormat="1" x14ac:dyDescent="0.3"/>
    <row r="37397" s="160" customFormat="1" x14ac:dyDescent="0.3"/>
    <row r="37398" s="160" customFormat="1" x14ac:dyDescent="0.3"/>
    <row r="37399" s="160" customFormat="1" x14ac:dyDescent="0.3"/>
    <row r="37400" s="160" customFormat="1" x14ac:dyDescent="0.3"/>
    <row r="37401" s="160" customFormat="1" x14ac:dyDescent="0.3"/>
    <row r="37402" s="160" customFormat="1" x14ac:dyDescent="0.3"/>
    <row r="37403" s="160" customFormat="1" x14ac:dyDescent="0.3"/>
    <row r="37404" s="160" customFormat="1" x14ac:dyDescent="0.3"/>
    <row r="37405" s="160" customFormat="1" x14ac:dyDescent="0.3"/>
    <row r="37406" s="160" customFormat="1" x14ac:dyDescent="0.3"/>
    <row r="37407" s="160" customFormat="1" x14ac:dyDescent="0.3"/>
    <row r="37408" s="160" customFormat="1" x14ac:dyDescent="0.3"/>
    <row r="37409" s="160" customFormat="1" x14ac:dyDescent="0.3"/>
    <row r="37410" s="160" customFormat="1" x14ac:dyDescent="0.3"/>
    <row r="37411" s="160" customFormat="1" x14ac:dyDescent="0.3"/>
    <row r="37412" s="160" customFormat="1" x14ac:dyDescent="0.3"/>
    <row r="37413" s="160" customFormat="1" x14ac:dyDescent="0.3"/>
    <row r="37414" s="160" customFormat="1" x14ac:dyDescent="0.3"/>
    <row r="37415" s="160" customFormat="1" x14ac:dyDescent="0.3"/>
    <row r="37416" s="160" customFormat="1" x14ac:dyDescent="0.3"/>
    <row r="37417" s="160" customFormat="1" x14ac:dyDescent="0.3"/>
    <row r="37418" s="160" customFormat="1" x14ac:dyDescent="0.3"/>
    <row r="37419" s="160" customFormat="1" x14ac:dyDescent="0.3"/>
    <row r="37420" s="160" customFormat="1" x14ac:dyDescent="0.3"/>
    <row r="37421" s="160" customFormat="1" x14ac:dyDescent="0.3"/>
    <row r="37422" s="160" customFormat="1" x14ac:dyDescent="0.3"/>
    <row r="37423" s="160" customFormat="1" x14ac:dyDescent="0.3"/>
    <row r="37424" s="160" customFormat="1" x14ac:dyDescent="0.3"/>
    <row r="37425" s="160" customFormat="1" x14ac:dyDescent="0.3"/>
    <row r="37426" s="160" customFormat="1" x14ac:dyDescent="0.3"/>
    <row r="37427" s="160" customFormat="1" x14ac:dyDescent="0.3"/>
    <row r="37428" s="160" customFormat="1" x14ac:dyDescent="0.3"/>
    <row r="37429" s="160" customFormat="1" x14ac:dyDescent="0.3"/>
    <row r="37430" s="160" customFormat="1" x14ac:dyDescent="0.3"/>
    <row r="37431" s="160" customFormat="1" x14ac:dyDescent="0.3"/>
    <row r="37432" s="160" customFormat="1" x14ac:dyDescent="0.3"/>
    <row r="37433" s="160" customFormat="1" x14ac:dyDescent="0.3"/>
    <row r="37434" s="160" customFormat="1" x14ac:dyDescent="0.3"/>
    <row r="37435" s="160" customFormat="1" x14ac:dyDescent="0.3"/>
    <row r="37436" s="160" customFormat="1" x14ac:dyDescent="0.3"/>
    <row r="37437" s="160" customFormat="1" x14ac:dyDescent="0.3"/>
    <row r="37438" s="160" customFormat="1" x14ac:dyDescent="0.3"/>
    <row r="37439" s="160" customFormat="1" x14ac:dyDescent="0.3"/>
    <row r="37440" s="160" customFormat="1" x14ac:dyDescent="0.3"/>
    <row r="37441" s="160" customFormat="1" x14ac:dyDescent="0.3"/>
    <row r="37442" s="160" customFormat="1" x14ac:dyDescent="0.3"/>
    <row r="37443" s="160" customFormat="1" x14ac:dyDescent="0.3"/>
    <row r="37444" s="160" customFormat="1" x14ac:dyDescent="0.3"/>
    <row r="37445" s="160" customFormat="1" x14ac:dyDescent="0.3"/>
    <row r="37446" s="160" customFormat="1" x14ac:dyDescent="0.3"/>
    <row r="37447" s="160" customFormat="1" x14ac:dyDescent="0.3"/>
    <row r="37448" s="160" customFormat="1" x14ac:dyDescent="0.3"/>
    <row r="37449" s="160" customFormat="1" x14ac:dyDescent="0.3"/>
    <row r="37450" s="160" customFormat="1" x14ac:dyDescent="0.3"/>
    <row r="37451" s="160" customFormat="1" x14ac:dyDescent="0.3"/>
    <row r="37452" s="160" customFormat="1" x14ac:dyDescent="0.3"/>
    <row r="37453" s="160" customFormat="1" x14ac:dyDescent="0.3"/>
    <row r="37454" s="160" customFormat="1" x14ac:dyDescent="0.3"/>
    <row r="37455" s="160" customFormat="1" x14ac:dyDescent="0.3"/>
    <row r="37456" s="160" customFormat="1" x14ac:dyDescent="0.3"/>
    <row r="37457" s="160" customFormat="1" x14ac:dyDescent="0.3"/>
    <row r="37458" s="160" customFormat="1" x14ac:dyDescent="0.3"/>
    <row r="37459" s="160" customFormat="1" x14ac:dyDescent="0.3"/>
    <row r="37460" s="160" customFormat="1" x14ac:dyDescent="0.3"/>
    <row r="37461" s="160" customFormat="1" x14ac:dyDescent="0.3"/>
    <row r="37462" s="160" customFormat="1" x14ac:dyDescent="0.3"/>
    <row r="37463" s="160" customFormat="1" x14ac:dyDescent="0.3"/>
    <row r="37464" s="160" customFormat="1" x14ac:dyDescent="0.3"/>
    <row r="37465" s="160" customFormat="1" x14ac:dyDescent="0.3"/>
    <row r="37466" s="160" customFormat="1" x14ac:dyDescent="0.3"/>
    <row r="37467" s="160" customFormat="1" x14ac:dyDescent="0.3"/>
    <row r="37468" s="160" customFormat="1" x14ac:dyDescent="0.3"/>
    <row r="37469" s="160" customFormat="1" x14ac:dyDescent="0.3"/>
    <row r="37470" s="160" customFormat="1" x14ac:dyDescent="0.3"/>
    <row r="37471" s="160" customFormat="1" x14ac:dyDescent="0.3"/>
    <row r="37472" s="160" customFormat="1" x14ac:dyDescent="0.3"/>
    <row r="37473" s="160" customFormat="1" x14ac:dyDescent="0.3"/>
    <row r="37474" s="160" customFormat="1" x14ac:dyDescent="0.3"/>
    <row r="37475" s="160" customFormat="1" x14ac:dyDescent="0.3"/>
    <row r="37476" s="160" customFormat="1" x14ac:dyDescent="0.3"/>
    <row r="37477" s="160" customFormat="1" x14ac:dyDescent="0.3"/>
    <row r="37478" s="160" customFormat="1" x14ac:dyDescent="0.3"/>
    <row r="37479" s="160" customFormat="1" x14ac:dyDescent="0.3"/>
    <row r="37480" s="160" customFormat="1" x14ac:dyDescent="0.3"/>
    <row r="37481" s="160" customFormat="1" x14ac:dyDescent="0.3"/>
    <row r="37482" s="160" customFormat="1" x14ac:dyDescent="0.3"/>
    <row r="37483" s="160" customFormat="1" x14ac:dyDescent="0.3"/>
    <row r="37484" s="160" customFormat="1" x14ac:dyDescent="0.3"/>
    <row r="37485" s="160" customFormat="1" x14ac:dyDescent="0.3"/>
    <row r="37486" s="160" customFormat="1" x14ac:dyDescent="0.3"/>
    <row r="37487" s="160" customFormat="1" x14ac:dyDescent="0.3"/>
    <row r="37488" s="160" customFormat="1" x14ac:dyDescent="0.3"/>
    <row r="37489" s="160" customFormat="1" x14ac:dyDescent="0.3"/>
    <row r="37490" s="160" customFormat="1" x14ac:dyDescent="0.3"/>
    <row r="37491" s="160" customFormat="1" x14ac:dyDescent="0.3"/>
    <row r="37492" s="160" customFormat="1" x14ac:dyDescent="0.3"/>
    <row r="37493" s="160" customFormat="1" x14ac:dyDescent="0.3"/>
    <row r="37494" s="160" customFormat="1" x14ac:dyDescent="0.3"/>
    <row r="37495" s="160" customFormat="1" x14ac:dyDescent="0.3"/>
    <row r="37496" s="160" customFormat="1" x14ac:dyDescent="0.3"/>
    <row r="37497" s="160" customFormat="1" x14ac:dyDescent="0.3"/>
    <row r="37498" s="160" customFormat="1" x14ac:dyDescent="0.3"/>
    <row r="37499" s="160" customFormat="1" x14ac:dyDescent="0.3"/>
    <row r="37500" s="160" customFormat="1" x14ac:dyDescent="0.3"/>
    <row r="37501" s="160" customFormat="1" x14ac:dyDescent="0.3"/>
    <row r="37502" s="160" customFormat="1" x14ac:dyDescent="0.3"/>
    <row r="37503" s="160" customFormat="1" x14ac:dyDescent="0.3"/>
    <row r="37504" s="160" customFormat="1" x14ac:dyDescent="0.3"/>
    <row r="37505" s="160" customFormat="1" x14ac:dyDescent="0.3"/>
    <row r="37506" s="160" customFormat="1" x14ac:dyDescent="0.3"/>
    <row r="37507" s="160" customFormat="1" x14ac:dyDescent="0.3"/>
    <row r="37508" s="160" customFormat="1" x14ac:dyDescent="0.3"/>
    <row r="37509" s="160" customFormat="1" x14ac:dyDescent="0.3"/>
    <row r="37510" s="160" customFormat="1" x14ac:dyDescent="0.3"/>
    <row r="37511" s="160" customFormat="1" x14ac:dyDescent="0.3"/>
    <row r="37512" s="160" customFormat="1" x14ac:dyDescent="0.3"/>
    <row r="37513" s="160" customFormat="1" x14ac:dyDescent="0.3"/>
    <row r="37514" s="160" customFormat="1" x14ac:dyDescent="0.3"/>
    <row r="37515" s="160" customFormat="1" x14ac:dyDescent="0.3"/>
    <row r="37516" s="160" customFormat="1" x14ac:dyDescent="0.3"/>
    <row r="37517" s="160" customFormat="1" x14ac:dyDescent="0.3"/>
    <row r="37518" s="160" customFormat="1" x14ac:dyDescent="0.3"/>
    <row r="37519" s="160" customFormat="1" x14ac:dyDescent="0.3"/>
    <row r="37520" s="160" customFormat="1" x14ac:dyDescent="0.3"/>
    <row r="37521" s="160" customFormat="1" x14ac:dyDescent="0.3"/>
    <row r="37522" s="160" customFormat="1" x14ac:dyDescent="0.3"/>
    <row r="37523" s="160" customFormat="1" x14ac:dyDescent="0.3"/>
    <row r="37524" s="160" customFormat="1" x14ac:dyDescent="0.3"/>
    <row r="37525" s="160" customFormat="1" x14ac:dyDescent="0.3"/>
    <row r="37526" s="160" customFormat="1" x14ac:dyDescent="0.3"/>
    <row r="37527" s="160" customFormat="1" x14ac:dyDescent="0.3"/>
    <row r="37528" s="160" customFormat="1" x14ac:dyDescent="0.3"/>
    <row r="37529" s="160" customFormat="1" x14ac:dyDescent="0.3"/>
    <row r="37530" s="160" customFormat="1" x14ac:dyDescent="0.3"/>
    <row r="37531" s="160" customFormat="1" x14ac:dyDescent="0.3"/>
    <row r="37532" s="160" customFormat="1" x14ac:dyDescent="0.3"/>
    <row r="37533" s="160" customFormat="1" x14ac:dyDescent="0.3"/>
    <row r="37534" s="160" customFormat="1" x14ac:dyDescent="0.3"/>
    <row r="37535" s="160" customFormat="1" x14ac:dyDescent="0.3"/>
    <row r="37536" s="160" customFormat="1" x14ac:dyDescent="0.3"/>
    <row r="37537" s="160" customFormat="1" x14ac:dyDescent="0.3"/>
    <row r="37538" s="160" customFormat="1" x14ac:dyDescent="0.3"/>
    <row r="37539" s="160" customFormat="1" x14ac:dyDescent="0.3"/>
    <row r="37540" s="160" customFormat="1" x14ac:dyDescent="0.3"/>
    <row r="37541" s="160" customFormat="1" x14ac:dyDescent="0.3"/>
    <row r="37542" s="160" customFormat="1" x14ac:dyDescent="0.3"/>
    <row r="37543" s="160" customFormat="1" x14ac:dyDescent="0.3"/>
    <row r="37544" s="160" customFormat="1" x14ac:dyDescent="0.3"/>
    <row r="37545" s="160" customFormat="1" x14ac:dyDescent="0.3"/>
    <row r="37546" s="160" customFormat="1" x14ac:dyDescent="0.3"/>
    <row r="37547" s="160" customFormat="1" x14ac:dyDescent="0.3"/>
    <row r="37548" s="160" customFormat="1" x14ac:dyDescent="0.3"/>
    <row r="37549" s="160" customFormat="1" x14ac:dyDescent="0.3"/>
    <row r="37550" s="160" customFormat="1" x14ac:dyDescent="0.3"/>
    <row r="37551" s="160" customFormat="1" x14ac:dyDescent="0.3"/>
    <row r="37552" s="160" customFormat="1" x14ac:dyDescent="0.3"/>
    <row r="37553" s="160" customFormat="1" x14ac:dyDescent="0.3"/>
    <row r="37554" s="160" customFormat="1" x14ac:dyDescent="0.3"/>
    <row r="37555" s="160" customFormat="1" x14ac:dyDescent="0.3"/>
    <row r="37556" s="160" customFormat="1" x14ac:dyDescent="0.3"/>
    <row r="37557" s="160" customFormat="1" x14ac:dyDescent="0.3"/>
    <row r="37558" s="160" customFormat="1" x14ac:dyDescent="0.3"/>
    <row r="37559" s="160" customFormat="1" x14ac:dyDescent="0.3"/>
    <row r="37560" s="160" customFormat="1" x14ac:dyDescent="0.3"/>
    <row r="37561" s="160" customFormat="1" x14ac:dyDescent="0.3"/>
    <row r="37562" s="160" customFormat="1" x14ac:dyDescent="0.3"/>
    <row r="37563" s="160" customFormat="1" x14ac:dyDescent="0.3"/>
    <row r="37564" s="160" customFormat="1" x14ac:dyDescent="0.3"/>
    <row r="37565" s="160" customFormat="1" x14ac:dyDescent="0.3"/>
    <row r="37566" s="160" customFormat="1" x14ac:dyDescent="0.3"/>
    <row r="37567" s="160" customFormat="1" x14ac:dyDescent="0.3"/>
    <row r="37568" s="160" customFormat="1" x14ac:dyDescent="0.3"/>
    <row r="37569" s="160" customFormat="1" x14ac:dyDescent="0.3"/>
    <row r="37570" s="160" customFormat="1" x14ac:dyDescent="0.3"/>
    <row r="37571" s="160" customFormat="1" x14ac:dyDescent="0.3"/>
    <row r="37572" s="160" customFormat="1" x14ac:dyDescent="0.3"/>
    <row r="37573" s="160" customFormat="1" x14ac:dyDescent="0.3"/>
    <row r="37574" s="160" customFormat="1" x14ac:dyDescent="0.3"/>
    <row r="37575" s="160" customFormat="1" x14ac:dyDescent="0.3"/>
    <row r="37576" s="160" customFormat="1" x14ac:dyDescent="0.3"/>
    <row r="37577" s="160" customFormat="1" x14ac:dyDescent="0.3"/>
    <row r="37578" s="160" customFormat="1" x14ac:dyDescent="0.3"/>
    <row r="37579" s="160" customFormat="1" x14ac:dyDescent="0.3"/>
    <row r="37580" s="160" customFormat="1" x14ac:dyDescent="0.3"/>
    <row r="37581" s="160" customFormat="1" x14ac:dyDescent="0.3"/>
    <row r="37582" s="160" customFormat="1" x14ac:dyDescent="0.3"/>
    <row r="37583" s="160" customFormat="1" x14ac:dyDescent="0.3"/>
    <row r="37584" s="160" customFormat="1" x14ac:dyDescent="0.3"/>
    <row r="37585" s="160" customFormat="1" x14ac:dyDescent="0.3"/>
    <row r="37586" s="160" customFormat="1" x14ac:dyDescent="0.3"/>
    <row r="37587" s="160" customFormat="1" x14ac:dyDescent="0.3"/>
    <row r="37588" s="160" customFormat="1" x14ac:dyDescent="0.3"/>
    <row r="37589" s="160" customFormat="1" x14ac:dyDescent="0.3"/>
    <row r="37590" s="160" customFormat="1" x14ac:dyDescent="0.3"/>
    <row r="37591" s="160" customFormat="1" x14ac:dyDescent="0.3"/>
    <row r="37592" s="160" customFormat="1" x14ac:dyDescent="0.3"/>
    <row r="37593" s="160" customFormat="1" x14ac:dyDescent="0.3"/>
    <row r="37594" s="160" customFormat="1" x14ac:dyDescent="0.3"/>
    <row r="37595" s="160" customFormat="1" x14ac:dyDescent="0.3"/>
    <row r="37596" s="160" customFormat="1" x14ac:dyDescent="0.3"/>
    <row r="37597" s="160" customFormat="1" x14ac:dyDescent="0.3"/>
    <row r="37598" s="160" customFormat="1" x14ac:dyDescent="0.3"/>
    <row r="37599" s="160" customFormat="1" x14ac:dyDescent="0.3"/>
    <row r="37600" s="160" customFormat="1" x14ac:dyDescent="0.3"/>
    <row r="37601" s="160" customFormat="1" x14ac:dyDescent="0.3"/>
    <row r="37602" s="160" customFormat="1" x14ac:dyDescent="0.3"/>
    <row r="37603" s="160" customFormat="1" x14ac:dyDescent="0.3"/>
    <row r="37604" s="160" customFormat="1" x14ac:dyDescent="0.3"/>
    <row r="37605" s="160" customFormat="1" x14ac:dyDescent="0.3"/>
    <row r="37606" s="160" customFormat="1" x14ac:dyDescent="0.3"/>
    <row r="37607" s="160" customFormat="1" x14ac:dyDescent="0.3"/>
    <row r="37608" s="160" customFormat="1" x14ac:dyDescent="0.3"/>
    <row r="37609" s="160" customFormat="1" x14ac:dyDescent="0.3"/>
    <row r="37610" s="160" customFormat="1" x14ac:dyDescent="0.3"/>
    <row r="37611" s="160" customFormat="1" x14ac:dyDescent="0.3"/>
    <row r="37612" s="160" customFormat="1" x14ac:dyDescent="0.3"/>
    <row r="37613" s="160" customFormat="1" x14ac:dyDescent="0.3"/>
    <row r="37614" s="160" customFormat="1" x14ac:dyDescent="0.3"/>
    <row r="37615" s="160" customFormat="1" x14ac:dyDescent="0.3"/>
    <row r="37616" s="160" customFormat="1" x14ac:dyDescent="0.3"/>
    <row r="37617" s="160" customFormat="1" x14ac:dyDescent="0.3"/>
    <row r="37618" s="160" customFormat="1" x14ac:dyDescent="0.3"/>
    <row r="37619" s="160" customFormat="1" x14ac:dyDescent="0.3"/>
    <row r="37620" s="160" customFormat="1" x14ac:dyDescent="0.3"/>
    <row r="37621" s="160" customFormat="1" x14ac:dyDescent="0.3"/>
    <row r="37622" s="160" customFormat="1" x14ac:dyDescent="0.3"/>
    <row r="37623" s="160" customFormat="1" x14ac:dyDescent="0.3"/>
    <row r="37624" s="160" customFormat="1" x14ac:dyDescent="0.3"/>
    <row r="37625" s="160" customFormat="1" x14ac:dyDescent="0.3"/>
    <row r="37626" s="160" customFormat="1" x14ac:dyDescent="0.3"/>
    <row r="37627" s="160" customFormat="1" x14ac:dyDescent="0.3"/>
    <row r="37628" s="160" customFormat="1" x14ac:dyDescent="0.3"/>
    <row r="37629" s="160" customFormat="1" x14ac:dyDescent="0.3"/>
    <row r="37630" s="160" customFormat="1" x14ac:dyDescent="0.3"/>
    <row r="37631" s="160" customFormat="1" x14ac:dyDescent="0.3"/>
    <row r="37632" s="160" customFormat="1" x14ac:dyDescent="0.3"/>
    <row r="37633" s="160" customFormat="1" x14ac:dyDescent="0.3"/>
    <row r="37634" s="160" customFormat="1" x14ac:dyDescent="0.3"/>
    <row r="37635" s="160" customFormat="1" x14ac:dyDescent="0.3"/>
    <row r="37636" s="160" customFormat="1" x14ac:dyDescent="0.3"/>
    <row r="37637" s="160" customFormat="1" x14ac:dyDescent="0.3"/>
    <row r="37638" s="160" customFormat="1" x14ac:dyDescent="0.3"/>
    <row r="37639" s="160" customFormat="1" x14ac:dyDescent="0.3"/>
    <row r="37640" s="160" customFormat="1" x14ac:dyDescent="0.3"/>
    <row r="37641" s="160" customFormat="1" x14ac:dyDescent="0.3"/>
    <row r="37642" s="160" customFormat="1" x14ac:dyDescent="0.3"/>
    <row r="37643" s="160" customFormat="1" x14ac:dyDescent="0.3"/>
    <row r="37644" s="160" customFormat="1" x14ac:dyDescent="0.3"/>
    <row r="37645" s="160" customFormat="1" x14ac:dyDescent="0.3"/>
    <row r="37646" s="160" customFormat="1" x14ac:dyDescent="0.3"/>
    <row r="37647" s="160" customFormat="1" x14ac:dyDescent="0.3"/>
    <row r="37648" s="160" customFormat="1" x14ac:dyDescent="0.3"/>
    <row r="37649" s="160" customFormat="1" x14ac:dyDescent="0.3"/>
    <row r="37650" s="160" customFormat="1" x14ac:dyDescent="0.3"/>
    <row r="37651" s="160" customFormat="1" x14ac:dyDescent="0.3"/>
    <row r="37652" s="160" customFormat="1" x14ac:dyDescent="0.3"/>
    <row r="37653" s="160" customFormat="1" x14ac:dyDescent="0.3"/>
    <row r="37654" s="160" customFormat="1" x14ac:dyDescent="0.3"/>
    <row r="37655" s="160" customFormat="1" x14ac:dyDescent="0.3"/>
    <row r="37656" s="160" customFormat="1" x14ac:dyDescent="0.3"/>
    <row r="37657" s="160" customFormat="1" x14ac:dyDescent="0.3"/>
    <row r="37658" s="160" customFormat="1" x14ac:dyDescent="0.3"/>
    <row r="37659" s="160" customFormat="1" x14ac:dyDescent="0.3"/>
    <row r="37660" s="160" customFormat="1" x14ac:dyDescent="0.3"/>
    <row r="37661" s="160" customFormat="1" x14ac:dyDescent="0.3"/>
    <row r="37662" s="160" customFormat="1" x14ac:dyDescent="0.3"/>
    <row r="37663" s="160" customFormat="1" x14ac:dyDescent="0.3"/>
    <row r="37664" s="160" customFormat="1" x14ac:dyDescent="0.3"/>
    <row r="37665" s="160" customFormat="1" x14ac:dyDescent="0.3"/>
    <row r="37666" s="160" customFormat="1" x14ac:dyDescent="0.3"/>
    <row r="37667" s="160" customFormat="1" x14ac:dyDescent="0.3"/>
    <row r="37668" s="160" customFormat="1" x14ac:dyDescent="0.3"/>
    <row r="37669" s="160" customFormat="1" x14ac:dyDescent="0.3"/>
    <row r="37670" s="160" customFormat="1" x14ac:dyDescent="0.3"/>
    <row r="37671" s="160" customFormat="1" x14ac:dyDescent="0.3"/>
    <row r="37672" s="160" customFormat="1" x14ac:dyDescent="0.3"/>
    <row r="37673" s="160" customFormat="1" x14ac:dyDescent="0.3"/>
    <row r="37674" s="160" customFormat="1" x14ac:dyDescent="0.3"/>
    <row r="37675" s="160" customFormat="1" x14ac:dyDescent="0.3"/>
    <row r="37676" s="160" customFormat="1" x14ac:dyDescent="0.3"/>
    <row r="37677" s="160" customFormat="1" x14ac:dyDescent="0.3"/>
    <row r="37678" s="160" customFormat="1" x14ac:dyDescent="0.3"/>
    <row r="37679" s="160" customFormat="1" x14ac:dyDescent="0.3"/>
    <row r="37680" s="160" customFormat="1" x14ac:dyDescent="0.3"/>
    <row r="37681" s="160" customFormat="1" x14ac:dyDescent="0.3"/>
    <row r="37682" s="160" customFormat="1" x14ac:dyDescent="0.3"/>
    <row r="37683" s="160" customFormat="1" x14ac:dyDescent="0.3"/>
    <row r="37684" s="160" customFormat="1" x14ac:dyDescent="0.3"/>
    <row r="37685" s="160" customFormat="1" x14ac:dyDescent="0.3"/>
    <row r="37686" s="160" customFormat="1" x14ac:dyDescent="0.3"/>
    <row r="37687" s="160" customFormat="1" x14ac:dyDescent="0.3"/>
    <row r="37688" s="160" customFormat="1" x14ac:dyDescent="0.3"/>
    <row r="37689" s="160" customFormat="1" x14ac:dyDescent="0.3"/>
    <row r="37690" s="160" customFormat="1" x14ac:dyDescent="0.3"/>
    <row r="37691" s="160" customFormat="1" x14ac:dyDescent="0.3"/>
    <row r="37692" s="160" customFormat="1" x14ac:dyDescent="0.3"/>
    <row r="37693" s="160" customFormat="1" x14ac:dyDescent="0.3"/>
    <row r="37694" s="160" customFormat="1" x14ac:dyDescent="0.3"/>
    <row r="37695" s="160" customFormat="1" x14ac:dyDescent="0.3"/>
    <row r="37696" s="160" customFormat="1" x14ac:dyDescent="0.3"/>
    <row r="37697" s="160" customFormat="1" x14ac:dyDescent="0.3"/>
    <row r="37698" s="160" customFormat="1" x14ac:dyDescent="0.3"/>
    <row r="37699" s="160" customFormat="1" x14ac:dyDescent="0.3"/>
    <row r="37700" s="160" customFormat="1" x14ac:dyDescent="0.3"/>
    <row r="37701" s="160" customFormat="1" x14ac:dyDescent="0.3"/>
    <row r="37702" s="160" customFormat="1" x14ac:dyDescent="0.3"/>
    <row r="37703" s="160" customFormat="1" x14ac:dyDescent="0.3"/>
    <row r="37704" s="160" customFormat="1" x14ac:dyDescent="0.3"/>
    <row r="37705" s="160" customFormat="1" x14ac:dyDescent="0.3"/>
    <row r="37706" s="160" customFormat="1" x14ac:dyDescent="0.3"/>
    <row r="37707" s="160" customFormat="1" x14ac:dyDescent="0.3"/>
    <row r="37708" s="160" customFormat="1" x14ac:dyDescent="0.3"/>
    <row r="37709" s="160" customFormat="1" x14ac:dyDescent="0.3"/>
    <row r="37710" s="160" customFormat="1" x14ac:dyDescent="0.3"/>
    <row r="37711" s="160" customFormat="1" x14ac:dyDescent="0.3"/>
    <row r="37712" s="160" customFormat="1" x14ac:dyDescent="0.3"/>
    <row r="37713" s="160" customFormat="1" x14ac:dyDescent="0.3"/>
    <row r="37714" s="160" customFormat="1" x14ac:dyDescent="0.3"/>
    <row r="37715" s="160" customFormat="1" x14ac:dyDescent="0.3"/>
    <row r="37716" s="160" customFormat="1" x14ac:dyDescent="0.3"/>
    <row r="37717" s="160" customFormat="1" x14ac:dyDescent="0.3"/>
    <row r="37718" s="160" customFormat="1" x14ac:dyDescent="0.3"/>
    <row r="37719" s="160" customFormat="1" x14ac:dyDescent="0.3"/>
    <row r="37720" s="160" customFormat="1" x14ac:dyDescent="0.3"/>
    <row r="37721" s="160" customFormat="1" x14ac:dyDescent="0.3"/>
    <row r="37722" s="160" customFormat="1" x14ac:dyDescent="0.3"/>
    <row r="37723" s="160" customFormat="1" x14ac:dyDescent="0.3"/>
    <row r="37724" s="160" customFormat="1" x14ac:dyDescent="0.3"/>
    <row r="37725" s="160" customFormat="1" x14ac:dyDescent="0.3"/>
    <row r="37726" s="160" customFormat="1" x14ac:dyDescent="0.3"/>
    <row r="37727" s="160" customFormat="1" x14ac:dyDescent="0.3"/>
    <row r="37728" s="160" customFormat="1" x14ac:dyDescent="0.3"/>
    <row r="37729" s="160" customFormat="1" x14ac:dyDescent="0.3"/>
    <row r="37730" s="160" customFormat="1" x14ac:dyDescent="0.3"/>
    <row r="37731" s="160" customFormat="1" x14ac:dyDescent="0.3"/>
    <row r="37732" s="160" customFormat="1" x14ac:dyDescent="0.3"/>
    <row r="37733" s="160" customFormat="1" x14ac:dyDescent="0.3"/>
    <row r="37734" s="160" customFormat="1" x14ac:dyDescent="0.3"/>
    <row r="37735" s="160" customFormat="1" x14ac:dyDescent="0.3"/>
    <row r="37736" s="160" customFormat="1" x14ac:dyDescent="0.3"/>
    <row r="37737" s="160" customFormat="1" x14ac:dyDescent="0.3"/>
    <row r="37738" s="160" customFormat="1" x14ac:dyDescent="0.3"/>
    <row r="37739" s="160" customFormat="1" x14ac:dyDescent="0.3"/>
    <row r="37740" s="160" customFormat="1" x14ac:dyDescent="0.3"/>
    <row r="37741" s="160" customFormat="1" x14ac:dyDescent="0.3"/>
    <row r="37742" s="160" customFormat="1" x14ac:dyDescent="0.3"/>
    <row r="37743" s="160" customFormat="1" x14ac:dyDescent="0.3"/>
    <row r="37744" s="160" customFormat="1" x14ac:dyDescent="0.3"/>
    <row r="37745" s="160" customFormat="1" x14ac:dyDescent="0.3"/>
    <row r="37746" s="160" customFormat="1" x14ac:dyDescent="0.3"/>
    <row r="37747" s="160" customFormat="1" x14ac:dyDescent="0.3"/>
    <row r="37748" s="160" customFormat="1" x14ac:dyDescent="0.3"/>
    <row r="37749" s="160" customFormat="1" x14ac:dyDescent="0.3"/>
    <row r="37750" s="160" customFormat="1" x14ac:dyDescent="0.3"/>
    <row r="37751" s="160" customFormat="1" x14ac:dyDescent="0.3"/>
    <row r="37752" s="160" customFormat="1" x14ac:dyDescent="0.3"/>
    <row r="37753" s="160" customFormat="1" x14ac:dyDescent="0.3"/>
    <row r="37754" s="160" customFormat="1" x14ac:dyDescent="0.3"/>
    <row r="37755" s="160" customFormat="1" x14ac:dyDescent="0.3"/>
    <row r="37756" s="160" customFormat="1" x14ac:dyDescent="0.3"/>
    <row r="37757" s="160" customFormat="1" x14ac:dyDescent="0.3"/>
    <row r="37758" s="160" customFormat="1" x14ac:dyDescent="0.3"/>
    <row r="37759" s="160" customFormat="1" x14ac:dyDescent="0.3"/>
    <row r="37760" s="160" customFormat="1" x14ac:dyDescent="0.3"/>
    <row r="37761" s="160" customFormat="1" x14ac:dyDescent="0.3"/>
    <row r="37762" s="160" customFormat="1" x14ac:dyDescent="0.3"/>
    <row r="37763" s="160" customFormat="1" x14ac:dyDescent="0.3"/>
    <row r="37764" s="160" customFormat="1" x14ac:dyDescent="0.3"/>
    <row r="37765" s="160" customFormat="1" x14ac:dyDescent="0.3"/>
    <row r="37766" s="160" customFormat="1" x14ac:dyDescent="0.3"/>
    <row r="37767" s="160" customFormat="1" x14ac:dyDescent="0.3"/>
    <row r="37768" s="160" customFormat="1" x14ac:dyDescent="0.3"/>
    <row r="37769" s="160" customFormat="1" x14ac:dyDescent="0.3"/>
    <row r="37770" s="160" customFormat="1" x14ac:dyDescent="0.3"/>
    <row r="37771" s="160" customFormat="1" x14ac:dyDescent="0.3"/>
    <row r="37772" s="160" customFormat="1" x14ac:dyDescent="0.3"/>
    <row r="37773" s="160" customFormat="1" x14ac:dyDescent="0.3"/>
    <row r="37774" s="160" customFormat="1" x14ac:dyDescent="0.3"/>
    <row r="37775" s="160" customFormat="1" x14ac:dyDescent="0.3"/>
    <row r="37776" s="160" customFormat="1" x14ac:dyDescent="0.3"/>
    <row r="37777" s="160" customFormat="1" x14ac:dyDescent="0.3"/>
    <row r="37778" s="160" customFormat="1" x14ac:dyDescent="0.3"/>
    <row r="37779" s="160" customFormat="1" x14ac:dyDescent="0.3"/>
    <row r="37780" s="160" customFormat="1" x14ac:dyDescent="0.3"/>
    <row r="37781" s="160" customFormat="1" x14ac:dyDescent="0.3"/>
    <row r="37782" s="160" customFormat="1" x14ac:dyDescent="0.3"/>
    <row r="37783" s="160" customFormat="1" x14ac:dyDescent="0.3"/>
    <row r="37784" s="160" customFormat="1" x14ac:dyDescent="0.3"/>
    <row r="37785" s="160" customFormat="1" x14ac:dyDescent="0.3"/>
    <row r="37786" s="160" customFormat="1" x14ac:dyDescent="0.3"/>
    <row r="37787" s="160" customFormat="1" x14ac:dyDescent="0.3"/>
    <row r="37788" s="160" customFormat="1" x14ac:dyDescent="0.3"/>
    <row r="37789" s="160" customFormat="1" x14ac:dyDescent="0.3"/>
    <row r="37790" s="160" customFormat="1" x14ac:dyDescent="0.3"/>
    <row r="37791" s="160" customFormat="1" x14ac:dyDescent="0.3"/>
    <row r="37792" s="160" customFormat="1" x14ac:dyDescent="0.3"/>
    <row r="37793" s="160" customFormat="1" x14ac:dyDescent="0.3"/>
    <row r="37794" s="160" customFormat="1" x14ac:dyDescent="0.3"/>
    <row r="37795" s="160" customFormat="1" x14ac:dyDescent="0.3"/>
    <row r="37796" s="160" customFormat="1" x14ac:dyDescent="0.3"/>
    <row r="37797" s="160" customFormat="1" x14ac:dyDescent="0.3"/>
    <row r="37798" s="160" customFormat="1" x14ac:dyDescent="0.3"/>
    <row r="37799" s="160" customFormat="1" x14ac:dyDescent="0.3"/>
    <row r="37800" s="160" customFormat="1" x14ac:dyDescent="0.3"/>
    <row r="37801" s="160" customFormat="1" x14ac:dyDescent="0.3"/>
    <row r="37802" s="160" customFormat="1" x14ac:dyDescent="0.3"/>
    <row r="37803" s="160" customFormat="1" x14ac:dyDescent="0.3"/>
    <row r="37804" s="160" customFormat="1" x14ac:dyDescent="0.3"/>
    <row r="37805" s="160" customFormat="1" x14ac:dyDescent="0.3"/>
    <row r="37806" s="160" customFormat="1" x14ac:dyDescent="0.3"/>
    <row r="37807" s="160" customFormat="1" x14ac:dyDescent="0.3"/>
    <row r="37808" s="160" customFormat="1" x14ac:dyDescent="0.3"/>
    <row r="37809" s="160" customFormat="1" x14ac:dyDescent="0.3"/>
    <row r="37810" s="160" customFormat="1" x14ac:dyDescent="0.3"/>
    <row r="37811" s="160" customFormat="1" x14ac:dyDescent="0.3"/>
    <row r="37812" s="160" customFormat="1" x14ac:dyDescent="0.3"/>
    <row r="37813" s="160" customFormat="1" x14ac:dyDescent="0.3"/>
    <row r="37814" s="160" customFormat="1" x14ac:dyDescent="0.3"/>
    <row r="37815" s="160" customFormat="1" x14ac:dyDescent="0.3"/>
    <row r="37816" s="160" customFormat="1" x14ac:dyDescent="0.3"/>
    <row r="37817" s="160" customFormat="1" x14ac:dyDescent="0.3"/>
    <row r="37818" s="160" customFormat="1" x14ac:dyDescent="0.3"/>
    <row r="37819" s="160" customFormat="1" x14ac:dyDescent="0.3"/>
    <row r="37820" s="160" customFormat="1" x14ac:dyDescent="0.3"/>
    <row r="37821" s="160" customFormat="1" x14ac:dyDescent="0.3"/>
    <row r="37822" s="160" customFormat="1" x14ac:dyDescent="0.3"/>
    <row r="37823" s="160" customFormat="1" x14ac:dyDescent="0.3"/>
    <row r="37824" s="160" customFormat="1" x14ac:dyDescent="0.3"/>
    <row r="37825" s="160" customFormat="1" x14ac:dyDescent="0.3"/>
    <row r="37826" s="160" customFormat="1" x14ac:dyDescent="0.3"/>
    <row r="37827" s="160" customFormat="1" x14ac:dyDescent="0.3"/>
    <row r="37828" s="160" customFormat="1" x14ac:dyDescent="0.3"/>
    <row r="37829" s="160" customFormat="1" x14ac:dyDescent="0.3"/>
    <row r="37830" s="160" customFormat="1" x14ac:dyDescent="0.3"/>
    <row r="37831" s="160" customFormat="1" x14ac:dyDescent="0.3"/>
    <row r="37832" s="160" customFormat="1" x14ac:dyDescent="0.3"/>
    <row r="37833" s="160" customFormat="1" x14ac:dyDescent="0.3"/>
    <row r="37834" s="160" customFormat="1" x14ac:dyDescent="0.3"/>
    <row r="37835" s="160" customFormat="1" x14ac:dyDescent="0.3"/>
    <row r="37836" s="160" customFormat="1" x14ac:dyDescent="0.3"/>
    <row r="37837" s="160" customFormat="1" x14ac:dyDescent="0.3"/>
    <row r="37838" s="160" customFormat="1" x14ac:dyDescent="0.3"/>
    <row r="37839" s="160" customFormat="1" x14ac:dyDescent="0.3"/>
    <row r="37840" s="160" customFormat="1" x14ac:dyDescent="0.3"/>
    <row r="37841" s="160" customFormat="1" x14ac:dyDescent="0.3"/>
    <row r="37842" s="160" customFormat="1" x14ac:dyDescent="0.3"/>
    <row r="37843" s="160" customFormat="1" x14ac:dyDescent="0.3"/>
    <row r="37844" s="160" customFormat="1" x14ac:dyDescent="0.3"/>
    <row r="37845" s="160" customFormat="1" x14ac:dyDescent="0.3"/>
    <row r="37846" s="160" customFormat="1" x14ac:dyDescent="0.3"/>
    <row r="37847" s="160" customFormat="1" x14ac:dyDescent="0.3"/>
    <row r="37848" s="160" customFormat="1" x14ac:dyDescent="0.3"/>
    <row r="37849" s="160" customFormat="1" x14ac:dyDescent="0.3"/>
    <row r="37850" s="160" customFormat="1" x14ac:dyDescent="0.3"/>
    <row r="37851" s="160" customFormat="1" x14ac:dyDescent="0.3"/>
    <row r="37852" s="160" customFormat="1" x14ac:dyDescent="0.3"/>
    <row r="37853" s="160" customFormat="1" x14ac:dyDescent="0.3"/>
    <row r="37854" s="160" customFormat="1" x14ac:dyDescent="0.3"/>
    <row r="37855" s="160" customFormat="1" x14ac:dyDescent="0.3"/>
    <row r="37856" s="160" customFormat="1" x14ac:dyDescent="0.3"/>
    <row r="37857" s="160" customFormat="1" x14ac:dyDescent="0.3"/>
    <row r="37858" s="160" customFormat="1" x14ac:dyDescent="0.3"/>
    <row r="37859" s="160" customFormat="1" x14ac:dyDescent="0.3"/>
    <row r="37860" s="160" customFormat="1" x14ac:dyDescent="0.3"/>
    <row r="37861" s="160" customFormat="1" x14ac:dyDescent="0.3"/>
    <row r="37862" s="160" customFormat="1" x14ac:dyDescent="0.3"/>
    <row r="37863" s="160" customFormat="1" x14ac:dyDescent="0.3"/>
    <row r="37864" s="160" customFormat="1" x14ac:dyDescent="0.3"/>
    <row r="37865" s="160" customFormat="1" x14ac:dyDescent="0.3"/>
    <row r="37866" s="160" customFormat="1" x14ac:dyDescent="0.3"/>
    <row r="37867" s="160" customFormat="1" x14ac:dyDescent="0.3"/>
    <row r="37868" s="160" customFormat="1" x14ac:dyDescent="0.3"/>
    <row r="37869" s="160" customFormat="1" x14ac:dyDescent="0.3"/>
    <row r="37870" s="160" customFormat="1" x14ac:dyDescent="0.3"/>
    <row r="37871" s="160" customFormat="1" x14ac:dyDescent="0.3"/>
    <row r="37872" s="160" customFormat="1" x14ac:dyDescent="0.3"/>
    <row r="37873" s="160" customFormat="1" x14ac:dyDescent="0.3"/>
    <row r="37874" s="160" customFormat="1" x14ac:dyDescent="0.3"/>
    <row r="37875" s="160" customFormat="1" x14ac:dyDescent="0.3"/>
    <row r="37876" s="160" customFormat="1" x14ac:dyDescent="0.3"/>
    <row r="37877" s="160" customFormat="1" x14ac:dyDescent="0.3"/>
    <row r="37878" s="160" customFormat="1" x14ac:dyDescent="0.3"/>
    <row r="37879" s="160" customFormat="1" x14ac:dyDescent="0.3"/>
    <row r="37880" s="160" customFormat="1" x14ac:dyDescent="0.3"/>
    <row r="37881" s="160" customFormat="1" x14ac:dyDescent="0.3"/>
    <row r="37882" s="160" customFormat="1" x14ac:dyDescent="0.3"/>
    <row r="37883" s="160" customFormat="1" x14ac:dyDescent="0.3"/>
    <row r="37884" s="160" customFormat="1" x14ac:dyDescent="0.3"/>
    <row r="37885" s="160" customFormat="1" x14ac:dyDescent="0.3"/>
    <row r="37886" s="160" customFormat="1" x14ac:dyDescent="0.3"/>
    <row r="37887" s="160" customFormat="1" x14ac:dyDescent="0.3"/>
    <row r="37888" s="160" customFormat="1" x14ac:dyDescent="0.3"/>
    <row r="37889" s="160" customFormat="1" x14ac:dyDescent="0.3"/>
    <row r="37890" s="160" customFormat="1" x14ac:dyDescent="0.3"/>
    <row r="37891" s="160" customFormat="1" x14ac:dyDescent="0.3"/>
    <row r="37892" s="160" customFormat="1" x14ac:dyDescent="0.3"/>
    <row r="37893" s="160" customFormat="1" x14ac:dyDescent="0.3"/>
    <row r="37894" s="160" customFormat="1" x14ac:dyDescent="0.3"/>
    <row r="37895" s="160" customFormat="1" x14ac:dyDescent="0.3"/>
    <row r="37896" s="160" customFormat="1" x14ac:dyDescent="0.3"/>
    <row r="37897" s="160" customFormat="1" x14ac:dyDescent="0.3"/>
    <row r="37898" s="160" customFormat="1" x14ac:dyDescent="0.3"/>
    <row r="37899" s="160" customFormat="1" x14ac:dyDescent="0.3"/>
    <row r="37900" s="160" customFormat="1" x14ac:dyDescent="0.3"/>
    <row r="37901" s="160" customFormat="1" x14ac:dyDescent="0.3"/>
    <row r="37902" s="160" customFormat="1" x14ac:dyDescent="0.3"/>
    <row r="37903" s="160" customFormat="1" x14ac:dyDescent="0.3"/>
    <row r="37904" s="160" customFormat="1" x14ac:dyDescent="0.3"/>
    <row r="37905" s="160" customFormat="1" x14ac:dyDescent="0.3"/>
    <row r="37906" s="160" customFormat="1" x14ac:dyDescent="0.3"/>
    <row r="37907" s="160" customFormat="1" x14ac:dyDescent="0.3"/>
    <row r="37908" s="160" customFormat="1" x14ac:dyDescent="0.3"/>
    <row r="37909" s="160" customFormat="1" x14ac:dyDescent="0.3"/>
    <row r="37910" s="160" customFormat="1" x14ac:dyDescent="0.3"/>
    <row r="37911" s="160" customFormat="1" x14ac:dyDescent="0.3"/>
    <row r="37912" s="160" customFormat="1" x14ac:dyDescent="0.3"/>
    <row r="37913" s="160" customFormat="1" x14ac:dyDescent="0.3"/>
    <row r="37914" s="160" customFormat="1" x14ac:dyDescent="0.3"/>
    <row r="37915" s="160" customFormat="1" x14ac:dyDescent="0.3"/>
    <row r="37916" s="160" customFormat="1" x14ac:dyDescent="0.3"/>
    <row r="37917" s="160" customFormat="1" x14ac:dyDescent="0.3"/>
    <row r="37918" s="160" customFormat="1" x14ac:dyDescent="0.3"/>
    <row r="37919" s="160" customFormat="1" x14ac:dyDescent="0.3"/>
    <row r="37920" s="160" customFormat="1" x14ac:dyDescent="0.3"/>
    <row r="37921" s="160" customFormat="1" x14ac:dyDescent="0.3"/>
    <row r="37922" s="160" customFormat="1" x14ac:dyDescent="0.3"/>
    <row r="37923" s="160" customFormat="1" x14ac:dyDescent="0.3"/>
    <row r="37924" s="160" customFormat="1" x14ac:dyDescent="0.3"/>
    <row r="37925" s="160" customFormat="1" x14ac:dyDescent="0.3"/>
    <row r="37926" s="160" customFormat="1" x14ac:dyDescent="0.3"/>
    <row r="37927" s="160" customFormat="1" x14ac:dyDescent="0.3"/>
    <row r="37928" s="160" customFormat="1" x14ac:dyDescent="0.3"/>
    <row r="37929" s="160" customFormat="1" x14ac:dyDescent="0.3"/>
    <row r="37930" s="160" customFormat="1" x14ac:dyDescent="0.3"/>
    <row r="37931" s="160" customFormat="1" x14ac:dyDescent="0.3"/>
    <row r="37932" s="160" customFormat="1" x14ac:dyDescent="0.3"/>
    <row r="37933" s="160" customFormat="1" x14ac:dyDescent="0.3"/>
    <row r="37934" s="160" customFormat="1" x14ac:dyDescent="0.3"/>
    <row r="37935" s="160" customFormat="1" x14ac:dyDescent="0.3"/>
    <row r="37936" s="160" customFormat="1" x14ac:dyDescent="0.3"/>
    <row r="37937" s="160" customFormat="1" x14ac:dyDescent="0.3"/>
    <row r="37938" s="160" customFormat="1" x14ac:dyDescent="0.3"/>
    <row r="37939" s="160" customFormat="1" x14ac:dyDescent="0.3"/>
    <row r="37940" s="160" customFormat="1" x14ac:dyDescent="0.3"/>
    <row r="37941" s="160" customFormat="1" x14ac:dyDescent="0.3"/>
    <row r="37942" s="160" customFormat="1" x14ac:dyDescent="0.3"/>
    <row r="37943" s="160" customFormat="1" x14ac:dyDescent="0.3"/>
    <row r="37944" s="160" customFormat="1" x14ac:dyDescent="0.3"/>
    <row r="37945" s="160" customFormat="1" x14ac:dyDescent="0.3"/>
    <row r="37946" s="160" customFormat="1" x14ac:dyDescent="0.3"/>
    <row r="37947" s="160" customFormat="1" x14ac:dyDescent="0.3"/>
    <row r="37948" s="160" customFormat="1" x14ac:dyDescent="0.3"/>
    <row r="37949" s="160" customFormat="1" x14ac:dyDescent="0.3"/>
    <row r="37950" s="160" customFormat="1" x14ac:dyDescent="0.3"/>
    <row r="37951" s="160" customFormat="1" x14ac:dyDescent="0.3"/>
    <row r="37952" s="160" customFormat="1" x14ac:dyDescent="0.3"/>
    <row r="37953" s="160" customFormat="1" x14ac:dyDescent="0.3"/>
    <row r="37954" s="160" customFormat="1" x14ac:dyDescent="0.3"/>
    <row r="37955" s="160" customFormat="1" x14ac:dyDescent="0.3"/>
    <row r="37956" s="160" customFormat="1" x14ac:dyDescent="0.3"/>
    <row r="37957" s="160" customFormat="1" x14ac:dyDescent="0.3"/>
    <row r="37958" s="160" customFormat="1" x14ac:dyDescent="0.3"/>
    <row r="37959" s="160" customFormat="1" x14ac:dyDescent="0.3"/>
    <row r="37960" s="160" customFormat="1" x14ac:dyDescent="0.3"/>
    <row r="37961" s="160" customFormat="1" x14ac:dyDescent="0.3"/>
    <row r="37962" s="160" customFormat="1" x14ac:dyDescent="0.3"/>
    <row r="37963" s="160" customFormat="1" x14ac:dyDescent="0.3"/>
    <row r="37964" s="160" customFormat="1" x14ac:dyDescent="0.3"/>
    <row r="37965" s="160" customFormat="1" x14ac:dyDescent="0.3"/>
    <row r="37966" s="160" customFormat="1" x14ac:dyDescent="0.3"/>
    <row r="37967" s="160" customFormat="1" x14ac:dyDescent="0.3"/>
    <row r="37968" s="160" customFormat="1" x14ac:dyDescent="0.3"/>
    <row r="37969" s="160" customFormat="1" x14ac:dyDescent="0.3"/>
    <row r="37970" s="160" customFormat="1" x14ac:dyDescent="0.3"/>
    <row r="37971" s="160" customFormat="1" x14ac:dyDescent="0.3"/>
    <row r="37972" s="160" customFormat="1" x14ac:dyDescent="0.3"/>
    <row r="37973" s="160" customFormat="1" x14ac:dyDescent="0.3"/>
    <row r="37974" s="160" customFormat="1" x14ac:dyDescent="0.3"/>
    <row r="37975" s="160" customFormat="1" x14ac:dyDescent="0.3"/>
    <row r="37976" s="160" customFormat="1" x14ac:dyDescent="0.3"/>
    <row r="37977" s="160" customFormat="1" x14ac:dyDescent="0.3"/>
    <row r="37978" s="160" customFormat="1" x14ac:dyDescent="0.3"/>
    <row r="37979" s="160" customFormat="1" x14ac:dyDescent="0.3"/>
    <row r="37980" s="160" customFormat="1" x14ac:dyDescent="0.3"/>
    <row r="37981" s="160" customFormat="1" x14ac:dyDescent="0.3"/>
    <row r="37982" s="160" customFormat="1" x14ac:dyDescent="0.3"/>
    <row r="37983" s="160" customFormat="1" x14ac:dyDescent="0.3"/>
    <row r="37984" s="160" customFormat="1" x14ac:dyDescent="0.3"/>
    <row r="37985" s="160" customFormat="1" x14ac:dyDescent="0.3"/>
    <row r="37986" s="160" customFormat="1" x14ac:dyDescent="0.3"/>
    <row r="37987" s="160" customFormat="1" x14ac:dyDescent="0.3"/>
    <row r="37988" s="160" customFormat="1" x14ac:dyDescent="0.3"/>
    <row r="37989" s="160" customFormat="1" x14ac:dyDescent="0.3"/>
    <row r="37990" s="160" customFormat="1" x14ac:dyDescent="0.3"/>
    <row r="37991" s="160" customFormat="1" x14ac:dyDescent="0.3"/>
    <row r="37992" s="160" customFormat="1" x14ac:dyDescent="0.3"/>
    <row r="37993" s="160" customFormat="1" x14ac:dyDescent="0.3"/>
    <row r="37994" s="160" customFormat="1" x14ac:dyDescent="0.3"/>
    <row r="37995" s="160" customFormat="1" x14ac:dyDescent="0.3"/>
    <row r="37996" s="160" customFormat="1" x14ac:dyDescent="0.3"/>
    <row r="37997" s="160" customFormat="1" x14ac:dyDescent="0.3"/>
    <row r="37998" s="160" customFormat="1" x14ac:dyDescent="0.3"/>
    <row r="37999" s="160" customFormat="1" x14ac:dyDescent="0.3"/>
    <row r="38000" s="160" customFormat="1" x14ac:dyDescent="0.3"/>
    <row r="38001" s="160" customFormat="1" x14ac:dyDescent="0.3"/>
    <row r="38002" s="160" customFormat="1" x14ac:dyDescent="0.3"/>
    <row r="38003" s="160" customFormat="1" x14ac:dyDescent="0.3"/>
    <row r="38004" s="160" customFormat="1" x14ac:dyDescent="0.3"/>
    <row r="38005" s="160" customFormat="1" x14ac:dyDescent="0.3"/>
    <row r="38006" s="160" customFormat="1" x14ac:dyDescent="0.3"/>
    <row r="38007" s="160" customFormat="1" x14ac:dyDescent="0.3"/>
    <row r="38008" s="160" customFormat="1" x14ac:dyDescent="0.3"/>
    <row r="38009" s="160" customFormat="1" x14ac:dyDescent="0.3"/>
    <row r="38010" s="160" customFormat="1" x14ac:dyDescent="0.3"/>
    <row r="38011" s="160" customFormat="1" x14ac:dyDescent="0.3"/>
    <row r="38012" s="160" customFormat="1" x14ac:dyDescent="0.3"/>
    <row r="38013" s="160" customFormat="1" x14ac:dyDescent="0.3"/>
    <row r="38014" s="160" customFormat="1" x14ac:dyDescent="0.3"/>
    <row r="38015" s="160" customFormat="1" x14ac:dyDescent="0.3"/>
    <row r="38016" s="160" customFormat="1" x14ac:dyDescent="0.3"/>
    <row r="38017" s="160" customFormat="1" x14ac:dyDescent="0.3"/>
    <row r="38018" s="160" customFormat="1" x14ac:dyDescent="0.3"/>
    <row r="38019" s="160" customFormat="1" x14ac:dyDescent="0.3"/>
    <row r="38020" s="160" customFormat="1" x14ac:dyDescent="0.3"/>
    <row r="38021" s="160" customFormat="1" x14ac:dyDescent="0.3"/>
    <row r="38022" s="160" customFormat="1" x14ac:dyDescent="0.3"/>
    <row r="38023" s="160" customFormat="1" x14ac:dyDescent="0.3"/>
    <row r="38024" s="160" customFormat="1" x14ac:dyDescent="0.3"/>
    <row r="38025" s="160" customFormat="1" x14ac:dyDescent="0.3"/>
    <row r="38026" s="160" customFormat="1" x14ac:dyDescent="0.3"/>
    <row r="38027" s="160" customFormat="1" x14ac:dyDescent="0.3"/>
    <row r="38028" s="160" customFormat="1" x14ac:dyDescent="0.3"/>
    <row r="38029" s="160" customFormat="1" x14ac:dyDescent="0.3"/>
    <row r="38030" s="160" customFormat="1" x14ac:dyDescent="0.3"/>
    <row r="38031" s="160" customFormat="1" x14ac:dyDescent="0.3"/>
    <row r="38032" s="160" customFormat="1" x14ac:dyDescent="0.3"/>
    <row r="38033" s="160" customFormat="1" x14ac:dyDescent="0.3"/>
    <row r="38034" s="160" customFormat="1" x14ac:dyDescent="0.3"/>
    <row r="38035" s="160" customFormat="1" x14ac:dyDescent="0.3"/>
    <row r="38036" s="160" customFormat="1" x14ac:dyDescent="0.3"/>
    <row r="38037" s="160" customFormat="1" x14ac:dyDescent="0.3"/>
    <row r="38038" s="160" customFormat="1" x14ac:dyDescent="0.3"/>
    <row r="38039" s="160" customFormat="1" x14ac:dyDescent="0.3"/>
    <row r="38040" s="160" customFormat="1" x14ac:dyDescent="0.3"/>
    <row r="38041" s="160" customFormat="1" x14ac:dyDescent="0.3"/>
    <row r="38042" s="160" customFormat="1" x14ac:dyDescent="0.3"/>
    <row r="38043" s="160" customFormat="1" x14ac:dyDescent="0.3"/>
    <row r="38044" s="160" customFormat="1" x14ac:dyDescent="0.3"/>
    <row r="38045" s="160" customFormat="1" x14ac:dyDescent="0.3"/>
    <row r="38046" s="160" customFormat="1" x14ac:dyDescent="0.3"/>
    <row r="38047" s="160" customFormat="1" x14ac:dyDescent="0.3"/>
    <row r="38048" s="160" customFormat="1" x14ac:dyDescent="0.3"/>
    <row r="38049" s="160" customFormat="1" x14ac:dyDescent="0.3"/>
    <row r="38050" s="160" customFormat="1" x14ac:dyDescent="0.3"/>
    <row r="38051" s="160" customFormat="1" x14ac:dyDescent="0.3"/>
    <row r="38052" s="160" customFormat="1" x14ac:dyDescent="0.3"/>
    <row r="38053" s="160" customFormat="1" x14ac:dyDescent="0.3"/>
    <row r="38054" s="160" customFormat="1" x14ac:dyDescent="0.3"/>
    <row r="38055" s="160" customFormat="1" x14ac:dyDescent="0.3"/>
    <row r="38056" s="160" customFormat="1" x14ac:dyDescent="0.3"/>
    <row r="38057" s="160" customFormat="1" x14ac:dyDescent="0.3"/>
    <row r="38058" s="160" customFormat="1" x14ac:dyDescent="0.3"/>
    <row r="38059" s="160" customFormat="1" x14ac:dyDescent="0.3"/>
    <row r="38060" s="160" customFormat="1" x14ac:dyDescent="0.3"/>
    <row r="38061" s="160" customFormat="1" x14ac:dyDescent="0.3"/>
    <row r="38062" s="160" customFormat="1" x14ac:dyDescent="0.3"/>
    <row r="38063" s="160" customFormat="1" x14ac:dyDescent="0.3"/>
    <row r="38064" s="160" customFormat="1" x14ac:dyDescent="0.3"/>
    <row r="38065" s="160" customFormat="1" x14ac:dyDescent="0.3"/>
    <row r="38066" s="160" customFormat="1" x14ac:dyDescent="0.3"/>
    <row r="38067" s="160" customFormat="1" x14ac:dyDescent="0.3"/>
    <row r="38068" s="160" customFormat="1" x14ac:dyDescent="0.3"/>
    <row r="38069" s="160" customFormat="1" x14ac:dyDescent="0.3"/>
    <row r="38070" s="160" customFormat="1" x14ac:dyDescent="0.3"/>
    <row r="38071" s="160" customFormat="1" x14ac:dyDescent="0.3"/>
    <row r="38072" s="160" customFormat="1" x14ac:dyDescent="0.3"/>
    <row r="38073" s="160" customFormat="1" x14ac:dyDescent="0.3"/>
    <row r="38074" s="160" customFormat="1" x14ac:dyDescent="0.3"/>
    <row r="38075" s="160" customFormat="1" x14ac:dyDescent="0.3"/>
    <row r="38076" s="160" customFormat="1" x14ac:dyDescent="0.3"/>
    <row r="38077" s="160" customFormat="1" x14ac:dyDescent="0.3"/>
    <row r="38078" s="160" customFormat="1" x14ac:dyDescent="0.3"/>
    <row r="38079" s="160" customFormat="1" x14ac:dyDescent="0.3"/>
    <row r="38080" s="160" customFormat="1" x14ac:dyDescent="0.3"/>
    <row r="38081" s="160" customFormat="1" x14ac:dyDescent="0.3"/>
    <row r="38082" s="160" customFormat="1" x14ac:dyDescent="0.3"/>
    <row r="38083" s="160" customFormat="1" x14ac:dyDescent="0.3"/>
    <row r="38084" s="160" customFormat="1" x14ac:dyDescent="0.3"/>
    <row r="38085" s="160" customFormat="1" x14ac:dyDescent="0.3"/>
    <row r="38086" s="160" customFormat="1" x14ac:dyDescent="0.3"/>
    <row r="38087" s="160" customFormat="1" x14ac:dyDescent="0.3"/>
    <row r="38088" s="160" customFormat="1" x14ac:dyDescent="0.3"/>
    <row r="38089" s="160" customFormat="1" x14ac:dyDescent="0.3"/>
    <row r="38090" s="160" customFormat="1" x14ac:dyDescent="0.3"/>
    <row r="38091" s="160" customFormat="1" x14ac:dyDescent="0.3"/>
    <row r="38092" s="160" customFormat="1" x14ac:dyDescent="0.3"/>
    <row r="38093" s="160" customFormat="1" x14ac:dyDescent="0.3"/>
    <row r="38094" s="160" customFormat="1" x14ac:dyDescent="0.3"/>
    <row r="38095" s="160" customFormat="1" x14ac:dyDescent="0.3"/>
    <row r="38096" s="160" customFormat="1" x14ac:dyDescent="0.3"/>
    <row r="38097" s="160" customFormat="1" x14ac:dyDescent="0.3"/>
    <row r="38098" s="160" customFormat="1" x14ac:dyDescent="0.3"/>
    <row r="38099" s="160" customFormat="1" x14ac:dyDescent="0.3"/>
    <row r="38100" s="160" customFormat="1" x14ac:dyDescent="0.3"/>
    <row r="38101" s="160" customFormat="1" x14ac:dyDescent="0.3"/>
    <row r="38102" s="160" customFormat="1" x14ac:dyDescent="0.3"/>
    <row r="38103" s="160" customFormat="1" x14ac:dyDescent="0.3"/>
    <row r="38104" s="160" customFormat="1" x14ac:dyDescent="0.3"/>
    <row r="38105" s="160" customFormat="1" x14ac:dyDescent="0.3"/>
    <row r="38106" s="160" customFormat="1" x14ac:dyDescent="0.3"/>
    <row r="38107" s="160" customFormat="1" x14ac:dyDescent="0.3"/>
    <row r="38108" s="160" customFormat="1" x14ac:dyDescent="0.3"/>
    <row r="38109" s="160" customFormat="1" x14ac:dyDescent="0.3"/>
    <row r="38110" s="160" customFormat="1" x14ac:dyDescent="0.3"/>
    <row r="38111" s="160" customFormat="1" x14ac:dyDescent="0.3"/>
    <row r="38112" s="160" customFormat="1" x14ac:dyDescent="0.3"/>
    <row r="38113" s="160" customFormat="1" x14ac:dyDescent="0.3"/>
    <row r="38114" s="160" customFormat="1" x14ac:dyDescent="0.3"/>
    <row r="38115" s="160" customFormat="1" x14ac:dyDescent="0.3"/>
    <row r="38116" s="160" customFormat="1" x14ac:dyDescent="0.3"/>
    <row r="38117" s="160" customFormat="1" x14ac:dyDescent="0.3"/>
    <row r="38118" s="160" customFormat="1" x14ac:dyDescent="0.3"/>
    <row r="38119" s="160" customFormat="1" x14ac:dyDescent="0.3"/>
    <row r="38120" s="160" customFormat="1" x14ac:dyDescent="0.3"/>
    <row r="38121" s="160" customFormat="1" x14ac:dyDescent="0.3"/>
    <row r="38122" s="160" customFormat="1" x14ac:dyDescent="0.3"/>
    <row r="38123" s="160" customFormat="1" x14ac:dyDescent="0.3"/>
    <row r="38124" s="160" customFormat="1" x14ac:dyDescent="0.3"/>
    <row r="38125" s="160" customFormat="1" x14ac:dyDescent="0.3"/>
    <row r="38126" s="160" customFormat="1" x14ac:dyDescent="0.3"/>
    <row r="38127" s="160" customFormat="1" x14ac:dyDescent="0.3"/>
    <row r="38128" s="160" customFormat="1" x14ac:dyDescent="0.3"/>
    <row r="38129" s="160" customFormat="1" x14ac:dyDescent="0.3"/>
    <row r="38130" s="160" customFormat="1" x14ac:dyDescent="0.3"/>
    <row r="38131" s="160" customFormat="1" x14ac:dyDescent="0.3"/>
    <row r="38132" s="160" customFormat="1" x14ac:dyDescent="0.3"/>
    <row r="38133" s="160" customFormat="1" x14ac:dyDescent="0.3"/>
    <row r="38134" s="160" customFormat="1" x14ac:dyDescent="0.3"/>
    <row r="38135" s="160" customFormat="1" x14ac:dyDescent="0.3"/>
    <row r="38136" s="160" customFormat="1" x14ac:dyDescent="0.3"/>
    <row r="38137" s="160" customFormat="1" x14ac:dyDescent="0.3"/>
    <row r="38138" s="160" customFormat="1" x14ac:dyDescent="0.3"/>
    <row r="38139" s="160" customFormat="1" x14ac:dyDescent="0.3"/>
    <row r="38140" s="160" customFormat="1" x14ac:dyDescent="0.3"/>
    <row r="38141" s="160" customFormat="1" x14ac:dyDescent="0.3"/>
    <row r="38142" s="160" customFormat="1" x14ac:dyDescent="0.3"/>
    <row r="38143" s="160" customFormat="1" x14ac:dyDescent="0.3"/>
    <row r="38144" s="160" customFormat="1" x14ac:dyDescent="0.3"/>
    <row r="38145" s="160" customFormat="1" x14ac:dyDescent="0.3"/>
    <row r="38146" s="160" customFormat="1" x14ac:dyDescent="0.3"/>
    <row r="38147" s="160" customFormat="1" x14ac:dyDescent="0.3"/>
    <row r="38148" s="160" customFormat="1" x14ac:dyDescent="0.3"/>
    <row r="38149" s="160" customFormat="1" x14ac:dyDescent="0.3"/>
    <row r="38150" s="160" customFormat="1" x14ac:dyDescent="0.3"/>
    <row r="38151" s="160" customFormat="1" x14ac:dyDescent="0.3"/>
    <row r="38152" s="160" customFormat="1" x14ac:dyDescent="0.3"/>
    <row r="38153" s="160" customFormat="1" x14ac:dyDescent="0.3"/>
    <row r="38154" s="160" customFormat="1" x14ac:dyDescent="0.3"/>
    <row r="38155" s="160" customFormat="1" x14ac:dyDescent="0.3"/>
    <row r="38156" s="160" customFormat="1" x14ac:dyDescent="0.3"/>
    <row r="38157" s="160" customFormat="1" x14ac:dyDescent="0.3"/>
    <row r="38158" s="160" customFormat="1" x14ac:dyDescent="0.3"/>
    <row r="38159" s="160" customFormat="1" x14ac:dyDescent="0.3"/>
    <row r="38160" s="160" customFormat="1" x14ac:dyDescent="0.3"/>
    <row r="38161" s="160" customFormat="1" x14ac:dyDescent="0.3"/>
    <row r="38162" s="160" customFormat="1" x14ac:dyDescent="0.3"/>
    <row r="38163" s="160" customFormat="1" x14ac:dyDescent="0.3"/>
    <row r="38164" s="160" customFormat="1" x14ac:dyDescent="0.3"/>
    <row r="38165" s="160" customFormat="1" x14ac:dyDescent="0.3"/>
    <row r="38166" s="160" customFormat="1" x14ac:dyDescent="0.3"/>
    <row r="38167" s="160" customFormat="1" x14ac:dyDescent="0.3"/>
    <row r="38168" s="160" customFormat="1" x14ac:dyDescent="0.3"/>
    <row r="38169" s="160" customFormat="1" x14ac:dyDescent="0.3"/>
    <row r="38170" s="160" customFormat="1" x14ac:dyDescent="0.3"/>
    <row r="38171" s="160" customFormat="1" x14ac:dyDescent="0.3"/>
    <row r="38172" s="160" customFormat="1" x14ac:dyDescent="0.3"/>
    <row r="38173" s="160" customFormat="1" x14ac:dyDescent="0.3"/>
    <row r="38174" s="160" customFormat="1" x14ac:dyDescent="0.3"/>
    <row r="38175" s="160" customFormat="1" x14ac:dyDescent="0.3"/>
    <row r="38176" s="160" customFormat="1" x14ac:dyDescent="0.3"/>
    <row r="38177" s="160" customFormat="1" x14ac:dyDescent="0.3"/>
    <row r="38178" s="160" customFormat="1" x14ac:dyDescent="0.3"/>
    <row r="38179" s="160" customFormat="1" x14ac:dyDescent="0.3"/>
    <row r="38180" s="160" customFormat="1" x14ac:dyDescent="0.3"/>
    <row r="38181" s="160" customFormat="1" x14ac:dyDescent="0.3"/>
    <row r="38182" s="160" customFormat="1" x14ac:dyDescent="0.3"/>
    <row r="38183" s="160" customFormat="1" x14ac:dyDescent="0.3"/>
    <row r="38184" s="160" customFormat="1" x14ac:dyDescent="0.3"/>
    <row r="38185" s="160" customFormat="1" x14ac:dyDescent="0.3"/>
    <row r="38186" s="160" customFormat="1" x14ac:dyDescent="0.3"/>
    <row r="38187" s="160" customFormat="1" x14ac:dyDescent="0.3"/>
    <row r="38188" s="160" customFormat="1" x14ac:dyDescent="0.3"/>
    <row r="38189" s="160" customFormat="1" x14ac:dyDescent="0.3"/>
    <row r="38190" s="160" customFormat="1" x14ac:dyDescent="0.3"/>
    <row r="38191" s="160" customFormat="1" x14ac:dyDescent="0.3"/>
    <row r="38192" s="160" customFormat="1" x14ac:dyDescent="0.3"/>
    <row r="38193" s="160" customFormat="1" x14ac:dyDescent="0.3"/>
    <row r="38194" s="160" customFormat="1" x14ac:dyDescent="0.3"/>
    <row r="38195" s="160" customFormat="1" x14ac:dyDescent="0.3"/>
    <row r="38196" s="160" customFormat="1" x14ac:dyDescent="0.3"/>
    <row r="38197" s="160" customFormat="1" x14ac:dyDescent="0.3"/>
    <row r="38198" s="160" customFormat="1" x14ac:dyDescent="0.3"/>
    <row r="38199" s="160" customFormat="1" x14ac:dyDescent="0.3"/>
    <row r="38200" s="160" customFormat="1" x14ac:dyDescent="0.3"/>
    <row r="38201" s="160" customFormat="1" x14ac:dyDescent="0.3"/>
    <row r="38202" s="160" customFormat="1" x14ac:dyDescent="0.3"/>
    <row r="38203" s="160" customFormat="1" x14ac:dyDescent="0.3"/>
    <row r="38204" s="160" customFormat="1" x14ac:dyDescent="0.3"/>
    <row r="38205" s="160" customFormat="1" x14ac:dyDescent="0.3"/>
    <row r="38206" s="160" customFormat="1" x14ac:dyDescent="0.3"/>
    <row r="38207" s="160" customFormat="1" x14ac:dyDescent="0.3"/>
    <row r="38208" s="160" customFormat="1" x14ac:dyDescent="0.3"/>
    <row r="38209" s="160" customFormat="1" x14ac:dyDescent="0.3"/>
    <row r="38210" s="160" customFormat="1" x14ac:dyDescent="0.3"/>
    <row r="38211" s="160" customFormat="1" x14ac:dyDescent="0.3"/>
    <row r="38212" s="160" customFormat="1" x14ac:dyDescent="0.3"/>
    <row r="38213" s="160" customFormat="1" x14ac:dyDescent="0.3"/>
    <row r="38214" s="160" customFormat="1" x14ac:dyDescent="0.3"/>
    <row r="38215" s="160" customFormat="1" x14ac:dyDescent="0.3"/>
    <row r="38216" s="160" customFormat="1" x14ac:dyDescent="0.3"/>
    <row r="38217" s="160" customFormat="1" x14ac:dyDescent="0.3"/>
    <row r="38218" s="160" customFormat="1" x14ac:dyDescent="0.3"/>
    <row r="38219" s="160" customFormat="1" x14ac:dyDescent="0.3"/>
    <row r="38220" s="160" customFormat="1" x14ac:dyDescent="0.3"/>
    <row r="38221" s="160" customFormat="1" x14ac:dyDescent="0.3"/>
    <row r="38222" s="160" customFormat="1" x14ac:dyDescent="0.3"/>
    <row r="38223" s="160" customFormat="1" x14ac:dyDescent="0.3"/>
    <row r="38224" s="160" customFormat="1" x14ac:dyDescent="0.3"/>
    <row r="38225" s="160" customFormat="1" x14ac:dyDescent="0.3"/>
    <row r="38226" s="160" customFormat="1" x14ac:dyDescent="0.3"/>
    <row r="38227" s="160" customFormat="1" x14ac:dyDescent="0.3"/>
    <row r="38228" s="160" customFormat="1" x14ac:dyDescent="0.3"/>
    <row r="38229" s="160" customFormat="1" x14ac:dyDescent="0.3"/>
    <row r="38230" s="160" customFormat="1" x14ac:dyDescent="0.3"/>
    <row r="38231" s="160" customFormat="1" x14ac:dyDescent="0.3"/>
    <row r="38232" s="160" customFormat="1" x14ac:dyDescent="0.3"/>
    <row r="38233" s="160" customFormat="1" x14ac:dyDescent="0.3"/>
    <row r="38234" s="160" customFormat="1" x14ac:dyDescent="0.3"/>
    <row r="38235" s="160" customFormat="1" x14ac:dyDescent="0.3"/>
    <row r="38236" s="160" customFormat="1" x14ac:dyDescent="0.3"/>
    <row r="38237" s="160" customFormat="1" x14ac:dyDescent="0.3"/>
    <row r="38238" s="160" customFormat="1" x14ac:dyDescent="0.3"/>
    <row r="38239" s="160" customFormat="1" x14ac:dyDescent="0.3"/>
    <row r="38240" s="160" customFormat="1" x14ac:dyDescent="0.3"/>
    <row r="38241" s="160" customFormat="1" x14ac:dyDescent="0.3"/>
    <row r="38242" s="160" customFormat="1" x14ac:dyDescent="0.3"/>
    <row r="38243" s="160" customFormat="1" x14ac:dyDescent="0.3"/>
    <row r="38244" s="160" customFormat="1" x14ac:dyDescent="0.3"/>
    <row r="38245" s="160" customFormat="1" x14ac:dyDescent="0.3"/>
    <row r="38246" s="160" customFormat="1" x14ac:dyDescent="0.3"/>
    <row r="38247" s="160" customFormat="1" x14ac:dyDescent="0.3"/>
    <row r="38248" s="160" customFormat="1" x14ac:dyDescent="0.3"/>
    <row r="38249" s="160" customFormat="1" x14ac:dyDescent="0.3"/>
    <row r="38250" s="160" customFormat="1" x14ac:dyDescent="0.3"/>
    <row r="38251" s="160" customFormat="1" x14ac:dyDescent="0.3"/>
    <row r="38252" s="160" customFormat="1" x14ac:dyDescent="0.3"/>
    <row r="38253" s="160" customFormat="1" x14ac:dyDescent="0.3"/>
    <row r="38254" s="160" customFormat="1" x14ac:dyDescent="0.3"/>
    <row r="38255" s="160" customFormat="1" x14ac:dyDescent="0.3"/>
    <row r="38256" s="160" customFormat="1" x14ac:dyDescent="0.3"/>
    <row r="38257" s="160" customFormat="1" x14ac:dyDescent="0.3"/>
    <row r="38258" s="160" customFormat="1" x14ac:dyDescent="0.3"/>
    <row r="38259" s="160" customFormat="1" x14ac:dyDescent="0.3"/>
    <row r="38260" s="160" customFormat="1" x14ac:dyDescent="0.3"/>
    <row r="38261" s="160" customFormat="1" x14ac:dyDescent="0.3"/>
    <row r="38262" s="160" customFormat="1" x14ac:dyDescent="0.3"/>
    <row r="38263" s="160" customFormat="1" x14ac:dyDescent="0.3"/>
    <row r="38264" s="160" customFormat="1" x14ac:dyDescent="0.3"/>
    <row r="38265" s="160" customFormat="1" x14ac:dyDescent="0.3"/>
    <row r="38266" s="160" customFormat="1" x14ac:dyDescent="0.3"/>
    <row r="38267" s="160" customFormat="1" x14ac:dyDescent="0.3"/>
    <row r="38268" s="160" customFormat="1" x14ac:dyDescent="0.3"/>
    <row r="38269" s="160" customFormat="1" x14ac:dyDescent="0.3"/>
    <row r="38270" s="160" customFormat="1" x14ac:dyDescent="0.3"/>
    <row r="38271" s="160" customFormat="1" x14ac:dyDescent="0.3"/>
    <row r="38272" s="160" customFormat="1" x14ac:dyDescent="0.3"/>
    <row r="38273" s="160" customFormat="1" x14ac:dyDescent="0.3"/>
    <row r="38274" s="160" customFormat="1" x14ac:dyDescent="0.3"/>
    <row r="38275" s="160" customFormat="1" x14ac:dyDescent="0.3"/>
    <row r="38276" s="160" customFormat="1" x14ac:dyDescent="0.3"/>
    <row r="38277" s="160" customFormat="1" x14ac:dyDescent="0.3"/>
    <row r="38278" s="160" customFormat="1" x14ac:dyDescent="0.3"/>
    <row r="38279" s="160" customFormat="1" x14ac:dyDescent="0.3"/>
    <row r="38280" s="160" customFormat="1" x14ac:dyDescent="0.3"/>
    <row r="38281" s="160" customFormat="1" x14ac:dyDescent="0.3"/>
    <row r="38282" s="160" customFormat="1" x14ac:dyDescent="0.3"/>
    <row r="38283" s="160" customFormat="1" x14ac:dyDescent="0.3"/>
    <row r="38284" s="160" customFormat="1" x14ac:dyDescent="0.3"/>
    <row r="38285" s="160" customFormat="1" x14ac:dyDescent="0.3"/>
    <row r="38286" s="160" customFormat="1" x14ac:dyDescent="0.3"/>
    <row r="38287" s="160" customFormat="1" x14ac:dyDescent="0.3"/>
    <row r="38288" s="160" customFormat="1" x14ac:dyDescent="0.3"/>
    <row r="38289" s="160" customFormat="1" x14ac:dyDescent="0.3"/>
    <row r="38290" s="160" customFormat="1" x14ac:dyDescent="0.3"/>
    <row r="38291" s="160" customFormat="1" x14ac:dyDescent="0.3"/>
    <row r="38292" s="160" customFormat="1" x14ac:dyDescent="0.3"/>
    <row r="38293" s="160" customFormat="1" x14ac:dyDescent="0.3"/>
    <row r="38294" s="160" customFormat="1" x14ac:dyDescent="0.3"/>
    <row r="38295" s="160" customFormat="1" x14ac:dyDescent="0.3"/>
    <row r="38296" s="160" customFormat="1" x14ac:dyDescent="0.3"/>
    <row r="38297" s="160" customFormat="1" x14ac:dyDescent="0.3"/>
    <row r="38298" s="160" customFormat="1" x14ac:dyDescent="0.3"/>
    <row r="38299" s="160" customFormat="1" x14ac:dyDescent="0.3"/>
    <row r="38300" s="160" customFormat="1" x14ac:dyDescent="0.3"/>
    <row r="38301" s="160" customFormat="1" x14ac:dyDescent="0.3"/>
    <row r="38302" s="160" customFormat="1" x14ac:dyDescent="0.3"/>
    <row r="38303" s="160" customFormat="1" x14ac:dyDescent="0.3"/>
    <row r="38304" s="160" customFormat="1" x14ac:dyDescent="0.3"/>
    <row r="38305" s="160" customFormat="1" x14ac:dyDescent="0.3"/>
    <row r="38306" s="160" customFormat="1" x14ac:dyDescent="0.3"/>
    <row r="38307" s="160" customFormat="1" x14ac:dyDescent="0.3"/>
    <row r="38308" s="160" customFormat="1" x14ac:dyDescent="0.3"/>
    <row r="38309" s="160" customFormat="1" x14ac:dyDescent="0.3"/>
    <row r="38310" s="160" customFormat="1" x14ac:dyDescent="0.3"/>
    <row r="38311" s="160" customFormat="1" x14ac:dyDescent="0.3"/>
    <row r="38312" s="160" customFormat="1" x14ac:dyDescent="0.3"/>
    <row r="38313" s="160" customFormat="1" x14ac:dyDescent="0.3"/>
    <row r="38314" s="160" customFormat="1" x14ac:dyDescent="0.3"/>
    <row r="38315" s="160" customFormat="1" x14ac:dyDescent="0.3"/>
    <row r="38316" s="160" customFormat="1" x14ac:dyDescent="0.3"/>
    <row r="38317" s="160" customFormat="1" x14ac:dyDescent="0.3"/>
    <row r="38318" s="160" customFormat="1" x14ac:dyDescent="0.3"/>
    <row r="38319" s="160" customFormat="1" x14ac:dyDescent="0.3"/>
    <row r="38320" s="160" customFormat="1" x14ac:dyDescent="0.3"/>
    <row r="38321" s="160" customFormat="1" x14ac:dyDescent="0.3"/>
    <row r="38322" s="160" customFormat="1" x14ac:dyDescent="0.3"/>
    <row r="38323" s="160" customFormat="1" x14ac:dyDescent="0.3"/>
    <row r="38324" s="160" customFormat="1" x14ac:dyDescent="0.3"/>
    <row r="38325" s="160" customFormat="1" x14ac:dyDescent="0.3"/>
    <row r="38326" s="160" customFormat="1" x14ac:dyDescent="0.3"/>
    <row r="38327" s="160" customFormat="1" x14ac:dyDescent="0.3"/>
    <row r="38328" s="160" customFormat="1" x14ac:dyDescent="0.3"/>
    <row r="38329" s="160" customFormat="1" x14ac:dyDescent="0.3"/>
    <row r="38330" s="160" customFormat="1" x14ac:dyDescent="0.3"/>
    <row r="38331" s="160" customFormat="1" x14ac:dyDescent="0.3"/>
    <row r="38332" s="160" customFormat="1" x14ac:dyDescent="0.3"/>
    <row r="38333" s="160" customFormat="1" x14ac:dyDescent="0.3"/>
    <row r="38334" s="160" customFormat="1" x14ac:dyDescent="0.3"/>
    <row r="38335" s="160" customFormat="1" x14ac:dyDescent="0.3"/>
    <row r="38336" s="160" customFormat="1" x14ac:dyDescent="0.3"/>
    <row r="38337" s="160" customFormat="1" x14ac:dyDescent="0.3"/>
    <row r="38338" s="160" customFormat="1" x14ac:dyDescent="0.3"/>
    <row r="38339" s="160" customFormat="1" x14ac:dyDescent="0.3"/>
    <row r="38340" s="160" customFormat="1" x14ac:dyDescent="0.3"/>
    <row r="38341" s="160" customFormat="1" x14ac:dyDescent="0.3"/>
    <row r="38342" s="160" customFormat="1" x14ac:dyDescent="0.3"/>
    <row r="38343" s="160" customFormat="1" x14ac:dyDescent="0.3"/>
    <row r="38344" s="160" customFormat="1" x14ac:dyDescent="0.3"/>
    <row r="38345" s="160" customFormat="1" x14ac:dyDescent="0.3"/>
    <row r="38346" s="160" customFormat="1" x14ac:dyDescent="0.3"/>
    <row r="38347" s="160" customFormat="1" x14ac:dyDescent="0.3"/>
    <row r="38348" s="160" customFormat="1" x14ac:dyDescent="0.3"/>
    <row r="38349" s="160" customFormat="1" x14ac:dyDescent="0.3"/>
    <row r="38350" s="160" customFormat="1" x14ac:dyDescent="0.3"/>
    <row r="38351" s="160" customFormat="1" x14ac:dyDescent="0.3"/>
    <row r="38352" s="160" customFormat="1" x14ac:dyDescent="0.3"/>
    <row r="38353" s="160" customFormat="1" x14ac:dyDescent="0.3"/>
    <row r="38354" s="160" customFormat="1" x14ac:dyDescent="0.3"/>
    <row r="38355" s="160" customFormat="1" x14ac:dyDescent="0.3"/>
    <row r="38356" s="160" customFormat="1" x14ac:dyDescent="0.3"/>
    <row r="38357" s="160" customFormat="1" x14ac:dyDescent="0.3"/>
    <row r="38358" s="160" customFormat="1" x14ac:dyDescent="0.3"/>
    <row r="38359" s="160" customFormat="1" x14ac:dyDescent="0.3"/>
    <row r="38360" s="160" customFormat="1" x14ac:dyDescent="0.3"/>
    <row r="38361" s="160" customFormat="1" x14ac:dyDescent="0.3"/>
    <row r="38362" s="160" customFormat="1" x14ac:dyDescent="0.3"/>
    <row r="38363" s="160" customFormat="1" x14ac:dyDescent="0.3"/>
    <row r="38364" s="160" customFormat="1" x14ac:dyDescent="0.3"/>
    <row r="38365" s="160" customFormat="1" x14ac:dyDescent="0.3"/>
    <row r="38366" s="160" customFormat="1" x14ac:dyDescent="0.3"/>
    <row r="38367" s="160" customFormat="1" x14ac:dyDescent="0.3"/>
    <row r="38368" s="160" customFormat="1" x14ac:dyDescent="0.3"/>
    <row r="38369" s="160" customFormat="1" x14ac:dyDescent="0.3"/>
    <row r="38370" s="160" customFormat="1" x14ac:dyDescent="0.3"/>
    <row r="38371" s="160" customFormat="1" x14ac:dyDescent="0.3"/>
    <row r="38372" s="160" customFormat="1" x14ac:dyDescent="0.3"/>
    <row r="38373" s="160" customFormat="1" x14ac:dyDescent="0.3"/>
    <row r="38374" s="160" customFormat="1" x14ac:dyDescent="0.3"/>
    <row r="38375" s="160" customFormat="1" x14ac:dyDescent="0.3"/>
    <row r="38376" s="160" customFormat="1" x14ac:dyDescent="0.3"/>
    <row r="38377" s="160" customFormat="1" x14ac:dyDescent="0.3"/>
    <row r="38378" s="160" customFormat="1" x14ac:dyDescent="0.3"/>
    <row r="38379" s="160" customFormat="1" x14ac:dyDescent="0.3"/>
    <row r="38380" s="160" customFormat="1" x14ac:dyDescent="0.3"/>
    <row r="38381" s="160" customFormat="1" x14ac:dyDescent="0.3"/>
    <row r="38382" s="160" customFormat="1" x14ac:dyDescent="0.3"/>
    <row r="38383" s="160" customFormat="1" x14ac:dyDescent="0.3"/>
    <row r="38384" s="160" customFormat="1" x14ac:dyDescent="0.3"/>
    <row r="38385" s="160" customFormat="1" x14ac:dyDescent="0.3"/>
    <row r="38386" s="160" customFormat="1" x14ac:dyDescent="0.3"/>
    <row r="38387" s="160" customFormat="1" x14ac:dyDescent="0.3"/>
    <row r="38388" s="160" customFormat="1" x14ac:dyDescent="0.3"/>
    <row r="38389" s="160" customFormat="1" x14ac:dyDescent="0.3"/>
    <row r="38390" s="160" customFormat="1" x14ac:dyDescent="0.3"/>
    <row r="38391" s="160" customFormat="1" x14ac:dyDescent="0.3"/>
    <row r="38392" s="160" customFormat="1" x14ac:dyDescent="0.3"/>
    <row r="38393" s="160" customFormat="1" x14ac:dyDescent="0.3"/>
    <row r="38394" s="160" customFormat="1" x14ac:dyDescent="0.3"/>
    <row r="38395" s="160" customFormat="1" x14ac:dyDescent="0.3"/>
    <row r="38396" s="160" customFormat="1" x14ac:dyDescent="0.3"/>
    <row r="38397" s="160" customFormat="1" x14ac:dyDescent="0.3"/>
    <row r="38398" s="160" customFormat="1" x14ac:dyDescent="0.3"/>
    <row r="38399" s="160" customFormat="1" x14ac:dyDescent="0.3"/>
    <row r="38400" s="160" customFormat="1" x14ac:dyDescent="0.3"/>
    <row r="38401" s="160" customFormat="1" x14ac:dyDescent="0.3"/>
    <row r="38402" s="160" customFormat="1" x14ac:dyDescent="0.3"/>
    <row r="38403" s="160" customFormat="1" x14ac:dyDescent="0.3"/>
    <row r="38404" s="160" customFormat="1" x14ac:dyDescent="0.3"/>
    <row r="38405" s="160" customFormat="1" x14ac:dyDescent="0.3"/>
    <row r="38406" s="160" customFormat="1" x14ac:dyDescent="0.3"/>
    <row r="38407" s="160" customFormat="1" x14ac:dyDescent="0.3"/>
    <row r="38408" s="160" customFormat="1" x14ac:dyDescent="0.3"/>
    <row r="38409" s="160" customFormat="1" x14ac:dyDescent="0.3"/>
    <row r="38410" s="160" customFormat="1" x14ac:dyDescent="0.3"/>
    <row r="38411" s="160" customFormat="1" x14ac:dyDescent="0.3"/>
    <row r="38412" s="160" customFormat="1" x14ac:dyDescent="0.3"/>
    <row r="38413" s="160" customFormat="1" x14ac:dyDescent="0.3"/>
    <row r="38414" s="160" customFormat="1" x14ac:dyDescent="0.3"/>
    <row r="38415" s="160" customFormat="1" x14ac:dyDescent="0.3"/>
    <row r="38416" s="160" customFormat="1" x14ac:dyDescent="0.3"/>
    <row r="38417" s="160" customFormat="1" x14ac:dyDescent="0.3"/>
    <row r="38418" s="160" customFormat="1" x14ac:dyDescent="0.3"/>
    <row r="38419" s="160" customFormat="1" x14ac:dyDescent="0.3"/>
    <row r="38420" s="160" customFormat="1" x14ac:dyDescent="0.3"/>
    <row r="38421" s="160" customFormat="1" x14ac:dyDescent="0.3"/>
    <row r="38422" s="160" customFormat="1" x14ac:dyDescent="0.3"/>
    <row r="38423" s="160" customFormat="1" x14ac:dyDescent="0.3"/>
    <row r="38424" s="160" customFormat="1" x14ac:dyDescent="0.3"/>
    <row r="38425" s="160" customFormat="1" x14ac:dyDescent="0.3"/>
    <row r="38426" s="160" customFormat="1" x14ac:dyDescent="0.3"/>
    <row r="38427" s="160" customFormat="1" x14ac:dyDescent="0.3"/>
    <row r="38428" s="160" customFormat="1" x14ac:dyDescent="0.3"/>
    <row r="38429" s="160" customFormat="1" x14ac:dyDescent="0.3"/>
    <row r="38430" s="160" customFormat="1" x14ac:dyDescent="0.3"/>
    <row r="38431" s="160" customFormat="1" x14ac:dyDescent="0.3"/>
    <row r="38432" s="160" customFormat="1" x14ac:dyDescent="0.3"/>
    <row r="38433" s="160" customFormat="1" x14ac:dyDescent="0.3"/>
    <row r="38434" s="160" customFormat="1" x14ac:dyDescent="0.3"/>
    <row r="38435" s="160" customFormat="1" x14ac:dyDescent="0.3"/>
    <row r="38436" s="160" customFormat="1" x14ac:dyDescent="0.3"/>
    <row r="38437" s="160" customFormat="1" x14ac:dyDescent="0.3"/>
    <row r="38438" s="160" customFormat="1" x14ac:dyDescent="0.3"/>
    <row r="38439" s="160" customFormat="1" x14ac:dyDescent="0.3"/>
    <row r="38440" s="160" customFormat="1" x14ac:dyDescent="0.3"/>
    <row r="38441" s="160" customFormat="1" x14ac:dyDescent="0.3"/>
    <row r="38442" s="160" customFormat="1" x14ac:dyDescent="0.3"/>
    <row r="38443" s="160" customFormat="1" x14ac:dyDescent="0.3"/>
    <row r="38444" s="160" customFormat="1" x14ac:dyDescent="0.3"/>
    <row r="38445" s="160" customFormat="1" x14ac:dyDescent="0.3"/>
    <row r="38446" s="160" customFormat="1" x14ac:dyDescent="0.3"/>
    <row r="38447" s="160" customFormat="1" x14ac:dyDescent="0.3"/>
    <row r="38448" s="160" customFormat="1" x14ac:dyDescent="0.3"/>
    <row r="38449" s="160" customFormat="1" x14ac:dyDescent="0.3"/>
    <row r="38450" s="160" customFormat="1" x14ac:dyDescent="0.3"/>
    <row r="38451" s="160" customFormat="1" x14ac:dyDescent="0.3"/>
    <row r="38452" s="160" customFormat="1" x14ac:dyDescent="0.3"/>
    <row r="38453" s="160" customFormat="1" x14ac:dyDescent="0.3"/>
    <row r="38454" s="160" customFormat="1" x14ac:dyDescent="0.3"/>
    <row r="38455" s="160" customFormat="1" x14ac:dyDescent="0.3"/>
    <row r="38456" s="160" customFormat="1" x14ac:dyDescent="0.3"/>
    <row r="38457" s="160" customFormat="1" x14ac:dyDescent="0.3"/>
    <row r="38458" s="160" customFormat="1" x14ac:dyDescent="0.3"/>
    <row r="38459" s="160" customFormat="1" x14ac:dyDescent="0.3"/>
    <row r="38460" s="160" customFormat="1" x14ac:dyDescent="0.3"/>
    <row r="38461" s="160" customFormat="1" x14ac:dyDescent="0.3"/>
    <row r="38462" s="160" customFormat="1" x14ac:dyDescent="0.3"/>
    <row r="38463" s="160" customFormat="1" x14ac:dyDescent="0.3"/>
    <row r="38464" s="160" customFormat="1" x14ac:dyDescent="0.3"/>
    <row r="38465" s="160" customFormat="1" x14ac:dyDescent="0.3"/>
    <row r="38466" s="160" customFormat="1" x14ac:dyDescent="0.3"/>
    <row r="38467" s="160" customFormat="1" x14ac:dyDescent="0.3"/>
    <row r="38468" s="160" customFormat="1" x14ac:dyDescent="0.3"/>
    <row r="38469" s="160" customFormat="1" x14ac:dyDescent="0.3"/>
    <row r="38470" s="160" customFormat="1" x14ac:dyDescent="0.3"/>
    <row r="38471" s="160" customFormat="1" x14ac:dyDescent="0.3"/>
    <row r="38472" s="160" customFormat="1" x14ac:dyDescent="0.3"/>
    <row r="38473" s="160" customFormat="1" x14ac:dyDescent="0.3"/>
    <row r="38474" s="160" customFormat="1" x14ac:dyDescent="0.3"/>
    <row r="38475" s="160" customFormat="1" x14ac:dyDescent="0.3"/>
    <row r="38476" s="160" customFormat="1" x14ac:dyDescent="0.3"/>
    <row r="38477" s="160" customFormat="1" x14ac:dyDescent="0.3"/>
    <row r="38478" s="160" customFormat="1" x14ac:dyDescent="0.3"/>
    <row r="38479" s="160" customFormat="1" x14ac:dyDescent="0.3"/>
    <row r="38480" s="160" customFormat="1" x14ac:dyDescent="0.3"/>
    <row r="38481" s="160" customFormat="1" x14ac:dyDescent="0.3"/>
    <row r="38482" s="160" customFormat="1" x14ac:dyDescent="0.3"/>
    <row r="38483" s="160" customFormat="1" x14ac:dyDescent="0.3"/>
    <row r="38484" s="160" customFormat="1" x14ac:dyDescent="0.3"/>
    <row r="38485" s="160" customFormat="1" x14ac:dyDescent="0.3"/>
    <row r="38486" s="160" customFormat="1" x14ac:dyDescent="0.3"/>
    <row r="38487" s="160" customFormat="1" x14ac:dyDescent="0.3"/>
    <row r="38488" s="160" customFormat="1" x14ac:dyDescent="0.3"/>
    <row r="38489" s="160" customFormat="1" x14ac:dyDescent="0.3"/>
    <row r="38490" s="160" customFormat="1" x14ac:dyDescent="0.3"/>
    <row r="38491" s="160" customFormat="1" x14ac:dyDescent="0.3"/>
    <row r="38492" s="160" customFormat="1" x14ac:dyDescent="0.3"/>
    <row r="38493" s="160" customFormat="1" x14ac:dyDescent="0.3"/>
    <row r="38494" s="160" customFormat="1" x14ac:dyDescent="0.3"/>
    <row r="38495" s="160" customFormat="1" x14ac:dyDescent="0.3"/>
    <row r="38496" s="160" customFormat="1" x14ac:dyDescent="0.3"/>
    <row r="38497" s="160" customFormat="1" x14ac:dyDescent="0.3"/>
    <row r="38498" s="160" customFormat="1" x14ac:dyDescent="0.3"/>
    <row r="38499" s="160" customFormat="1" x14ac:dyDescent="0.3"/>
    <row r="38500" s="160" customFormat="1" x14ac:dyDescent="0.3"/>
    <row r="38501" s="160" customFormat="1" x14ac:dyDescent="0.3"/>
    <row r="38502" s="160" customFormat="1" x14ac:dyDescent="0.3"/>
    <row r="38503" s="160" customFormat="1" x14ac:dyDescent="0.3"/>
    <row r="38504" s="160" customFormat="1" x14ac:dyDescent="0.3"/>
    <row r="38505" s="160" customFormat="1" x14ac:dyDescent="0.3"/>
    <row r="38506" s="160" customFormat="1" x14ac:dyDescent="0.3"/>
    <row r="38507" s="160" customFormat="1" x14ac:dyDescent="0.3"/>
    <row r="38508" s="160" customFormat="1" x14ac:dyDescent="0.3"/>
    <row r="38509" s="160" customFormat="1" x14ac:dyDescent="0.3"/>
    <row r="38510" s="160" customFormat="1" x14ac:dyDescent="0.3"/>
    <row r="38511" s="160" customFormat="1" x14ac:dyDescent="0.3"/>
    <row r="38512" s="160" customFormat="1" x14ac:dyDescent="0.3"/>
    <row r="38513" s="160" customFormat="1" x14ac:dyDescent="0.3"/>
    <row r="38514" s="160" customFormat="1" x14ac:dyDescent="0.3"/>
    <row r="38515" s="160" customFormat="1" x14ac:dyDescent="0.3"/>
    <row r="38516" s="160" customFormat="1" x14ac:dyDescent="0.3"/>
    <row r="38517" s="160" customFormat="1" x14ac:dyDescent="0.3"/>
    <row r="38518" s="160" customFormat="1" x14ac:dyDescent="0.3"/>
    <row r="38519" s="160" customFormat="1" x14ac:dyDescent="0.3"/>
    <row r="38520" s="160" customFormat="1" x14ac:dyDescent="0.3"/>
    <row r="38521" s="160" customFormat="1" x14ac:dyDescent="0.3"/>
    <row r="38522" s="160" customFormat="1" x14ac:dyDescent="0.3"/>
    <row r="38523" s="160" customFormat="1" x14ac:dyDescent="0.3"/>
    <row r="38524" s="160" customFormat="1" x14ac:dyDescent="0.3"/>
    <row r="38525" s="160" customFormat="1" x14ac:dyDescent="0.3"/>
    <row r="38526" s="160" customFormat="1" x14ac:dyDescent="0.3"/>
    <row r="38527" s="160" customFormat="1" x14ac:dyDescent="0.3"/>
    <row r="38528" s="160" customFormat="1" x14ac:dyDescent="0.3"/>
    <row r="38529" s="160" customFormat="1" x14ac:dyDescent="0.3"/>
    <row r="38530" s="160" customFormat="1" x14ac:dyDescent="0.3"/>
    <row r="38531" s="160" customFormat="1" x14ac:dyDescent="0.3"/>
    <row r="38532" s="160" customFormat="1" x14ac:dyDescent="0.3"/>
    <row r="38533" s="160" customFormat="1" x14ac:dyDescent="0.3"/>
    <row r="38534" s="160" customFormat="1" x14ac:dyDescent="0.3"/>
    <row r="38535" s="160" customFormat="1" x14ac:dyDescent="0.3"/>
    <row r="38536" s="160" customFormat="1" x14ac:dyDescent="0.3"/>
    <row r="38537" s="160" customFormat="1" x14ac:dyDescent="0.3"/>
    <row r="38538" s="160" customFormat="1" x14ac:dyDescent="0.3"/>
    <row r="38539" s="160" customFormat="1" x14ac:dyDescent="0.3"/>
    <row r="38540" s="160" customFormat="1" x14ac:dyDescent="0.3"/>
    <row r="38541" s="160" customFormat="1" x14ac:dyDescent="0.3"/>
    <row r="38542" s="160" customFormat="1" x14ac:dyDescent="0.3"/>
    <row r="38543" s="160" customFormat="1" x14ac:dyDescent="0.3"/>
    <row r="38544" s="160" customFormat="1" x14ac:dyDescent="0.3"/>
    <row r="38545" s="160" customFormat="1" x14ac:dyDescent="0.3"/>
    <row r="38546" s="160" customFormat="1" x14ac:dyDescent="0.3"/>
    <row r="38547" s="160" customFormat="1" x14ac:dyDescent="0.3"/>
    <row r="38548" s="160" customFormat="1" x14ac:dyDescent="0.3"/>
    <row r="38549" s="160" customFormat="1" x14ac:dyDescent="0.3"/>
    <row r="38550" s="160" customFormat="1" x14ac:dyDescent="0.3"/>
    <row r="38551" s="160" customFormat="1" x14ac:dyDescent="0.3"/>
    <row r="38552" s="160" customFormat="1" x14ac:dyDescent="0.3"/>
    <row r="38553" s="160" customFormat="1" x14ac:dyDescent="0.3"/>
    <row r="38554" s="160" customFormat="1" x14ac:dyDescent="0.3"/>
    <row r="38555" s="160" customFormat="1" x14ac:dyDescent="0.3"/>
    <row r="38556" s="160" customFormat="1" x14ac:dyDescent="0.3"/>
    <row r="38557" s="160" customFormat="1" x14ac:dyDescent="0.3"/>
    <row r="38558" s="160" customFormat="1" x14ac:dyDescent="0.3"/>
    <row r="38559" s="160" customFormat="1" x14ac:dyDescent="0.3"/>
    <row r="38560" s="160" customFormat="1" x14ac:dyDescent="0.3"/>
    <row r="38561" s="160" customFormat="1" x14ac:dyDescent="0.3"/>
    <row r="38562" s="160" customFormat="1" x14ac:dyDescent="0.3"/>
    <row r="38563" s="160" customFormat="1" x14ac:dyDescent="0.3"/>
    <row r="38564" s="160" customFormat="1" x14ac:dyDescent="0.3"/>
    <row r="38565" s="160" customFormat="1" x14ac:dyDescent="0.3"/>
    <row r="38566" s="160" customFormat="1" x14ac:dyDescent="0.3"/>
    <row r="38567" s="160" customFormat="1" x14ac:dyDescent="0.3"/>
    <row r="38568" s="160" customFormat="1" x14ac:dyDescent="0.3"/>
    <row r="38569" s="160" customFormat="1" x14ac:dyDescent="0.3"/>
    <row r="38570" s="160" customFormat="1" x14ac:dyDescent="0.3"/>
    <row r="38571" s="160" customFormat="1" x14ac:dyDescent="0.3"/>
    <row r="38572" s="160" customFormat="1" x14ac:dyDescent="0.3"/>
    <row r="38573" s="160" customFormat="1" x14ac:dyDescent="0.3"/>
    <row r="38574" s="160" customFormat="1" x14ac:dyDescent="0.3"/>
    <row r="38575" s="160" customFormat="1" x14ac:dyDescent="0.3"/>
    <row r="38576" s="160" customFormat="1" x14ac:dyDescent="0.3"/>
    <row r="38577" s="160" customFormat="1" x14ac:dyDescent="0.3"/>
    <row r="38578" s="160" customFormat="1" x14ac:dyDescent="0.3"/>
    <row r="38579" s="160" customFormat="1" x14ac:dyDescent="0.3"/>
    <row r="38580" s="160" customFormat="1" x14ac:dyDescent="0.3"/>
    <row r="38581" s="160" customFormat="1" x14ac:dyDescent="0.3"/>
    <row r="38582" s="160" customFormat="1" x14ac:dyDescent="0.3"/>
    <row r="38583" s="160" customFormat="1" x14ac:dyDescent="0.3"/>
    <row r="38584" s="160" customFormat="1" x14ac:dyDescent="0.3"/>
    <row r="38585" s="160" customFormat="1" x14ac:dyDescent="0.3"/>
    <row r="38586" s="160" customFormat="1" x14ac:dyDescent="0.3"/>
    <row r="38587" s="160" customFormat="1" x14ac:dyDescent="0.3"/>
    <row r="38588" s="160" customFormat="1" x14ac:dyDescent="0.3"/>
    <row r="38589" s="160" customFormat="1" x14ac:dyDescent="0.3"/>
    <row r="38590" s="160" customFormat="1" x14ac:dyDescent="0.3"/>
    <row r="38591" s="160" customFormat="1" x14ac:dyDescent="0.3"/>
    <row r="38592" s="160" customFormat="1" x14ac:dyDescent="0.3"/>
    <row r="38593" s="160" customFormat="1" x14ac:dyDescent="0.3"/>
    <row r="38594" s="160" customFormat="1" x14ac:dyDescent="0.3"/>
    <row r="38595" s="160" customFormat="1" x14ac:dyDescent="0.3"/>
    <row r="38596" s="160" customFormat="1" x14ac:dyDescent="0.3"/>
    <row r="38597" s="160" customFormat="1" x14ac:dyDescent="0.3"/>
    <row r="38598" s="160" customFormat="1" x14ac:dyDescent="0.3"/>
    <row r="38599" s="160" customFormat="1" x14ac:dyDescent="0.3"/>
    <row r="38600" s="160" customFormat="1" x14ac:dyDescent="0.3"/>
    <row r="38601" s="160" customFormat="1" x14ac:dyDescent="0.3"/>
    <row r="38602" s="160" customFormat="1" x14ac:dyDescent="0.3"/>
    <row r="38603" s="160" customFormat="1" x14ac:dyDescent="0.3"/>
    <row r="38604" s="160" customFormat="1" x14ac:dyDescent="0.3"/>
    <row r="38605" s="160" customFormat="1" x14ac:dyDescent="0.3"/>
    <row r="38606" s="160" customFormat="1" x14ac:dyDescent="0.3"/>
    <row r="38607" s="160" customFormat="1" x14ac:dyDescent="0.3"/>
    <row r="38608" s="160" customFormat="1" x14ac:dyDescent="0.3"/>
    <row r="38609" s="160" customFormat="1" x14ac:dyDescent="0.3"/>
    <row r="38610" s="160" customFormat="1" x14ac:dyDescent="0.3"/>
    <row r="38611" s="160" customFormat="1" x14ac:dyDescent="0.3"/>
    <row r="38612" s="160" customFormat="1" x14ac:dyDescent="0.3"/>
    <row r="38613" s="160" customFormat="1" x14ac:dyDescent="0.3"/>
    <row r="38614" s="160" customFormat="1" x14ac:dyDescent="0.3"/>
    <row r="38615" s="160" customFormat="1" x14ac:dyDescent="0.3"/>
    <row r="38616" s="160" customFormat="1" x14ac:dyDescent="0.3"/>
    <row r="38617" s="160" customFormat="1" x14ac:dyDescent="0.3"/>
    <row r="38618" s="160" customFormat="1" x14ac:dyDescent="0.3"/>
    <row r="38619" s="160" customFormat="1" x14ac:dyDescent="0.3"/>
    <row r="38620" s="160" customFormat="1" x14ac:dyDescent="0.3"/>
    <row r="38621" s="160" customFormat="1" x14ac:dyDescent="0.3"/>
    <row r="38622" s="160" customFormat="1" x14ac:dyDescent="0.3"/>
    <row r="38623" s="160" customFormat="1" x14ac:dyDescent="0.3"/>
    <row r="38624" s="160" customFormat="1" x14ac:dyDescent="0.3"/>
    <row r="38625" s="160" customFormat="1" x14ac:dyDescent="0.3"/>
    <row r="38626" s="160" customFormat="1" x14ac:dyDescent="0.3"/>
    <row r="38627" s="160" customFormat="1" x14ac:dyDescent="0.3"/>
    <row r="38628" s="160" customFormat="1" x14ac:dyDescent="0.3"/>
    <row r="38629" s="160" customFormat="1" x14ac:dyDescent="0.3"/>
    <row r="38630" s="160" customFormat="1" x14ac:dyDescent="0.3"/>
    <row r="38631" s="160" customFormat="1" x14ac:dyDescent="0.3"/>
    <row r="38632" s="160" customFormat="1" x14ac:dyDescent="0.3"/>
    <row r="38633" s="160" customFormat="1" x14ac:dyDescent="0.3"/>
    <row r="38634" s="160" customFormat="1" x14ac:dyDescent="0.3"/>
    <row r="38635" s="160" customFormat="1" x14ac:dyDescent="0.3"/>
    <row r="38636" s="160" customFormat="1" x14ac:dyDescent="0.3"/>
    <row r="38637" s="160" customFormat="1" x14ac:dyDescent="0.3"/>
    <row r="38638" s="160" customFormat="1" x14ac:dyDescent="0.3"/>
    <row r="38639" s="160" customFormat="1" x14ac:dyDescent="0.3"/>
    <row r="38640" s="160" customFormat="1" x14ac:dyDescent="0.3"/>
    <row r="38641" s="160" customFormat="1" x14ac:dyDescent="0.3"/>
    <row r="38642" s="160" customFormat="1" x14ac:dyDescent="0.3"/>
    <row r="38643" s="160" customFormat="1" x14ac:dyDescent="0.3"/>
    <row r="38644" s="160" customFormat="1" x14ac:dyDescent="0.3"/>
    <row r="38645" s="160" customFormat="1" x14ac:dyDescent="0.3"/>
    <row r="38646" s="160" customFormat="1" x14ac:dyDescent="0.3"/>
    <row r="38647" s="160" customFormat="1" x14ac:dyDescent="0.3"/>
    <row r="38648" s="160" customFormat="1" x14ac:dyDescent="0.3"/>
    <row r="38649" s="160" customFormat="1" x14ac:dyDescent="0.3"/>
    <row r="38650" s="160" customFormat="1" x14ac:dyDescent="0.3"/>
    <row r="38651" s="160" customFormat="1" x14ac:dyDescent="0.3"/>
    <row r="38652" s="160" customFormat="1" x14ac:dyDescent="0.3"/>
    <row r="38653" s="160" customFormat="1" x14ac:dyDescent="0.3"/>
    <row r="38654" s="160" customFormat="1" x14ac:dyDescent="0.3"/>
    <row r="38655" s="160" customFormat="1" x14ac:dyDescent="0.3"/>
    <row r="38656" s="160" customFormat="1" x14ac:dyDescent="0.3"/>
    <row r="38657" s="160" customFormat="1" x14ac:dyDescent="0.3"/>
    <row r="38658" s="160" customFormat="1" x14ac:dyDescent="0.3"/>
    <row r="38659" s="160" customFormat="1" x14ac:dyDescent="0.3"/>
    <row r="38660" s="160" customFormat="1" x14ac:dyDescent="0.3"/>
    <row r="38661" s="160" customFormat="1" x14ac:dyDescent="0.3"/>
    <row r="38662" s="160" customFormat="1" x14ac:dyDescent="0.3"/>
    <row r="38663" s="160" customFormat="1" x14ac:dyDescent="0.3"/>
    <row r="38664" s="160" customFormat="1" x14ac:dyDescent="0.3"/>
    <row r="38665" s="160" customFormat="1" x14ac:dyDescent="0.3"/>
    <row r="38666" s="160" customFormat="1" x14ac:dyDescent="0.3"/>
    <row r="38667" s="160" customFormat="1" x14ac:dyDescent="0.3"/>
    <row r="38668" s="160" customFormat="1" x14ac:dyDescent="0.3"/>
    <row r="38669" s="160" customFormat="1" x14ac:dyDescent="0.3"/>
    <row r="38670" s="160" customFormat="1" x14ac:dyDescent="0.3"/>
    <row r="38671" s="160" customFormat="1" x14ac:dyDescent="0.3"/>
    <row r="38672" s="160" customFormat="1" x14ac:dyDescent="0.3"/>
    <row r="38673" s="160" customFormat="1" x14ac:dyDescent="0.3"/>
    <row r="38674" s="160" customFormat="1" x14ac:dyDescent="0.3"/>
    <row r="38675" s="160" customFormat="1" x14ac:dyDescent="0.3"/>
    <row r="38676" s="160" customFormat="1" x14ac:dyDescent="0.3"/>
    <row r="38677" s="160" customFormat="1" x14ac:dyDescent="0.3"/>
    <row r="38678" s="160" customFormat="1" x14ac:dyDescent="0.3"/>
    <row r="38679" s="160" customFormat="1" x14ac:dyDescent="0.3"/>
    <row r="38680" s="160" customFormat="1" x14ac:dyDescent="0.3"/>
    <row r="38681" s="160" customFormat="1" x14ac:dyDescent="0.3"/>
    <row r="38682" s="160" customFormat="1" x14ac:dyDescent="0.3"/>
    <row r="38683" s="160" customFormat="1" x14ac:dyDescent="0.3"/>
    <row r="38684" s="160" customFormat="1" x14ac:dyDescent="0.3"/>
    <row r="38685" s="160" customFormat="1" x14ac:dyDescent="0.3"/>
    <row r="38686" s="160" customFormat="1" x14ac:dyDescent="0.3"/>
    <row r="38687" s="160" customFormat="1" x14ac:dyDescent="0.3"/>
    <row r="38688" s="160" customFormat="1" x14ac:dyDescent="0.3"/>
    <row r="38689" s="160" customFormat="1" x14ac:dyDescent="0.3"/>
    <row r="38690" s="160" customFormat="1" x14ac:dyDescent="0.3"/>
    <row r="38691" s="160" customFormat="1" x14ac:dyDescent="0.3"/>
    <row r="38692" s="160" customFormat="1" x14ac:dyDescent="0.3"/>
    <row r="38693" s="160" customFormat="1" x14ac:dyDescent="0.3"/>
    <row r="38694" s="160" customFormat="1" x14ac:dyDescent="0.3"/>
    <row r="38695" s="160" customFormat="1" x14ac:dyDescent="0.3"/>
    <row r="38696" s="160" customFormat="1" x14ac:dyDescent="0.3"/>
    <row r="38697" s="160" customFormat="1" x14ac:dyDescent="0.3"/>
    <row r="38698" s="160" customFormat="1" x14ac:dyDescent="0.3"/>
    <row r="38699" s="160" customFormat="1" x14ac:dyDescent="0.3"/>
    <row r="38700" s="160" customFormat="1" x14ac:dyDescent="0.3"/>
    <row r="38701" s="160" customFormat="1" x14ac:dyDescent="0.3"/>
    <row r="38702" s="160" customFormat="1" x14ac:dyDescent="0.3"/>
    <row r="38703" s="160" customFormat="1" x14ac:dyDescent="0.3"/>
    <row r="38704" s="160" customFormat="1" x14ac:dyDescent="0.3"/>
    <row r="38705" s="160" customFormat="1" x14ac:dyDescent="0.3"/>
    <row r="38706" s="160" customFormat="1" x14ac:dyDescent="0.3"/>
    <row r="38707" s="160" customFormat="1" x14ac:dyDescent="0.3"/>
    <row r="38708" s="160" customFormat="1" x14ac:dyDescent="0.3"/>
    <row r="38709" s="160" customFormat="1" x14ac:dyDescent="0.3"/>
    <row r="38710" s="160" customFormat="1" x14ac:dyDescent="0.3"/>
    <row r="38711" s="160" customFormat="1" x14ac:dyDescent="0.3"/>
    <row r="38712" s="160" customFormat="1" x14ac:dyDescent="0.3"/>
    <row r="38713" s="160" customFormat="1" x14ac:dyDescent="0.3"/>
    <row r="38714" s="160" customFormat="1" x14ac:dyDescent="0.3"/>
    <row r="38715" s="160" customFormat="1" x14ac:dyDescent="0.3"/>
    <row r="38716" s="160" customFormat="1" x14ac:dyDescent="0.3"/>
    <row r="38717" s="160" customFormat="1" x14ac:dyDescent="0.3"/>
    <row r="38718" s="160" customFormat="1" x14ac:dyDescent="0.3"/>
    <row r="38719" s="160" customFormat="1" x14ac:dyDescent="0.3"/>
    <row r="38720" s="160" customFormat="1" x14ac:dyDescent="0.3"/>
    <row r="38721" s="160" customFormat="1" x14ac:dyDescent="0.3"/>
    <row r="38722" s="160" customFormat="1" x14ac:dyDescent="0.3"/>
    <row r="38723" s="160" customFormat="1" x14ac:dyDescent="0.3"/>
    <row r="38724" s="160" customFormat="1" x14ac:dyDescent="0.3"/>
    <row r="38725" s="160" customFormat="1" x14ac:dyDescent="0.3"/>
    <row r="38726" s="160" customFormat="1" x14ac:dyDescent="0.3"/>
    <row r="38727" s="160" customFormat="1" x14ac:dyDescent="0.3"/>
    <row r="38728" s="160" customFormat="1" x14ac:dyDescent="0.3"/>
    <row r="38729" s="160" customFormat="1" x14ac:dyDescent="0.3"/>
    <row r="38730" s="160" customFormat="1" x14ac:dyDescent="0.3"/>
    <row r="38731" s="160" customFormat="1" x14ac:dyDescent="0.3"/>
    <row r="38732" s="160" customFormat="1" x14ac:dyDescent="0.3"/>
    <row r="38733" s="160" customFormat="1" x14ac:dyDescent="0.3"/>
    <row r="38734" s="160" customFormat="1" x14ac:dyDescent="0.3"/>
    <row r="38735" s="160" customFormat="1" x14ac:dyDescent="0.3"/>
    <row r="38736" s="160" customFormat="1" x14ac:dyDescent="0.3"/>
    <row r="38737" s="160" customFormat="1" x14ac:dyDescent="0.3"/>
    <row r="38738" s="160" customFormat="1" x14ac:dyDescent="0.3"/>
    <row r="38739" s="160" customFormat="1" x14ac:dyDescent="0.3"/>
    <row r="38740" s="160" customFormat="1" x14ac:dyDescent="0.3"/>
    <row r="38741" s="160" customFormat="1" x14ac:dyDescent="0.3"/>
    <row r="38742" s="160" customFormat="1" x14ac:dyDescent="0.3"/>
    <row r="38743" s="160" customFormat="1" x14ac:dyDescent="0.3"/>
    <row r="38744" s="160" customFormat="1" x14ac:dyDescent="0.3"/>
    <row r="38745" s="160" customFormat="1" x14ac:dyDescent="0.3"/>
    <row r="38746" s="160" customFormat="1" x14ac:dyDescent="0.3"/>
    <row r="38747" s="160" customFormat="1" x14ac:dyDescent="0.3"/>
    <row r="38748" s="160" customFormat="1" x14ac:dyDescent="0.3"/>
    <row r="38749" s="160" customFormat="1" x14ac:dyDescent="0.3"/>
    <row r="38750" s="160" customFormat="1" x14ac:dyDescent="0.3"/>
    <row r="38751" s="160" customFormat="1" x14ac:dyDescent="0.3"/>
    <row r="38752" s="160" customFormat="1" x14ac:dyDescent="0.3"/>
    <row r="38753" s="160" customFormat="1" x14ac:dyDescent="0.3"/>
    <row r="38754" s="160" customFormat="1" x14ac:dyDescent="0.3"/>
    <row r="38755" s="160" customFormat="1" x14ac:dyDescent="0.3"/>
    <row r="38756" s="160" customFormat="1" x14ac:dyDescent="0.3"/>
    <row r="38757" s="160" customFormat="1" x14ac:dyDescent="0.3"/>
    <row r="38758" s="160" customFormat="1" x14ac:dyDescent="0.3"/>
    <row r="38759" s="160" customFormat="1" x14ac:dyDescent="0.3"/>
    <row r="38760" s="160" customFormat="1" x14ac:dyDescent="0.3"/>
    <row r="38761" s="160" customFormat="1" x14ac:dyDescent="0.3"/>
    <row r="38762" s="160" customFormat="1" x14ac:dyDescent="0.3"/>
    <row r="38763" s="160" customFormat="1" x14ac:dyDescent="0.3"/>
    <row r="38764" s="160" customFormat="1" x14ac:dyDescent="0.3"/>
    <row r="38765" s="160" customFormat="1" x14ac:dyDescent="0.3"/>
    <row r="38766" s="160" customFormat="1" x14ac:dyDescent="0.3"/>
    <row r="38767" s="160" customFormat="1" x14ac:dyDescent="0.3"/>
    <row r="38768" s="160" customFormat="1" x14ac:dyDescent="0.3"/>
    <row r="38769" s="160" customFormat="1" x14ac:dyDescent="0.3"/>
    <row r="38770" s="160" customFormat="1" x14ac:dyDescent="0.3"/>
    <row r="38771" s="160" customFormat="1" x14ac:dyDescent="0.3"/>
    <row r="38772" s="160" customFormat="1" x14ac:dyDescent="0.3"/>
    <row r="38773" s="160" customFormat="1" x14ac:dyDescent="0.3"/>
    <row r="38774" s="160" customFormat="1" x14ac:dyDescent="0.3"/>
    <row r="38775" s="160" customFormat="1" x14ac:dyDescent="0.3"/>
    <row r="38776" s="160" customFormat="1" x14ac:dyDescent="0.3"/>
    <row r="38777" s="160" customFormat="1" x14ac:dyDescent="0.3"/>
    <row r="38778" s="160" customFormat="1" x14ac:dyDescent="0.3"/>
    <row r="38779" s="160" customFormat="1" x14ac:dyDescent="0.3"/>
    <row r="38780" s="160" customFormat="1" x14ac:dyDescent="0.3"/>
    <row r="38781" s="160" customFormat="1" x14ac:dyDescent="0.3"/>
    <row r="38782" s="160" customFormat="1" x14ac:dyDescent="0.3"/>
    <row r="38783" s="160" customFormat="1" x14ac:dyDescent="0.3"/>
    <row r="38784" s="160" customFormat="1" x14ac:dyDescent="0.3"/>
    <row r="38785" s="160" customFormat="1" x14ac:dyDescent="0.3"/>
    <row r="38786" s="160" customFormat="1" x14ac:dyDescent="0.3"/>
    <row r="38787" s="160" customFormat="1" x14ac:dyDescent="0.3"/>
    <row r="38788" s="160" customFormat="1" x14ac:dyDescent="0.3"/>
    <row r="38789" s="160" customFormat="1" x14ac:dyDescent="0.3"/>
    <row r="38790" s="160" customFormat="1" x14ac:dyDescent="0.3"/>
    <row r="38791" s="160" customFormat="1" x14ac:dyDescent="0.3"/>
    <row r="38792" s="160" customFormat="1" x14ac:dyDescent="0.3"/>
    <row r="38793" s="160" customFormat="1" x14ac:dyDescent="0.3"/>
    <row r="38794" s="160" customFormat="1" x14ac:dyDescent="0.3"/>
    <row r="38795" s="160" customFormat="1" x14ac:dyDescent="0.3"/>
    <row r="38796" s="160" customFormat="1" x14ac:dyDescent="0.3"/>
    <row r="38797" s="160" customFormat="1" x14ac:dyDescent="0.3"/>
    <row r="38798" s="160" customFormat="1" x14ac:dyDescent="0.3"/>
    <row r="38799" s="160" customFormat="1" x14ac:dyDescent="0.3"/>
    <row r="38800" s="160" customFormat="1" x14ac:dyDescent="0.3"/>
    <row r="38801" s="160" customFormat="1" x14ac:dyDescent="0.3"/>
    <row r="38802" s="160" customFormat="1" x14ac:dyDescent="0.3"/>
    <row r="38803" s="160" customFormat="1" x14ac:dyDescent="0.3"/>
    <row r="38804" s="160" customFormat="1" x14ac:dyDescent="0.3"/>
    <row r="38805" s="160" customFormat="1" x14ac:dyDescent="0.3"/>
    <row r="38806" s="160" customFormat="1" x14ac:dyDescent="0.3"/>
    <row r="38807" s="160" customFormat="1" x14ac:dyDescent="0.3"/>
    <row r="38808" s="160" customFormat="1" x14ac:dyDescent="0.3"/>
    <row r="38809" s="160" customFormat="1" x14ac:dyDescent="0.3"/>
    <row r="38810" s="160" customFormat="1" x14ac:dyDescent="0.3"/>
    <row r="38811" s="160" customFormat="1" x14ac:dyDescent="0.3"/>
    <row r="38812" s="160" customFormat="1" x14ac:dyDescent="0.3"/>
    <row r="38813" s="160" customFormat="1" x14ac:dyDescent="0.3"/>
    <row r="38814" s="160" customFormat="1" x14ac:dyDescent="0.3"/>
    <row r="38815" s="160" customFormat="1" x14ac:dyDescent="0.3"/>
    <row r="38816" s="160" customFormat="1" x14ac:dyDescent="0.3"/>
    <row r="38817" s="160" customFormat="1" x14ac:dyDescent="0.3"/>
    <row r="38818" s="160" customFormat="1" x14ac:dyDescent="0.3"/>
    <row r="38819" s="160" customFormat="1" x14ac:dyDescent="0.3"/>
    <row r="38820" s="160" customFormat="1" x14ac:dyDescent="0.3"/>
    <row r="38821" s="160" customFormat="1" x14ac:dyDescent="0.3"/>
    <row r="38822" s="160" customFormat="1" x14ac:dyDescent="0.3"/>
    <row r="38823" s="160" customFormat="1" x14ac:dyDescent="0.3"/>
    <row r="38824" s="160" customFormat="1" x14ac:dyDescent="0.3"/>
    <row r="38825" s="160" customFormat="1" x14ac:dyDescent="0.3"/>
    <row r="38826" s="160" customFormat="1" x14ac:dyDescent="0.3"/>
    <row r="38827" s="160" customFormat="1" x14ac:dyDescent="0.3"/>
    <row r="38828" s="160" customFormat="1" x14ac:dyDescent="0.3"/>
    <row r="38829" s="160" customFormat="1" x14ac:dyDescent="0.3"/>
    <row r="38830" s="160" customFormat="1" x14ac:dyDescent="0.3"/>
    <row r="38831" s="160" customFormat="1" x14ac:dyDescent="0.3"/>
    <row r="38832" s="160" customFormat="1" x14ac:dyDescent="0.3"/>
    <row r="38833" s="160" customFormat="1" x14ac:dyDescent="0.3"/>
    <row r="38834" s="160" customFormat="1" x14ac:dyDescent="0.3"/>
    <row r="38835" s="160" customFormat="1" x14ac:dyDescent="0.3"/>
    <row r="38836" s="160" customFormat="1" x14ac:dyDescent="0.3"/>
    <row r="38837" s="160" customFormat="1" x14ac:dyDescent="0.3"/>
    <row r="38838" s="160" customFormat="1" x14ac:dyDescent="0.3"/>
    <row r="38839" s="160" customFormat="1" x14ac:dyDescent="0.3"/>
    <row r="38840" s="160" customFormat="1" x14ac:dyDescent="0.3"/>
    <row r="38841" s="160" customFormat="1" x14ac:dyDescent="0.3"/>
    <row r="38842" s="160" customFormat="1" x14ac:dyDescent="0.3"/>
    <row r="38843" s="160" customFormat="1" x14ac:dyDescent="0.3"/>
    <row r="38844" s="160" customFormat="1" x14ac:dyDescent="0.3"/>
    <row r="38845" s="160" customFormat="1" x14ac:dyDescent="0.3"/>
    <row r="38846" s="160" customFormat="1" x14ac:dyDescent="0.3"/>
    <row r="38847" s="160" customFormat="1" x14ac:dyDescent="0.3"/>
    <row r="38848" s="160" customFormat="1" x14ac:dyDescent="0.3"/>
    <row r="38849" s="160" customFormat="1" x14ac:dyDescent="0.3"/>
    <row r="38850" s="160" customFormat="1" x14ac:dyDescent="0.3"/>
    <row r="38851" s="160" customFormat="1" x14ac:dyDescent="0.3"/>
    <row r="38852" s="160" customFormat="1" x14ac:dyDescent="0.3"/>
    <row r="38853" s="160" customFormat="1" x14ac:dyDescent="0.3"/>
    <row r="38854" s="160" customFormat="1" x14ac:dyDescent="0.3"/>
    <row r="38855" s="160" customFormat="1" x14ac:dyDescent="0.3"/>
    <row r="38856" s="160" customFormat="1" x14ac:dyDescent="0.3"/>
    <row r="38857" s="160" customFormat="1" x14ac:dyDescent="0.3"/>
    <row r="38858" s="160" customFormat="1" x14ac:dyDescent="0.3"/>
    <row r="38859" s="160" customFormat="1" x14ac:dyDescent="0.3"/>
    <row r="38860" s="160" customFormat="1" x14ac:dyDescent="0.3"/>
    <row r="38861" s="160" customFormat="1" x14ac:dyDescent="0.3"/>
    <row r="38862" s="160" customFormat="1" x14ac:dyDescent="0.3"/>
    <row r="38863" s="160" customFormat="1" x14ac:dyDescent="0.3"/>
    <row r="38864" s="160" customFormat="1" x14ac:dyDescent="0.3"/>
    <row r="38865" s="160" customFormat="1" x14ac:dyDescent="0.3"/>
    <row r="38866" s="160" customFormat="1" x14ac:dyDescent="0.3"/>
    <row r="38867" s="160" customFormat="1" x14ac:dyDescent="0.3"/>
    <row r="38868" s="160" customFormat="1" x14ac:dyDescent="0.3"/>
    <row r="38869" s="160" customFormat="1" x14ac:dyDescent="0.3"/>
    <row r="38870" s="160" customFormat="1" x14ac:dyDescent="0.3"/>
    <row r="38871" s="160" customFormat="1" x14ac:dyDescent="0.3"/>
    <row r="38872" s="160" customFormat="1" x14ac:dyDescent="0.3"/>
    <row r="38873" s="160" customFormat="1" x14ac:dyDescent="0.3"/>
    <row r="38874" s="160" customFormat="1" x14ac:dyDescent="0.3"/>
    <row r="38875" s="160" customFormat="1" x14ac:dyDescent="0.3"/>
    <row r="38876" s="160" customFormat="1" x14ac:dyDescent="0.3"/>
    <row r="38877" s="160" customFormat="1" x14ac:dyDescent="0.3"/>
    <row r="38878" s="160" customFormat="1" x14ac:dyDescent="0.3"/>
    <row r="38879" s="160" customFormat="1" x14ac:dyDescent="0.3"/>
    <row r="38880" s="160" customFormat="1" x14ac:dyDescent="0.3"/>
    <row r="38881" s="160" customFormat="1" x14ac:dyDescent="0.3"/>
    <row r="38882" s="160" customFormat="1" x14ac:dyDescent="0.3"/>
    <row r="38883" s="160" customFormat="1" x14ac:dyDescent="0.3"/>
    <row r="38884" s="160" customFormat="1" x14ac:dyDescent="0.3"/>
    <row r="38885" s="160" customFormat="1" x14ac:dyDescent="0.3"/>
    <row r="38886" s="160" customFormat="1" x14ac:dyDescent="0.3"/>
    <row r="38887" s="160" customFormat="1" x14ac:dyDescent="0.3"/>
    <row r="38888" s="160" customFormat="1" x14ac:dyDescent="0.3"/>
    <row r="38889" s="160" customFormat="1" x14ac:dyDescent="0.3"/>
    <row r="38890" s="160" customFormat="1" x14ac:dyDescent="0.3"/>
    <row r="38891" s="160" customFormat="1" x14ac:dyDescent="0.3"/>
    <row r="38892" s="160" customFormat="1" x14ac:dyDescent="0.3"/>
    <row r="38893" s="160" customFormat="1" x14ac:dyDescent="0.3"/>
    <row r="38894" s="160" customFormat="1" x14ac:dyDescent="0.3"/>
    <row r="38895" s="160" customFormat="1" x14ac:dyDescent="0.3"/>
    <row r="38896" s="160" customFormat="1" x14ac:dyDescent="0.3"/>
    <row r="38897" s="160" customFormat="1" x14ac:dyDescent="0.3"/>
    <row r="38898" s="160" customFormat="1" x14ac:dyDescent="0.3"/>
    <row r="38899" s="160" customFormat="1" x14ac:dyDescent="0.3"/>
    <row r="38900" s="160" customFormat="1" x14ac:dyDescent="0.3"/>
    <row r="38901" s="160" customFormat="1" x14ac:dyDescent="0.3"/>
    <row r="38902" s="160" customFormat="1" x14ac:dyDescent="0.3"/>
    <row r="38903" s="160" customFormat="1" x14ac:dyDescent="0.3"/>
    <row r="38904" s="160" customFormat="1" x14ac:dyDescent="0.3"/>
    <row r="38905" s="160" customFormat="1" x14ac:dyDescent="0.3"/>
    <row r="38906" s="160" customFormat="1" x14ac:dyDescent="0.3"/>
    <row r="38907" s="160" customFormat="1" x14ac:dyDescent="0.3"/>
    <row r="38908" s="160" customFormat="1" x14ac:dyDescent="0.3"/>
    <row r="38909" s="160" customFormat="1" x14ac:dyDescent="0.3"/>
    <row r="38910" s="160" customFormat="1" x14ac:dyDescent="0.3"/>
    <row r="38911" s="160" customFormat="1" x14ac:dyDescent="0.3"/>
    <row r="38912" s="160" customFormat="1" x14ac:dyDescent="0.3"/>
    <row r="38913" s="160" customFormat="1" x14ac:dyDescent="0.3"/>
    <row r="38914" s="160" customFormat="1" x14ac:dyDescent="0.3"/>
    <row r="38915" s="160" customFormat="1" x14ac:dyDescent="0.3"/>
    <row r="38916" s="160" customFormat="1" x14ac:dyDescent="0.3"/>
    <row r="38917" s="160" customFormat="1" x14ac:dyDescent="0.3"/>
    <row r="38918" s="160" customFormat="1" x14ac:dyDescent="0.3"/>
    <row r="38919" s="160" customFormat="1" x14ac:dyDescent="0.3"/>
    <row r="38920" s="160" customFormat="1" x14ac:dyDescent="0.3"/>
    <row r="38921" s="160" customFormat="1" x14ac:dyDescent="0.3"/>
    <row r="38922" s="160" customFormat="1" x14ac:dyDescent="0.3"/>
    <row r="38923" s="160" customFormat="1" x14ac:dyDescent="0.3"/>
    <row r="38924" s="160" customFormat="1" x14ac:dyDescent="0.3"/>
    <row r="38925" s="160" customFormat="1" x14ac:dyDescent="0.3"/>
    <row r="38926" s="160" customFormat="1" x14ac:dyDescent="0.3"/>
    <row r="38927" s="160" customFormat="1" x14ac:dyDescent="0.3"/>
    <row r="38928" s="160" customFormat="1" x14ac:dyDescent="0.3"/>
    <row r="38929" s="160" customFormat="1" x14ac:dyDescent="0.3"/>
    <row r="38930" s="160" customFormat="1" x14ac:dyDescent="0.3"/>
    <row r="38931" s="160" customFormat="1" x14ac:dyDescent="0.3"/>
    <row r="38932" s="160" customFormat="1" x14ac:dyDescent="0.3"/>
    <row r="38933" s="160" customFormat="1" x14ac:dyDescent="0.3"/>
    <row r="38934" s="160" customFormat="1" x14ac:dyDescent="0.3"/>
    <row r="38935" s="160" customFormat="1" x14ac:dyDescent="0.3"/>
    <row r="38936" s="160" customFormat="1" x14ac:dyDescent="0.3"/>
    <row r="38937" s="160" customFormat="1" x14ac:dyDescent="0.3"/>
    <row r="38938" s="160" customFormat="1" x14ac:dyDescent="0.3"/>
    <row r="38939" s="160" customFormat="1" x14ac:dyDescent="0.3"/>
    <row r="38940" s="160" customFormat="1" x14ac:dyDescent="0.3"/>
    <row r="38941" s="160" customFormat="1" x14ac:dyDescent="0.3"/>
    <row r="38942" s="160" customFormat="1" x14ac:dyDescent="0.3"/>
    <row r="38943" s="160" customFormat="1" x14ac:dyDescent="0.3"/>
    <row r="38944" s="160" customFormat="1" x14ac:dyDescent="0.3"/>
    <row r="38945" s="160" customFormat="1" x14ac:dyDescent="0.3"/>
    <row r="38946" s="160" customFormat="1" x14ac:dyDescent="0.3"/>
    <row r="38947" s="160" customFormat="1" x14ac:dyDescent="0.3"/>
    <row r="38948" s="160" customFormat="1" x14ac:dyDescent="0.3"/>
    <row r="38949" s="160" customFormat="1" x14ac:dyDescent="0.3"/>
    <row r="38950" s="160" customFormat="1" x14ac:dyDescent="0.3"/>
    <row r="38951" s="160" customFormat="1" x14ac:dyDescent="0.3"/>
    <row r="38952" s="160" customFormat="1" x14ac:dyDescent="0.3"/>
    <row r="38953" s="160" customFormat="1" x14ac:dyDescent="0.3"/>
    <row r="38954" s="160" customFormat="1" x14ac:dyDescent="0.3"/>
    <row r="38955" s="160" customFormat="1" x14ac:dyDescent="0.3"/>
    <row r="38956" s="160" customFormat="1" x14ac:dyDescent="0.3"/>
    <row r="38957" s="160" customFormat="1" x14ac:dyDescent="0.3"/>
    <row r="38958" s="160" customFormat="1" x14ac:dyDescent="0.3"/>
    <row r="38959" s="160" customFormat="1" x14ac:dyDescent="0.3"/>
    <row r="38960" s="160" customFormat="1" x14ac:dyDescent="0.3"/>
    <row r="38961" s="160" customFormat="1" x14ac:dyDescent="0.3"/>
    <row r="38962" s="160" customFormat="1" x14ac:dyDescent="0.3"/>
    <row r="38963" s="160" customFormat="1" x14ac:dyDescent="0.3"/>
    <row r="38964" s="160" customFormat="1" x14ac:dyDescent="0.3"/>
    <row r="38965" s="160" customFormat="1" x14ac:dyDescent="0.3"/>
    <row r="38966" s="160" customFormat="1" x14ac:dyDescent="0.3"/>
    <row r="38967" s="160" customFormat="1" x14ac:dyDescent="0.3"/>
    <row r="38968" s="160" customFormat="1" x14ac:dyDescent="0.3"/>
    <row r="38969" s="160" customFormat="1" x14ac:dyDescent="0.3"/>
    <row r="38970" s="160" customFormat="1" x14ac:dyDescent="0.3"/>
    <row r="38971" s="160" customFormat="1" x14ac:dyDescent="0.3"/>
    <row r="38972" s="160" customFormat="1" x14ac:dyDescent="0.3"/>
    <row r="38973" s="160" customFormat="1" x14ac:dyDescent="0.3"/>
    <row r="38974" s="160" customFormat="1" x14ac:dyDescent="0.3"/>
    <row r="38975" s="160" customFormat="1" x14ac:dyDescent="0.3"/>
    <row r="38976" s="160" customFormat="1" x14ac:dyDescent="0.3"/>
    <row r="38977" s="160" customFormat="1" x14ac:dyDescent="0.3"/>
    <row r="38978" s="160" customFormat="1" x14ac:dyDescent="0.3"/>
    <row r="38979" s="160" customFormat="1" x14ac:dyDescent="0.3"/>
    <row r="38980" s="160" customFormat="1" x14ac:dyDescent="0.3"/>
    <row r="38981" s="160" customFormat="1" x14ac:dyDescent="0.3"/>
    <row r="38982" s="160" customFormat="1" x14ac:dyDescent="0.3"/>
    <row r="38983" s="160" customFormat="1" x14ac:dyDescent="0.3"/>
    <row r="38984" s="160" customFormat="1" x14ac:dyDescent="0.3"/>
    <row r="38985" s="160" customFormat="1" x14ac:dyDescent="0.3"/>
    <row r="38986" s="160" customFormat="1" x14ac:dyDescent="0.3"/>
    <row r="38987" s="160" customFormat="1" x14ac:dyDescent="0.3"/>
    <row r="38988" s="160" customFormat="1" x14ac:dyDescent="0.3"/>
    <row r="38989" s="160" customFormat="1" x14ac:dyDescent="0.3"/>
    <row r="38990" s="160" customFormat="1" x14ac:dyDescent="0.3"/>
    <row r="38991" s="160" customFormat="1" x14ac:dyDescent="0.3"/>
    <row r="38992" s="160" customFormat="1" x14ac:dyDescent="0.3"/>
    <row r="38993" s="160" customFormat="1" x14ac:dyDescent="0.3"/>
    <row r="38994" s="160" customFormat="1" x14ac:dyDescent="0.3"/>
    <row r="38995" s="160" customFormat="1" x14ac:dyDescent="0.3"/>
    <row r="38996" s="160" customFormat="1" x14ac:dyDescent="0.3"/>
    <row r="38997" s="160" customFormat="1" x14ac:dyDescent="0.3"/>
    <row r="38998" s="160" customFormat="1" x14ac:dyDescent="0.3"/>
    <row r="38999" s="160" customFormat="1" x14ac:dyDescent="0.3"/>
    <row r="39000" s="160" customFormat="1" x14ac:dyDescent="0.3"/>
    <row r="39001" s="160" customFormat="1" x14ac:dyDescent="0.3"/>
    <row r="39002" s="160" customFormat="1" x14ac:dyDescent="0.3"/>
    <row r="39003" s="160" customFormat="1" x14ac:dyDescent="0.3"/>
    <row r="39004" s="160" customFormat="1" x14ac:dyDescent="0.3"/>
    <row r="39005" s="160" customFormat="1" x14ac:dyDescent="0.3"/>
    <row r="39006" s="160" customFormat="1" x14ac:dyDescent="0.3"/>
    <row r="39007" s="160" customFormat="1" x14ac:dyDescent="0.3"/>
    <row r="39008" s="160" customFormat="1" x14ac:dyDescent="0.3"/>
    <row r="39009" s="160" customFormat="1" x14ac:dyDescent="0.3"/>
    <row r="39010" s="160" customFormat="1" x14ac:dyDescent="0.3"/>
    <row r="39011" s="160" customFormat="1" x14ac:dyDescent="0.3"/>
    <row r="39012" s="160" customFormat="1" x14ac:dyDescent="0.3"/>
    <row r="39013" s="160" customFormat="1" x14ac:dyDescent="0.3"/>
    <row r="39014" s="160" customFormat="1" x14ac:dyDescent="0.3"/>
    <row r="39015" s="160" customFormat="1" x14ac:dyDescent="0.3"/>
    <row r="39016" s="160" customFormat="1" x14ac:dyDescent="0.3"/>
    <row r="39017" s="160" customFormat="1" x14ac:dyDescent="0.3"/>
    <row r="39018" s="160" customFormat="1" x14ac:dyDescent="0.3"/>
    <row r="39019" s="160" customFormat="1" x14ac:dyDescent="0.3"/>
    <row r="39020" s="160" customFormat="1" x14ac:dyDescent="0.3"/>
    <row r="39021" s="160" customFormat="1" x14ac:dyDescent="0.3"/>
    <row r="39022" s="160" customFormat="1" x14ac:dyDescent="0.3"/>
    <row r="39023" s="160" customFormat="1" x14ac:dyDescent="0.3"/>
    <row r="39024" s="160" customFormat="1" x14ac:dyDescent="0.3"/>
    <row r="39025" s="160" customFormat="1" x14ac:dyDescent="0.3"/>
    <row r="39026" s="160" customFormat="1" x14ac:dyDescent="0.3"/>
    <row r="39027" s="160" customFormat="1" x14ac:dyDescent="0.3"/>
    <row r="39028" s="160" customFormat="1" x14ac:dyDescent="0.3"/>
    <row r="39029" s="160" customFormat="1" x14ac:dyDescent="0.3"/>
    <row r="39030" s="160" customFormat="1" x14ac:dyDescent="0.3"/>
    <row r="39031" s="160" customFormat="1" x14ac:dyDescent="0.3"/>
    <row r="39032" s="160" customFormat="1" x14ac:dyDescent="0.3"/>
    <row r="39033" s="160" customFormat="1" x14ac:dyDescent="0.3"/>
    <row r="39034" s="160" customFormat="1" x14ac:dyDescent="0.3"/>
    <row r="39035" s="160" customFormat="1" x14ac:dyDescent="0.3"/>
    <row r="39036" s="160" customFormat="1" x14ac:dyDescent="0.3"/>
    <row r="39037" s="160" customFormat="1" x14ac:dyDescent="0.3"/>
    <row r="39038" s="160" customFormat="1" x14ac:dyDescent="0.3"/>
    <row r="39039" s="160" customFormat="1" x14ac:dyDescent="0.3"/>
    <row r="39040" s="160" customFormat="1" x14ac:dyDescent="0.3"/>
    <row r="39041" s="160" customFormat="1" x14ac:dyDescent="0.3"/>
    <row r="39042" s="160" customFormat="1" x14ac:dyDescent="0.3"/>
    <row r="39043" s="160" customFormat="1" x14ac:dyDescent="0.3"/>
    <row r="39044" s="160" customFormat="1" x14ac:dyDescent="0.3"/>
    <row r="39045" s="160" customFormat="1" x14ac:dyDescent="0.3"/>
    <row r="39046" s="160" customFormat="1" x14ac:dyDescent="0.3"/>
    <row r="39047" s="160" customFormat="1" x14ac:dyDescent="0.3"/>
    <row r="39048" s="160" customFormat="1" x14ac:dyDescent="0.3"/>
    <row r="39049" s="160" customFormat="1" x14ac:dyDescent="0.3"/>
    <row r="39050" s="160" customFormat="1" x14ac:dyDescent="0.3"/>
    <row r="39051" s="160" customFormat="1" x14ac:dyDescent="0.3"/>
    <row r="39052" s="160" customFormat="1" x14ac:dyDescent="0.3"/>
    <row r="39053" s="160" customFormat="1" x14ac:dyDescent="0.3"/>
    <row r="39054" s="160" customFormat="1" x14ac:dyDescent="0.3"/>
    <row r="39055" s="160" customFormat="1" x14ac:dyDescent="0.3"/>
    <row r="39056" s="160" customFormat="1" x14ac:dyDescent="0.3"/>
    <row r="39057" s="160" customFormat="1" x14ac:dyDescent="0.3"/>
    <row r="39058" s="160" customFormat="1" x14ac:dyDescent="0.3"/>
    <row r="39059" s="160" customFormat="1" x14ac:dyDescent="0.3"/>
    <row r="39060" s="160" customFormat="1" x14ac:dyDescent="0.3"/>
    <row r="39061" s="160" customFormat="1" x14ac:dyDescent="0.3"/>
    <row r="39062" s="160" customFormat="1" x14ac:dyDescent="0.3"/>
    <row r="39063" s="160" customFormat="1" x14ac:dyDescent="0.3"/>
    <row r="39064" s="160" customFormat="1" x14ac:dyDescent="0.3"/>
    <row r="39065" s="160" customFormat="1" x14ac:dyDescent="0.3"/>
    <row r="39066" s="160" customFormat="1" x14ac:dyDescent="0.3"/>
    <row r="39067" s="160" customFormat="1" x14ac:dyDescent="0.3"/>
    <row r="39068" s="160" customFormat="1" x14ac:dyDescent="0.3"/>
    <row r="39069" s="160" customFormat="1" x14ac:dyDescent="0.3"/>
    <row r="39070" s="160" customFormat="1" x14ac:dyDescent="0.3"/>
    <row r="39071" s="160" customFormat="1" x14ac:dyDescent="0.3"/>
    <row r="39072" s="160" customFormat="1" x14ac:dyDescent="0.3"/>
    <row r="39073" s="160" customFormat="1" x14ac:dyDescent="0.3"/>
    <row r="39074" s="160" customFormat="1" x14ac:dyDescent="0.3"/>
    <row r="39075" s="160" customFormat="1" x14ac:dyDescent="0.3"/>
    <row r="39076" s="160" customFormat="1" x14ac:dyDescent="0.3"/>
    <row r="39077" s="160" customFormat="1" x14ac:dyDescent="0.3"/>
    <row r="39078" s="160" customFormat="1" x14ac:dyDescent="0.3"/>
    <row r="39079" s="160" customFormat="1" x14ac:dyDescent="0.3"/>
    <row r="39080" s="160" customFormat="1" x14ac:dyDescent="0.3"/>
    <row r="39081" s="160" customFormat="1" x14ac:dyDescent="0.3"/>
    <row r="39082" s="160" customFormat="1" x14ac:dyDescent="0.3"/>
    <row r="39083" s="160" customFormat="1" x14ac:dyDescent="0.3"/>
    <row r="39084" s="160" customFormat="1" x14ac:dyDescent="0.3"/>
    <row r="39085" s="160" customFormat="1" x14ac:dyDescent="0.3"/>
    <row r="39086" s="160" customFormat="1" x14ac:dyDescent="0.3"/>
    <row r="39087" s="160" customFormat="1" x14ac:dyDescent="0.3"/>
    <row r="39088" s="160" customFormat="1" x14ac:dyDescent="0.3"/>
    <row r="39089" s="160" customFormat="1" x14ac:dyDescent="0.3"/>
    <row r="39090" s="160" customFormat="1" x14ac:dyDescent="0.3"/>
    <row r="39091" s="160" customFormat="1" x14ac:dyDescent="0.3"/>
    <row r="39092" s="160" customFormat="1" x14ac:dyDescent="0.3"/>
    <row r="39093" s="160" customFormat="1" x14ac:dyDescent="0.3"/>
    <row r="39094" s="160" customFormat="1" x14ac:dyDescent="0.3"/>
    <row r="39095" s="160" customFormat="1" x14ac:dyDescent="0.3"/>
    <row r="39096" s="160" customFormat="1" x14ac:dyDescent="0.3"/>
    <row r="39097" s="160" customFormat="1" x14ac:dyDescent="0.3"/>
    <row r="39098" s="160" customFormat="1" x14ac:dyDescent="0.3"/>
    <row r="39099" s="160" customFormat="1" x14ac:dyDescent="0.3"/>
    <row r="39100" s="160" customFormat="1" x14ac:dyDescent="0.3"/>
    <row r="39101" s="160" customFormat="1" x14ac:dyDescent="0.3"/>
    <row r="39102" s="160" customFormat="1" x14ac:dyDescent="0.3"/>
    <row r="39103" s="160" customFormat="1" x14ac:dyDescent="0.3"/>
    <row r="39104" s="160" customFormat="1" x14ac:dyDescent="0.3"/>
    <row r="39105" s="160" customFormat="1" x14ac:dyDescent="0.3"/>
    <row r="39106" s="160" customFormat="1" x14ac:dyDescent="0.3"/>
    <row r="39107" s="160" customFormat="1" x14ac:dyDescent="0.3"/>
    <row r="39108" s="160" customFormat="1" x14ac:dyDescent="0.3"/>
    <row r="39109" s="160" customFormat="1" x14ac:dyDescent="0.3"/>
    <row r="39110" s="160" customFormat="1" x14ac:dyDescent="0.3"/>
    <row r="39111" s="160" customFormat="1" x14ac:dyDescent="0.3"/>
    <row r="39112" s="160" customFormat="1" x14ac:dyDescent="0.3"/>
    <row r="39113" s="160" customFormat="1" x14ac:dyDescent="0.3"/>
    <row r="39114" s="160" customFormat="1" x14ac:dyDescent="0.3"/>
    <row r="39115" s="160" customFormat="1" x14ac:dyDescent="0.3"/>
    <row r="39116" s="160" customFormat="1" x14ac:dyDescent="0.3"/>
    <row r="39117" s="160" customFormat="1" x14ac:dyDescent="0.3"/>
    <row r="39118" s="160" customFormat="1" x14ac:dyDescent="0.3"/>
    <row r="39119" s="160" customFormat="1" x14ac:dyDescent="0.3"/>
    <row r="39120" s="160" customFormat="1" x14ac:dyDescent="0.3"/>
    <row r="39121" s="160" customFormat="1" x14ac:dyDescent="0.3"/>
    <row r="39122" s="160" customFormat="1" x14ac:dyDescent="0.3"/>
    <row r="39123" s="160" customFormat="1" x14ac:dyDescent="0.3"/>
    <row r="39124" s="160" customFormat="1" x14ac:dyDescent="0.3"/>
    <row r="39125" s="160" customFormat="1" x14ac:dyDescent="0.3"/>
    <row r="39126" s="160" customFormat="1" x14ac:dyDescent="0.3"/>
    <row r="39127" s="160" customFormat="1" x14ac:dyDescent="0.3"/>
    <row r="39128" s="160" customFormat="1" x14ac:dyDescent="0.3"/>
    <row r="39129" s="160" customFormat="1" x14ac:dyDescent="0.3"/>
    <row r="39130" s="160" customFormat="1" x14ac:dyDescent="0.3"/>
    <row r="39131" s="160" customFormat="1" x14ac:dyDescent="0.3"/>
    <row r="39132" s="160" customFormat="1" x14ac:dyDescent="0.3"/>
    <row r="39133" s="160" customFormat="1" x14ac:dyDescent="0.3"/>
    <row r="39134" s="160" customFormat="1" x14ac:dyDescent="0.3"/>
    <row r="39135" s="160" customFormat="1" x14ac:dyDescent="0.3"/>
    <row r="39136" s="160" customFormat="1" x14ac:dyDescent="0.3"/>
    <row r="39137" s="160" customFormat="1" x14ac:dyDescent="0.3"/>
    <row r="39138" s="160" customFormat="1" x14ac:dyDescent="0.3"/>
    <row r="39139" s="160" customFormat="1" x14ac:dyDescent="0.3"/>
    <row r="39140" s="160" customFormat="1" x14ac:dyDescent="0.3"/>
    <row r="39141" s="160" customFormat="1" x14ac:dyDescent="0.3"/>
    <row r="39142" s="160" customFormat="1" x14ac:dyDescent="0.3"/>
    <row r="39143" s="160" customFormat="1" x14ac:dyDescent="0.3"/>
    <row r="39144" s="160" customFormat="1" x14ac:dyDescent="0.3"/>
    <row r="39145" s="160" customFormat="1" x14ac:dyDescent="0.3"/>
    <row r="39146" s="160" customFormat="1" x14ac:dyDescent="0.3"/>
    <row r="39147" s="160" customFormat="1" x14ac:dyDescent="0.3"/>
    <row r="39148" s="160" customFormat="1" x14ac:dyDescent="0.3"/>
    <row r="39149" s="160" customFormat="1" x14ac:dyDescent="0.3"/>
    <row r="39150" s="160" customFormat="1" x14ac:dyDescent="0.3"/>
    <row r="39151" s="160" customFormat="1" x14ac:dyDescent="0.3"/>
    <row r="39152" s="160" customFormat="1" x14ac:dyDescent="0.3"/>
    <row r="39153" s="160" customFormat="1" x14ac:dyDescent="0.3"/>
    <row r="39154" s="160" customFormat="1" x14ac:dyDescent="0.3"/>
    <row r="39155" s="160" customFormat="1" x14ac:dyDescent="0.3"/>
    <row r="39156" s="160" customFormat="1" x14ac:dyDescent="0.3"/>
    <row r="39157" s="160" customFormat="1" x14ac:dyDescent="0.3"/>
    <row r="39158" s="160" customFormat="1" x14ac:dyDescent="0.3"/>
    <row r="39159" s="160" customFormat="1" x14ac:dyDescent="0.3"/>
    <row r="39160" s="160" customFormat="1" x14ac:dyDescent="0.3"/>
    <row r="39161" s="160" customFormat="1" x14ac:dyDescent="0.3"/>
    <row r="39162" s="160" customFormat="1" x14ac:dyDescent="0.3"/>
    <row r="39163" s="160" customFormat="1" x14ac:dyDescent="0.3"/>
    <row r="39164" s="160" customFormat="1" x14ac:dyDescent="0.3"/>
    <row r="39165" s="160" customFormat="1" x14ac:dyDescent="0.3"/>
    <row r="39166" s="160" customFormat="1" x14ac:dyDescent="0.3"/>
    <row r="39167" s="160" customFormat="1" x14ac:dyDescent="0.3"/>
    <row r="39168" s="160" customFormat="1" x14ac:dyDescent="0.3"/>
    <row r="39169" s="160" customFormat="1" x14ac:dyDescent="0.3"/>
    <row r="39170" s="160" customFormat="1" x14ac:dyDescent="0.3"/>
    <row r="39171" s="160" customFormat="1" x14ac:dyDescent="0.3"/>
    <row r="39172" s="160" customFormat="1" x14ac:dyDescent="0.3"/>
    <row r="39173" s="160" customFormat="1" x14ac:dyDescent="0.3"/>
    <row r="39174" s="160" customFormat="1" x14ac:dyDescent="0.3"/>
    <row r="39175" s="160" customFormat="1" x14ac:dyDescent="0.3"/>
    <row r="39176" s="160" customFormat="1" x14ac:dyDescent="0.3"/>
    <row r="39177" s="160" customFormat="1" x14ac:dyDescent="0.3"/>
    <row r="39178" s="160" customFormat="1" x14ac:dyDescent="0.3"/>
    <row r="39179" s="160" customFormat="1" x14ac:dyDescent="0.3"/>
    <row r="39180" s="160" customFormat="1" x14ac:dyDescent="0.3"/>
    <row r="39181" s="160" customFormat="1" x14ac:dyDescent="0.3"/>
    <row r="39182" s="160" customFormat="1" x14ac:dyDescent="0.3"/>
    <row r="39183" s="160" customFormat="1" x14ac:dyDescent="0.3"/>
    <row r="39184" s="160" customFormat="1" x14ac:dyDescent="0.3"/>
    <row r="39185" s="160" customFormat="1" x14ac:dyDescent="0.3"/>
    <row r="39186" s="160" customFormat="1" x14ac:dyDescent="0.3"/>
    <row r="39187" s="160" customFormat="1" x14ac:dyDescent="0.3"/>
    <row r="39188" s="160" customFormat="1" x14ac:dyDescent="0.3"/>
    <row r="39189" s="160" customFormat="1" x14ac:dyDescent="0.3"/>
    <row r="39190" s="160" customFormat="1" x14ac:dyDescent="0.3"/>
    <row r="39191" s="160" customFormat="1" x14ac:dyDescent="0.3"/>
    <row r="39192" s="160" customFormat="1" x14ac:dyDescent="0.3"/>
    <row r="39193" s="160" customFormat="1" x14ac:dyDescent="0.3"/>
    <row r="39194" s="160" customFormat="1" x14ac:dyDescent="0.3"/>
    <row r="39195" s="160" customFormat="1" x14ac:dyDescent="0.3"/>
    <row r="39196" s="160" customFormat="1" x14ac:dyDescent="0.3"/>
    <row r="39197" s="160" customFormat="1" x14ac:dyDescent="0.3"/>
    <row r="39198" s="160" customFormat="1" x14ac:dyDescent="0.3"/>
    <row r="39199" s="160" customFormat="1" x14ac:dyDescent="0.3"/>
    <row r="39200" s="160" customFormat="1" x14ac:dyDescent="0.3"/>
    <row r="39201" s="160" customFormat="1" x14ac:dyDescent="0.3"/>
    <row r="39202" s="160" customFormat="1" x14ac:dyDescent="0.3"/>
    <row r="39203" s="160" customFormat="1" x14ac:dyDescent="0.3"/>
    <row r="39204" s="160" customFormat="1" x14ac:dyDescent="0.3"/>
    <row r="39205" s="160" customFormat="1" x14ac:dyDescent="0.3"/>
    <row r="39206" s="160" customFormat="1" x14ac:dyDescent="0.3"/>
    <row r="39207" s="160" customFormat="1" x14ac:dyDescent="0.3"/>
    <row r="39208" s="160" customFormat="1" x14ac:dyDescent="0.3"/>
    <row r="39209" s="160" customFormat="1" x14ac:dyDescent="0.3"/>
    <row r="39210" s="160" customFormat="1" x14ac:dyDescent="0.3"/>
    <row r="39211" s="160" customFormat="1" x14ac:dyDescent="0.3"/>
    <row r="39212" s="160" customFormat="1" x14ac:dyDescent="0.3"/>
    <row r="39213" s="160" customFormat="1" x14ac:dyDescent="0.3"/>
    <row r="39214" s="160" customFormat="1" x14ac:dyDescent="0.3"/>
    <row r="39215" s="160" customFormat="1" x14ac:dyDescent="0.3"/>
    <row r="39216" s="160" customFormat="1" x14ac:dyDescent="0.3"/>
    <row r="39217" s="160" customFormat="1" x14ac:dyDescent="0.3"/>
    <row r="39218" s="160" customFormat="1" x14ac:dyDescent="0.3"/>
    <row r="39219" s="160" customFormat="1" x14ac:dyDescent="0.3"/>
    <row r="39220" s="160" customFormat="1" x14ac:dyDescent="0.3"/>
    <row r="39221" s="160" customFormat="1" x14ac:dyDescent="0.3"/>
    <row r="39222" s="160" customFormat="1" x14ac:dyDescent="0.3"/>
    <row r="39223" s="160" customFormat="1" x14ac:dyDescent="0.3"/>
    <row r="39224" s="160" customFormat="1" x14ac:dyDescent="0.3"/>
    <row r="39225" s="160" customFormat="1" x14ac:dyDescent="0.3"/>
    <row r="39226" s="160" customFormat="1" x14ac:dyDescent="0.3"/>
    <row r="39227" s="160" customFormat="1" x14ac:dyDescent="0.3"/>
    <row r="39228" s="160" customFormat="1" x14ac:dyDescent="0.3"/>
    <row r="39229" s="160" customFormat="1" x14ac:dyDescent="0.3"/>
    <row r="39230" s="160" customFormat="1" x14ac:dyDescent="0.3"/>
    <row r="39231" s="160" customFormat="1" x14ac:dyDescent="0.3"/>
    <row r="39232" s="160" customFormat="1" x14ac:dyDescent="0.3"/>
    <row r="39233" s="160" customFormat="1" x14ac:dyDescent="0.3"/>
    <row r="39234" s="160" customFormat="1" x14ac:dyDescent="0.3"/>
    <row r="39235" s="160" customFormat="1" x14ac:dyDescent="0.3"/>
    <row r="39236" s="160" customFormat="1" x14ac:dyDescent="0.3"/>
    <row r="39237" s="160" customFormat="1" x14ac:dyDescent="0.3"/>
    <row r="39238" s="160" customFormat="1" x14ac:dyDescent="0.3"/>
    <row r="39239" s="160" customFormat="1" x14ac:dyDescent="0.3"/>
    <row r="39240" s="160" customFormat="1" x14ac:dyDescent="0.3"/>
    <row r="39241" s="160" customFormat="1" x14ac:dyDescent="0.3"/>
    <row r="39242" s="160" customFormat="1" x14ac:dyDescent="0.3"/>
    <row r="39243" s="160" customFormat="1" x14ac:dyDescent="0.3"/>
    <row r="39244" s="160" customFormat="1" x14ac:dyDescent="0.3"/>
    <row r="39245" s="160" customFormat="1" x14ac:dyDescent="0.3"/>
    <row r="39246" s="160" customFormat="1" x14ac:dyDescent="0.3"/>
    <row r="39247" s="160" customFormat="1" x14ac:dyDescent="0.3"/>
    <row r="39248" s="160" customFormat="1" x14ac:dyDescent="0.3"/>
    <row r="39249" s="160" customFormat="1" x14ac:dyDescent="0.3"/>
    <row r="39250" s="160" customFormat="1" x14ac:dyDescent="0.3"/>
    <row r="39251" s="160" customFormat="1" x14ac:dyDescent="0.3"/>
    <row r="39252" s="160" customFormat="1" x14ac:dyDescent="0.3"/>
    <row r="39253" s="160" customFormat="1" x14ac:dyDescent="0.3"/>
    <row r="39254" s="160" customFormat="1" x14ac:dyDescent="0.3"/>
    <row r="39255" s="160" customFormat="1" x14ac:dyDescent="0.3"/>
    <row r="39256" s="160" customFormat="1" x14ac:dyDescent="0.3"/>
    <row r="39257" s="160" customFormat="1" x14ac:dyDescent="0.3"/>
    <row r="39258" s="160" customFormat="1" x14ac:dyDescent="0.3"/>
    <row r="39259" s="160" customFormat="1" x14ac:dyDescent="0.3"/>
    <row r="39260" s="160" customFormat="1" x14ac:dyDescent="0.3"/>
    <row r="39261" s="160" customFormat="1" x14ac:dyDescent="0.3"/>
    <row r="39262" s="160" customFormat="1" x14ac:dyDescent="0.3"/>
    <row r="39263" s="160" customFormat="1" x14ac:dyDescent="0.3"/>
    <row r="39264" s="160" customFormat="1" x14ac:dyDescent="0.3"/>
    <row r="39265" s="160" customFormat="1" x14ac:dyDescent="0.3"/>
    <row r="39266" s="160" customFormat="1" x14ac:dyDescent="0.3"/>
    <row r="39267" s="160" customFormat="1" x14ac:dyDescent="0.3"/>
    <row r="39268" s="160" customFormat="1" x14ac:dyDescent="0.3"/>
    <row r="39269" s="160" customFormat="1" x14ac:dyDescent="0.3"/>
    <row r="39270" s="160" customFormat="1" x14ac:dyDescent="0.3"/>
    <row r="39271" s="160" customFormat="1" x14ac:dyDescent="0.3"/>
    <row r="39272" s="160" customFormat="1" x14ac:dyDescent="0.3"/>
    <row r="39273" s="160" customFormat="1" x14ac:dyDescent="0.3"/>
    <row r="39274" s="160" customFormat="1" x14ac:dyDescent="0.3"/>
    <row r="39275" s="160" customFormat="1" x14ac:dyDescent="0.3"/>
    <row r="39276" s="160" customFormat="1" x14ac:dyDescent="0.3"/>
    <row r="39277" s="160" customFormat="1" x14ac:dyDescent="0.3"/>
    <row r="39278" s="160" customFormat="1" x14ac:dyDescent="0.3"/>
    <row r="39279" s="160" customFormat="1" x14ac:dyDescent="0.3"/>
    <row r="39280" s="160" customFormat="1" x14ac:dyDescent="0.3"/>
    <row r="39281" s="160" customFormat="1" x14ac:dyDescent="0.3"/>
    <row r="39282" s="160" customFormat="1" x14ac:dyDescent="0.3"/>
    <row r="39283" s="160" customFormat="1" x14ac:dyDescent="0.3"/>
    <row r="39284" s="160" customFormat="1" x14ac:dyDescent="0.3"/>
    <row r="39285" s="160" customFormat="1" x14ac:dyDescent="0.3"/>
    <row r="39286" s="160" customFormat="1" x14ac:dyDescent="0.3"/>
    <row r="39287" s="160" customFormat="1" x14ac:dyDescent="0.3"/>
    <row r="39288" s="160" customFormat="1" x14ac:dyDescent="0.3"/>
    <row r="39289" s="160" customFormat="1" x14ac:dyDescent="0.3"/>
    <row r="39290" s="160" customFormat="1" x14ac:dyDescent="0.3"/>
    <row r="39291" s="160" customFormat="1" x14ac:dyDescent="0.3"/>
    <row r="39292" s="160" customFormat="1" x14ac:dyDescent="0.3"/>
    <row r="39293" s="160" customFormat="1" x14ac:dyDescent="0.3"/>
    <row r="39294" s="160" customFormat="1" x14ac:dyDescent="0.3"/>
    <row r="39295" s="160" customFormat="1" x14ac:dyDescent="0.3"/>
    <row r="39296" s="160" customFormat="1" x14ac:dyDescent="0.3"/>
    <row r="39297" s="160" customFormat="1" x14ac:dyDescent="0.3"/>
    <row r="39298" s="160" customFormat="1" x14ac:dyDescent="0.3"/>
    <row r="39299" s="160" customFormat="1" x14ac:dyDescent="0.3"/>
    <row r="39300" s="160" customFormat="1" x14ac:dyDescent="0.3"/>
    <row r="39301" s="160" customFormat="1" x14ac:dyDescent="0.3"/>
    <row r="39302" s="160" customFormat="1" x14ac:dyDescent="0.3"/>
    <row r="39303" s="160" customFormat="1" x14ac:dyDescent="0.3"/>
    <row r="39304" s="160" customFormat="1" x14ac:dyDescent="0.3"/>
    <row r="39305" s="160" customFormat="1" x14ac:dyDescent="0.3"/>
    <row r="39306" s="160" customFormat="1" x14ac:dyDescent="0.3"/>
    <row r="39307" s="160" customFormat="1" x14ac:dyDescent="0.3"/>
    <row r="39308" s="160" customFormat="1" x14ac:dyDescent="0.3"/>
    <row r="39309" s="160" customFormat="1" x14ac:dyDescent="0.3"/>
    <row r="39310" s="160" customFormat="1" x14ac:dyDescent="0.3"/>
    <row r="39311" s="160" customFormat="1" x14ac:dyDescent="0.3"/>
    <row r="39312" s="160" customFormat="1" x14ac:dyDescent="0.3"/>
    <row r="39313" s="160" customFormat="1" x14ac:dyDescent="0.3"/>
    <row r="39314" s="160" customFormat="1" x14ac:dyDescent="0.3"/>
    <row r="39315" s="160" customFormat="1" x14ac:dyDescent="0.3"/>
    <row r="39316" s="160" customFormat="1" x14ac:dyDescent="0.3"/>
    <row r="39317" s="160" customFormat="1" x14ac:dyDescent="0.3"/>
    <row r="39318" s="160" customFormat="1" x14ac:dyDescent="0.3"/>
    <row r="39319" s="160" customFormat="1" x14ac:dyDescent="0.3"/>
    <row r="39320" s="160" customFormat="1" x14ac:dyDescent="0.3"/>
    <row r="39321" s="160" customFormat="1" x14ac:dyDescent="0.3"/>
    <row r="39322" s="160" customFormat="1" x14ac:dyDescent="0.3"/>
    <row r="39323" s="160" customFormat="1" x14ac:dyDescent="0.3"/>
    <row r="39324" s="160" customFormat="1" x14ac:dyDescent="0.3"/>
    <row r="39325" s="160" customFormat="1" x14ac:dyDescent="0.3"/>
    <row r="39326" s="160" customFormat="1" x14ac:dyDescent="0.3"/>
    <row r="39327" s="160" customFormat="1" x14ac:dyDescent="0.3"/>
    <row r="39328" s="160" customFormat="1" x14ac:dyDescent="0.3"/>
    <row r="39329" s="160" customFormat="1" x14ac:dyDescent="0.3"/>
    <row r="39330" s="160" customFormat="1" x14ac:dyDescent="0.3"/>
    <row r="39331" s="160" customFormat="1" x14ac:dyDescent="0.3"/>
    <row r="39332" s="160" customFormat="1" x14ac:dyDescent="0.3"/>
    <row r="39333" s="160" customFormat="1" x14ac:dyDescent="0.3"/>
    <row r="39334" s="160" customFormat="1" x14ac:dyDescent="0.3"/>
    <row r="39335" s="160" customFormat="1" x14ac:dyDescent="0.3"/>
    <row r="39336" s="160" customFormat="1" x14ac:dyDescent="0.3"/>
    <row r="39337" s="160" customFormat="1" x14ac:dyDescent="0.3"/>
    <row r="39338" s="160" customFormat="1" x14ac:dyDescent="0.3"/>
    <row r="39339" s="160" customFormat="1" x14ac:dyDescent="0.3"/>
    <row r="39340" s="160" customFormat="1" x14ac:dyDescent="0.3"/>
    <row r="39341" s="160" customFormat="1" x14ac:dyDescent="0.3"/>
    <row r="39342" s="160" customFormat="1" x14ac:dyDescent="0.3"/>
    <row r="39343" s="160" customFormat="1" x14ac:dyDescent="0.3"/>
    <row r="39344" s="160" customFormat="1" x14ac:dyDescent="0.3"/>
    <row r="39345" s="160" customFormat="1" x14ac:dyDescent="0.3"/>
    <row r="39346" s="160" customFormat="1" x14ac:dyDescent="0.3"/>
    <row r="39347" s="160" customFormat="1" x14ac:dyDescent="0.3"/>
    <row r="39348" s="160" customFormat="1" x14ac:dyDescent="0.3"/>
    <row r="39349" s="160" customFormat="1" x14ac:dyDescent="0.3"/>
    <row r="39350" s="160" customFormat="1" x14ac:dyDescent="0.3"/>
    <row r="39351" s="160" customFormat="1" x14ac:dyDescent="0.3"/>
    <row r="39352" s="160" customFormat="1" x14ac:dyDescent="0.3"/>
    <row r="39353" s="160" customFormat="1" x14ac:dyDescent="0.3"/>
    <row r="39354" s="160" customFormat="1" x14ac:dyDescent="0.3"/>
    <row r="39355" s="160" customFormat="1" x14ac:dyDescent="0.3"/>
    <row r="39356" s="160" customFormat="1" x14ac:dyDescent="0.3"/>
    <row r="39357" s="160" customFormat="1" x14ac:dyDescent="0.3"/>
    <row r="39358" s="160" customFormat="1" x14ac:dyDescent="0.3"/>
    <row r="39359" s="160" customFormat="1" x14ac:dyDescent="0.3"/>
    <row r="39360" s="160" customFormat="1" x14ac:dyDescent="0.3"/>
    <row r="39361" s="160" customFormat="1" x14ac:dyDescent="0.3"/>
    <row r="39362" s="160" customFormat="1" x14ac:dyDescent="0.3"/>
    <row r="39363" s="160" customFormat="1" x14ac:dyDescent="0.3"/>
    <row r="39364" s="160" customFormat="1" x14ac:dyDescent="0.3"/>
    <row r="39365" s="160" customFormat="1" x14ac:dyDescent="0.3"/>
    <row r="39366" s="160" customFormat="1" x14ac:dyDescent="0.3"/>
    <row r="39367" s="160" customFormat="1" x14ac:dyDescent="0.3"/>
    <row r="39368" s="160" customFormat="1" x14ac:dyDescent="0.3"/>
    <row r="39369" s="160" customFormat="1" x14ac:dyDescent="0.3"/>
    <row r="39370" s="160" customFormat="1" x14ac:dyDescent="0.3"/>
    <row r="39371" s="160" customFormat="1" x14ac:dyDescent="0.3"/>
    <row r="39372" s="160" customFormat="1" x14ac:dyDescent="0.3"/>
    <row r="39373" s="160" customFormat="1" x14ac:dyDescent="0.3"/>
    <row r="39374" s="160" customFormat="1" x14ac:dyDescent="0.3"/>
    <row r="39375" s="160" customFormat="1" x14ac:dyDescent="0.3"/>
    <row r="39376" s="160" customFormat="1" x14ac:dyDescent="0.3"/>
    <row r="39377" s="160" customFormat="1" x14ac:dyDescent="0.3"/>
    <row r="39378" s="160" customFormat="1" x14ac:dyDescent="0.3"/>
    <row r="39379" s="160" customFormat="1" x14ac:dyDescent="0.3"/>
    <row r="39380" s="160" customFormat="1" x14ac:dyDescent="0.3"/>
    <row r="39381" s="160" customFormat="1" x14ac:dyDescent="0.3"/>
    <row r="39382" s="160" customFormat="1" x14ac:dyDescent="0.3"/>
    <row r="39383" s="160" customFormat="1" x14ac:dyDescent="0.3"/>
    <row r="39384" s="160" customFormat="1" x14ac:dyDescent="0.3"/>
    <row r="39385" s="160" customFormat="1" x14ac:dyDescent="0.3"/>
    <row r="39386" s="160" customFormat="1" x14ac:dyDescent="0.3"/>
    <row r="39387" s="160" customFormat="1" x14ac:dyDescent="0.3"/>
    <row r="39388" s="160" customFormat="1" x14ac:dyDescent="0.3"/>
    <row r="39389" s="160" customFormat="1" x14ac:dyDescent="0.3"/>
    <row r="39390" s="160" customFormat="1" x14ac:dyDescent="0.3"/>
    <row r="39391" s="160" customFormat="1" x14ac:dyDescent="0.3"/>
    <row r="39392" s="160" customFormat="1" x14ac:dyDescent="0.3"/>
    <row r="39393" s="160" customFormat="1" x14ac:dyDescent="0.3"/>
    <row r="39394" s="160" customFormat="1" x14ac:dyDescent="0.3"/>
    <row r="39395" s="160" customFormat="1" x14ac:dyDescent="0.3"/>
    <row r="39396" s="160" customFormat="1" x14ac:dyDescent="0.3"/>
    <row r="39397" s="160" customFormat="1" x14ac:dyDescent="0.3"/>
    <row r="39398" s="160" customFormat="1" x14ac:dyDescent="0.3"/>
    <row r="39399" s="160" customFormat="1" x14ac:dyDescent="0.3"/>
    <row r="39400" s="160" customFormat="1" x14ac:dyDescent="0.3"/>
    <row r="39401" s="160" customFormat="1" x14ac:dyDescent="0.3"/>
    <row r="39402" s="160" customFormat="1" x14ac:dyDescent="0.3"/>
    <row r="39403" s="160" customFormat="1" x14ac:dyDescent="0.3"/>
    <row r="39404" s="160" customFormat="1" x14ac:dyDescent="0.3"/>
    <row r="39405" s="160" customFormat="1" x14ac:dyDescent="0.3"/>
    <row r="39406" s="160" customFormat="1" x14ac:dyDescent="0.3"/>
    <row r="39407" s="160" customFormat="1" x14ac:dyDescent="0.3"/>
    <row r="39408" s="160" customFormat="1" x14ac:dyDescent="0.3"/>
    <row r="39409" s="160" customFormat="1" x14ac:dyDescent="0.3"/>
    <row r="39410" s="160" customFormat="1" x14ac:dyDescent="0.3"/>
    <row r="39411" s="160" customFormat="1" x14ac:dyDescent="0.3"/>
    <row r="39412" s="160" customFormat="1" x14ac:dyDescent="0.3"/>
    <row r="39413" s="160" customFormat="1" x14ac:dyDescent="0.3"/>
    <row r="39414" s="160" customFormat="1" x14ac:dyDescent="0.3"/>
    <row r="39415" s="160" customFormat="1" x14ac:dyDescent="0.3"/>
    <row r="39416" s="160" customFormat="1" x14ac:dyDescent="0.3"/>
    <row r="39417" s="160" customFormat="1" x14ac:dyDescent="0.3"/>
    <row r="39418" s="160" customFormat="1" x14ac:dyDescent="0.3"/>
    <row r="39419" s="160" customFormat="1" x14ac:dyDescent="0.3"/>
    <row r="39420" s="160" customFormat="1" x14ac:dyDescent="0.3"/>
    <row r="39421" s="160" customFormat="1" x14ac:dyDescent="0.3"/>
    <row r="39422" s="160" customFormat="1" x14ac:dyDescent="0.3"/>
    <row r="39423" s="160" customFormat="1" x14ac:dyDescent="0.3"/>
    <row r="39424" s="160" customFormat="1" x14ac:dyDescent="0.3"/>
    <row r="39425" s="160" customFormat="1" x14ac:dyDescent="0.3"/>
    <row r="39426" s="160" customFormat="1" x14ac:dyDescent="0.3"/>
    <row r="39427" s="160" customFormat="1" x14ac:dyDescent="0.3"/>
    <row r="39428" s="160" customFormat="1" x14ac:dyDescent="0.3"/>
    <row r="39429" s="160" customFormat="1" x14ac:dyDescent="0.3"/>
    <row r="39430" s="160" customFormat="1" x14ac:dyDescent="0.3"/>
    <row r="39431" s="160" customFormat="1" x14ac:dyDescent="0.3"/>
    <row r="39432" s="160" customFormat="1" x14ac:dyDescent="0.3"/>
    <row r="39433" s="160" customFormat="1" x14ac:dyDescent="0.3"/>
    <row r="39434" s="160" customFormat="1" x14ac:dyDescent="0.3"/>
    <row r="39435" s="160" customFormat="1" x14ac:dyDescent="0.3"/>
    <row r="39436" s="160" customFormat="1" x14ac:dyDescent="0.3"/>
    <row r="39437" s="160" customFormat="1" x14ac:dyDescent="0.3"/>
    <row r="39438" s="160" customFormat="1" x14ac:dyDescent="0.3"/>
    <row r="39439" s="160" customFormat="1" x14ac:dyDescent="0.3"/>
    <row r="39440" s="160" customFormat="1" x14ac:dyDescent="0.3"/>
    <row r="39441" s="160" customFormat="1" x14ac:dyDescent="0.3"/>
    <row r="39442" s="160" customFormat="1" x14ac:dyDescent="0.3"/>
    <row r="39443" s="160" customFormat="1" x14ac:dyDescent="0.3"/>
    <row r="39444" s="160" customFormat="1" x14ac:dyDescent="0.3"/>
    <row r="39445" s="160" customFormat="1" x14ac:dyDescent="0.3"/>
    <row r="39446" s="160" customFormat="1" x14ac:dyDescent="0.3"/>
    <row r="39447" s="160" customFormat="1" x14ac:dyDescent="0.3"/>
    <row r="39448" s="160" customFormat="1" x14ac:dyDescent="0.3"/>
    <row r="39449" s="160" customFormat="1" x14ac:dyDescent="0.3"/>
    <row r="39450" s="160" customFormat="1" x14ac:dyDescent="0.3"/>
    <row r="39451" s="160" customFormat="1" x14ac:dyDescent="0.3"/>
    <row r="39452" s="160" customFormat="1" x14ac:dyDescent="0.3"/>
    <row r="39453" s="160" customFormat="1" x14ac:dyDescent="0.3"/>
    <row r="39454" s="160" customFormat="1" x14ac:dyDescent="0.3"/>
    <row r="39455" s="160" customFormat="1" x14ac:dyDescent="0.3"/>
    <row r="39456" s="160" customFormat="1" x14ac:dyDescent="0.3"/>
    <row r="39457" s="160" customFormat="1" x14ac:dyDescent="0.3"/>
    <row r="39458" s="160" customFormat="1" x14ac:dyDescent="0.3"/>
    <row r="39459" s="160" customFormat="1" x14ac:dyDescent="0.3"/>
    <row r="39460" s="160" customFormat="1" x14ac:dyDescent="0.3"/>
    <row r="39461" s="160" customFormat="1" x14ac:dyDescent="0.3"/>
    <row r="39462" s="160" customFormat="1" x14ac:dyDescent="0.3"/>
    <row r="39463" s="160" customFormat="1" x14ac:dyDescent="0.3"/>
    <row r="39464" s="160" customFormat="1" x14ac:dyDescent="0.3"/>
    <row r="39465" s="160" customFormat="1" x14ac:dyDescent="0.3"/>
    <row r="39466" s="160" customFormat="1" x14ac:dyDescent="0.3"/>
    <row r="39467" s="160" customFormat="1" x14ac:dyDescent="0.3"/>
    <row r="39468" s="160" customFormat="1" x14ac:dyDescent="0.3"/>
    <row r="39469" s="160" customFormat="1" x14ac:dyDescent="0.3"/>
    <row r="39470" s="160" customFormat="1" x14ac:dyDescent="0.3"/>
    <row r="39471" s="160" customFormat="1" x14ac:dyDescent="0.3"/>
    <row r="39472" s="160" customFormat="1" x14ac:dyDescent="0.3"/>
    <row r="39473" s="160" customFormat="1" x14ac:dyDescent="0.3"/>
    <row r="39474" s="160" customFormat="1" x14ac:dyDescent="0.3"/>
    <row r="39475" s="160" customFormat="1" x14ac:dyDescent="0.3"/>
    <row r="39476" s="160" customFormat="1" x14ac:dyDescent="0.3"/>
    <row r="39477" s="160" customFormat="1" x14ac:dyDescent="0.3"/>
    <row r="39478" s="160" customFormat="1" x14ac:dyDescent="0.3"/>
    <row r="39479" s="160" customFormat="1" x14ac:dyDescent="0.3"/>
    <row r="39480" s="160" customFormat="1" x14ac:dyDescent="0.3"/>
    <row r="39481" s="160" customFormat="1" x14ac:dyDescent="0.3"/>
    <row r="39482" s="160" customFormat="1" x14ac:dyDescent="0.3"/>
    <row r="39483" s="160" customFormat="1" x14ac:dyDescent="0.3"/>
    <row r="39484" s="160" customFormat="1" x14ac:dyDescent="0.3"/>
    <row r="39485" s="160" customFormat="1" x14ac:dyDescent="0.3"/>
    <row r="39486" s="160" customFormat="1" x14ac:dyDescent="0.3"/>
    <row r="39487" s="160" customFormat="1" x14ac:dyDescent="0.3"/>
    <row r="39488" s="160" customFormat="1" x14ac:dyDescent="0.3"/>
    <row r="39489" s="160" customFormat="1" x14ac:dyDescent="0.3"/>
    <row r="39490" s="160" customFormat="1" x14ac:dyDescent="0.3"/>
    <row r="39491" s="160" customFormat="1" x14ac:dyDescent="0.3"/>
    <row r="39492" s="160" customFormat="1" x14ac:dyDescent="0.3"/>
    <row r="39493" s="160" customFormat="1" x14ac:dyDescent="0.3"/>
    <row r="39494" s="160" customFormat="1" x14ac:dyDescent="0.3"/>
    <row r="39495" s="160" customFormat="1" x14ac:dyDescent="0.3"/>
    <row r="39496" s="160" customFormat="1" x14ac:dyDescent="0.3"/>
    <row r="39497" s="160" customFormat="1" x14ac:dyDescent="0.3"/>
    <row r="39498" s="160" customFormat="1" x14ac:dyDescent="0.3"/>
    <row r="39499" s="160" customFormat="1" x14ac:dyDescent="0.3"/>
    <row r="39500" s="160" customFormat="1" x14ac:dyDescent="0.3"/>
    <row r="39501" s="160" customFormat="1" x14ac:dyDescent="0.3"/>
    <row r="39502" s="160" customFormat="1" x14ac:dyDescent="0.3"/>
    <row r="39503" s="160" customFormat="1" x14ac:dyDescent="0.3"/>
    <row r="39504" s="160" customFormat="1" x14ac:dyDescent="0.3"/>
    <row r="39505" s="160" customFormat="1" x14ac:dyDescent="0.3"/>
    <row r="39506" s="160" customFormat="1" x14ac:dyDescent="0.3"/>
    <row r="39507" s="160" customFormat="1" x14ac:dyDescent="0.3"/>
    <row r="39508" s="160" customFormat="1" x14ac:dyDescent="0.3"/>
    <row r="39509" s="160" customFormat="1" x14ac:dyDescent="0.3"/>
    <row r="39510" s="160" customFormat="1" x14ac:dyDescent="0.3"/>
    <row r="39511" s="160" customFormat="1" x14ac:dyDescent="0.3"/>
    <row r="39512" s="160" customFormat="1" x14ac:dyDescent="0.3"/>
    <row r="39513" s="160" customFormat="1" x14ac:dyDescent="0.3"/>
    <row r="39514" s="160" customFormat="1" x14ac:dyDescent="0.3"/>
    <row r="39515" s="160" customFormat="1" x14ac:dyDescent="0.3"/>
    <row r="39516" s="160" customFormat="1" x14ac:dyDescent="0.3"/>
    <row r="39517" s="160" customFormat="1" x14ac:dyDescent="0.3"/>
    <row r="39518" s="160" customFormat="1" x14ac:dyDescent="0.3"/>
    <row r="39519" s="160" customFormat="1" x14ac:dyDescent="0.3"/>
    <row r="39520" s="160" customFormat="1" x14ac:dyDescent="0.3"/>
    <row r="39521" s="160" customFormat="1" x14ac:dyDescent="0.3"/>
    <row r="39522" s="160" customFormat="1" x14ac:dyDescent="0.3"/>
    <row r="39523" s="160" customFormat="1" x14ac:dyDescent="0.3"/>
    <row r="39524" s="160" customFormat="1" x14ac:dyDescent="0.3"/>
    <row r="39525" s="160" customFormat="1" x14ac:dyDescent="0.3"/>
    <row r="39526" s="160" customFormat="1" x14ac:dyDescent="0.3"/>
    <row r="39527" s="160" customFormat="1" x14ac:dyDescent="0.3"/>
    <row r="39528" s="160" customFormat="1" x14ac:dyDescent="0.3"/>
    <row r="39529" s="160" customFormat="1" x14ac:dyDescent="0.3"/>
    <row r="39530" s="160" customFormat="1" x14ac:dyDescent="0.3"/>
    <row r="39531" s="160" customFormat="1" x14ac:dyDescent="0.3"/>
    <row r="39532" s="160" customFormat="1" x14ac:dyDescent="0.3"/>
    <row r="39533" s="160" customFormat="1" x14ac:dyDescent="0.3"/>
    <row r="39534" s="160" customFormat="1" x14ac:dyDescent="0.3"/>
    <row r="39535" s="160" customFormat="1" x14ac:dyDescent="0.3"/>
    <row r="39536" s="160" customFormat="1" x14ac:dyDescent="0.3"/>
    <row r="39537" s="160" customFormat="1" x14ac:dyDescent="0.3"/>
    <row r="39538" s="160" customFormat="1" x14ac:dyDescent="0.3"/>
    <row r="39539" s="160" customFormat="1" x14ac:dyDescent="0.3"/>
    <row r="39540" s="160" customFormat="1" x14ac:dyDescent="0.3"/>
    <row r="39541" s="160" customFormat="1" x14ac:dyDescent="0.3"/>
    <row r="39542" s="160" customFormat="1" x14ac:dyDescent="0.3"/>
    <row r="39543" s="160" customFormat="1" x14ac:dyDescent="0.3"/>
    <row r="39544" s="160" customFormat="1" x14ac:dyDescent="0.3"/>
    <row r="39545" s="160" customFormat="1" x14ac:dyDescent="0.3"/>
    <row r="39546" s="160" customFormat="1" x14ac:dyDescent="0.3"/>
    <row r="39547" s="160" customFormat="1" x14ac:dyDescent="0.3"/>
    <row r="39548" s="160" customFormat="1" x14ac:dyDescent="0.3"/>
    <row r="39549" s="160" customFormat="1" x14ac:dyDescent="0.3"/>
    <row r="39550" s="160" customFormat="1" x14ac:dyDescent="0.3"/>
    <row r="39551" s="160" customFormat="1" x14ac:dyDescent="0.3"/>
    <row r="39552" s="160" customFormat="1" x14ac:dyDescent="0.3"/>
    <row r="39553" s="160" customFormat="1" x14ac:dyDescent="0.3"/>
    <row r="39554" s="160" customFormat="1" x14ac:dyDescent="0.3"/>
    <row r="39555" s="160" customFormat="1" x14ac:dyDescent="0.3"/>
    <row r="39556" s="160" customFormat="1" x14ac:dyDescent="0.3"/>
    <row r="39557" s="160" customFormat="1" x14ac:dyDescent="0.3"/>
    <row r="39558" s="160" customFormat="1" x14ac:dyDescent="0.3"/>
    <row r="39559" s="160" customFormat="1" x14ac:dyDescent="0.3"/>
    <row r="39560" s="160" customFormat="1" x14ac:dyDescent="0.3"/>
    <row r="39561" s="160" customFormat="1" x14ac:dyDescent="0.3"/>
    <row r="39562" s="160" customFormat="1" x14ac:dyDescent="0.3"/>
    <row r="39563" s="160" customFormat="1" x14ac:dyDescent="0.3"/>
    <row r="39564" s="160" customFormat="1" x14ac:dyDescent="0.3"/>
    <row r="39565" s="160" customFormat="1" x14ac:dyDescent="0.3"/>
    <row r="39566" s="160" customFormat="1" x14ac:dyDescent="0.3"/>
    <row r="39567" s="160" customFormat="1" x14ac:dyDescent="0.3"/>
    <row r="39568" s="160" customFormat="1" x14ac:dyDescent="0.3"/>
    <row r="39569" s="160" customFormat="1" x14ac:dyDescent="0.3"/>
    <row r="39570" s="160" customFormat="1" x14ac:dyDescent="0.3"/>
    <row r="39571" s="160" customFormat="1" x14ac:dyDescent="0.3"/>
    <row r="39572" s="160" customFormat="1" x14ac:dyDescent="0.3"/>
    <row r="39573" s="160" customFormat="1" x14ac:dyDescent="0.3"/>
    <row r="39574" s="160" customFormat="1" x14ac:dyDescent="0.3"/>
    <row r="39575" s="160" customFormat="1" x14ac:dyDescent="0.3"/>
    <row r="39576" s="160" customFormat="1" x14ac:dyDescent="0.3"/>
    <row r="39577" s="160" customFormat="1" x14ac:dyDescent="0.3"/>
    <row r="39578" s="160" customFormat="1" x14ac:dyDescent="0.3"/>
    <row r="39579" s="160" customFormat="1" x14ac:dyDescent="0.3"/>
    <row r="39580" s="160" customFormat="1" x14ac:dyDescent="0.3"/>
    <row r="39581" s="160" customFormat="1" x14ac:dyDescent="0.3"/>
    <row r="39582" s="160" customFormat="1" x14ac:dyDescent="0.3"/>
    <row r="39583" s="160" customFormat="1" x14ac:dyDescent="0.3"/>
    <row r="39584" s="160" customFormat="1" x14ac:dyDescent="0.3"/>
    <row r="39585" s="160" customFormat="1" x14ac:dyDescent="0.3"/>
    <row r="39586" s="160" customFormat="1" x14ac:dyDescent="0.3"/>
    <row r="39587" s="160" customFormat="1" x14ac:dyDescent="0.3"/>
    <row r="39588" s="160" customFormat="1" x14ac:dyDescent="0.3"/>
    <row r="39589" s="160" customFormat="1" x14ac:dyDescent="0.3"/>
    <row r="39590" s="160" customFormat="1" x14ac:dyDescent="0.3"/>
    <row r="39591" s="160" customFormat="1" x14ac:dyDescent="0.3"/>
    <row r="39592" s="160" customFormat="1" x14ac:dyDescent="0.3"/>
    <row r="39593" s="160" customFormat="1" x14ac:dyDescent="0.3"/>
    <row r="39594" s="160" customFormat="1" x14ac:dyDescent="0.3"/>
    <row r="39595" s="160" customFormat="1" x14ac:dyDescent="0.3"/>
    <row r="39596" s="160" customFormat="1" x14ac:dyDescent="0.3"/>
    <row r="39597" s="160" customFormat="1" x14ac:dyDescent="0.3"/>
    <row r="39598" s="160" customFormat="1" x14ac:dyDescent="0.3"/>
    <row r="39599" s="160" customFormat="1" x14ac:dyDescent="0.3"/>
    <row r="39600" s="160" customFormat="1" x14ac:dyDescent="0.3"/>
    <row r="39601" s="160" customFormat="1" x14ac:dyDescent="0.3"/>
    <row r="39602" s="160" customFormat="1" x14ac:dyDescent="0.3"/>
    <row r="39603" s="160" customFormat="1" x14ac:dyDescent="0.3"/>
    <row r="39604" s="160" customFormat="1" x14ac:dyDescent="0.3"/>
    <row r="39605" s="160" customFormat="1" x14ac:dyDescent="0.3"/>
    <row r="39606" s="160" customFormat="1" x14ac:dyDescent="0.3"/>
    <row r="39607" s="160" customFormat="1" x14ac:dyDescent="0.3"/>
    <row r="39608" s="160" customFormat="1" x14ac:dyDescent="0.3"/>
    <row r="39609" s="160" customFormat="1" x14ac:dyDescent="0.3"/>
    <row r="39610" s="160" customFormat="1" x14ac:dyDescent="0.3"/>
    <row r="39611" s="160" customFormat="1" x14ac:dyDescent="0.3"/>
    <row r="39612" s="160" customFormat="1" x14ac:dyDescent="0.3"/>
    <row r="39613" s="160" customFormat="1" x14ac:dyDescent="0.3"/>
    <row r="39614" s="160" customFormat="1" x14ac:dyDescent="0.3"/>
    <row r="39615" s="160" customFormat="1" x14ac:dyDescent="0.3"/>
    <row r="39616" s="160" customFormat="1" x14ac:dyDescent="0.3"/>
    <row r="39617" s="160" customFormat="1" x14ac:dyDescent="0.3"/>
    <row r="39618" s="160" customFormat="1" x14ac:dyDescent="0.3"/>
    <row r="39619" s="160" customFormat="1" x14ac:dyDescent="0.3"/>
    <row r="39620" s="160" customFormat="1" x14ac:dyDescent="0.3"/>
    <row r="39621" s="160" customFormat="1" x14ac:dyDescent="0.3"/>
    <row r="39622" s="160" customFormat="1" x14ac:dyDescent="0.3"/>
    <row r="39623" s="160" customFormat="1" x14ac:dyDescent="0.3"/>
    <row r="39624" s="160" customFormat="1" x14ac:dyDescent="0.3"/>
    <row r="39625" s="160" customFormat="1" x14ac:dyDescent="0.3"/>
    <row r="39626" s="160" customFormat="1" x14ac:dyDescent="0.3"/>
    <row r="39627" s="160" customFormat="1" x14ac:dyDescent="0.3"/>
    <row r="39628" s="160" customFormat="1" x14ac:dyDescent="0.3"/>
    <row r="39629" s="160" customFormat="1" x14ac:dyDescent="0.3"/>
    <row r="39630" s="160" customFormat="1" x14ac:dyDescent="0.3"/>
    <row r="39631" s="160" customFormat="1" x14ac:dyDescent="0.3"/>
    <row r="39632" s="160" customFormat="1" x14ac:dyDescent="0.3"/>
    <row r="39633" s="160" customFormat="1" x14ac:dyDescent="0.3"/>
    <row r="39634" s="160" customFormat="1" x14ac:dyDescent="0.3"/>
    <row r="39635" s="160" customFormat="1" x14ac:dyDescent="0.3"/>
    <row r="39636" s="160" customFormat="1" x14ac:dyDescent="0.3"/>
    <row r="39637" s="160" customFormat="1" x14ac:dyDescent="0.3"/>
    <row r="39638" s="160" customFormat="1" x14ac:dyDescent="0.3"/>
    <row r="39639" s="160" customFormat="1" x14ac:dyDescent="0.3"/>
    <row r="39640" s="160" customFormat="1" x14ac:dyDescent="0.3"/>
    <row r="39641" s="160" customFormat="1" x14ac:dyDescent="0.3"/>
    <row r="39642" s="160" customFormat="1" x14ac:dyDescent="0.3"/>
    <row r="39643" s="160" customFormat="1" x14ac:dyDescent="0.3"/>
    <row r="39644" s="160" customFormat="1" x14ac:dyDescent="0.3"/>
    <row r="39645" s="160" customFormat="1" x14ac:dyDescent="0.3"/>
    <row r="39646" s="160" customFormat="1" x14ac:dyDescent="0.3"/>
    <row r="39647" s="160" customFormat="1" x14ac:dyDescent="0.3"/>
    <row r="39648" s="160" customFormat="1" x14ac:dyDescent="0.3"/>
    <row r="39649" s="160" customFormat="1" x14ac:dyDescent="0.3"/>
    <row r="39650" s="160" customFormat="1" x14ac:dyDescent="0.3"/>
    <row r="39651" s="160" customFormat="1" x14ac:dyDescent="0.3"/>
    <row r="39652" s="160" customFormat="1" x14ac:dyDescent="0.3"/>
    <row r="39653" s="160" customFormat="1" x14ac:dyDescent="0.3"/>
    <row r="39654" s="160" customFormat="1" x14ac:dyDescent="0.3"/>
    <row r="39655" s="160" customFormat="1" x14ac:dyDescent="0.3"/>
    <row r="39656" s="160" customFormat="1" x14ac:dyDescent="0.3"/>
    <row r="39657" s="160" customFormat="1" x14ac:dyDescent="0.3"/>
    <row r="39658" s="160" customFormat="1" x14ac:dyDescent="0.3"/>
    <row r="39659" s="160" customFormat="1" x14ac:dyDescent="0.3"/>
    <row r="39660" s="160" customFormat="1" x14ac:dyDescent="0.3"/>
    <row r="39661" s="160" customFormat="1" x14ac:dyDescent="0.3"/>
    <row r="39662" s="160" customFormat="1" x14ac:dyDescent="0.3"/>
    <row r="39663" s="160" customFormat="1" x14ac:dyDescent="0.3"/>
    <row r="39664" s="160" customFormat="1" x14ac:dyDescent="0.3"/>
    <row r="39665" s="160" customFormat="1" x14ac:dyDescent="0.3"/>
    <row r="39666" s="160" customFormat="1" x14ac:dyDescent="0.3"/>
    <row r="39667" s="160" customFormat="1" x14ac:dyDescent="0.3"/>
    <row r="39668" s="160" customFormat="1" x14ac:dyDescent="0.3"/>
    <row r="39669" s="160" customFormat="1" x14ac:dyDescent="0.3"/>
    <row r="39670" s="160" customFormat="1" x14ac:dyDescent="0.3"/>
    <row r="39671" s="160" customFormat="1" x14ac:dyDescent="0.3"/>
    <row r="39672" s="160" customFormat="1" x14ac:dyDescent="0.3"/>
    <row r="39673" s="160" customFormat="1" x14ac:dyDescent="0.3"/>
    <row r="39674" s="160" customFormat="1" x14ac:dyDescent="0.3"/>
    <row r="39675" s="160" customFormat="1" x14ac:dyDescent="0.3"/>
    <row r="39676" s="160" customFormat="1" x14ac:dyDescent="0.3"/>
    <row r="39677" s="160" customFormat="1" x14ac:dyDescent="0.3"/>
    <row r="39678" s="160" customFormat="1" x14ac:dyDescent="0.3"/>
    <row r="39679" s="160" customFormat="1" x14ac:dyDescent="0.3"/>
    <row r="39680" s="160" customFormat="1" x14ac:dyDescent="0.3"/>
    <row r="39681" s="160" customFormat="1" x14ac:dyDescent="0.3"/>
    <row r="39682" s="160" customFormat="1" x14ac:dyDescent="0.3"/>
    <row r="39683" s="160" customFormat="1" x14ac:dyDescent="0.3"/>
    <row r="39684" s="160" customFormat="1" x14ac:dyDescent="0.3"/>
    <row r="39685" s="160" customFormat="1" x14ac:dyDescent="0.3"/>
    <row r="39686" s="160" customFormat="1" x14ac:dyDescent="0.3"/>
    <row r="39687" s="160" customFormat="1" x14ac:dyDescent="0.3"/>
    <row r="39688" s="160" customFormat="1" x14ac:dyDescent="0.3"/>
    <row r="39689" s="160" customFormat="1" x14ac:dyDescent="0.3"/>
    <row r="39690" s="160" customFormat="1" x14ac:dyDescent="0.3"/>
    <row r="39691" s="160" customFormat="1" x14ac:dyDescent="0.3"/>
    <row r="39692" s="160" customFormat="1" x14ac:dyDescent="0.3"/>
    <row r="39693" s="160" customFormat="1" x14ac:dyDescent="0.3"/>
    <row r="39694" s="160" customFormat="1" x14ac:dyDescent="0.3"/>
    <row r="39695" s="160" customFormat="1" x14ac:dyDescent="0.3"/>
    <row r="39696" s="160" customFormat="1" x14ac:dyDescent="0.3"/>
    <row r="39697" s="160" customFormat="1" x14ac:dyDescent="0.3"/>
    <row r="39698" s="160" customFormat="1" x14ac:dyDescent="0.3"/>
    <row r="39699" s="160" customFormat="1" x14ac:dyDescent="0.3"/>
    <row r="39700" s="160" customFormat="1" x14ac:dyDescent="0.3"/>
    <row r="39701" s="160" customFormat="1" x14ac:dyDescent="0.3"/>
    <row r="39702" s="160" customFormat="1" x14ac:dyDescent="0.3"/>
    <row r="39703" s="160" customFormat="1" x14ac:dyDescent="0.3"/>
    <row r="39704" s="160" customFormat="1" x14ac:dyDescent="0.3"/>
    <row r="39705" s="160" customFormat="1" x14ac:dyDescent="0.3"/>
    <row r="39706" s="160" customFormat="1" x14ac:dyDescent="0.3"/>
    <row r="39707" s="160" customFormat="1" x14ac:dyDescent="0.3"/>
    <row r="39708" s="160" customFormat="1" x14ac:dyDescent="0.3"/>
    <row r="39709" s="160" customFormat="1" x14ac:dyDescent="0.3"/>
    <row r="39710" s="160" customFormat="1" x14ac:dyDescent="0.3"/>
    <row r="39711" s="160" customFormat="1" x14ac:dyDescent="0.3"/>
    <row r="39712" s="160" customFormat="1" x14ac:dyDescent="0.3"/>
    <row r="39713" s="160" customFormat="1" x14ac:dyDescent="0.3"/>
    <row r="39714" s="160" customFormat="1" x14ac:dyDescent="0.3"/>
    <row r="39715" s="160" customFormat="1" x14ac:dyDescent="0.3"/>
    <row r="39716" s="160" customFormat="1" x14ac:dyDescent="0.3"/>
    <row r="39717" s="160" customFormat="1" x14ac:dyDescent="0.3"/>
    <row r="39718" s="160" customFormat="1" x14ac:dyDescent="0.3"/>
    <row r="39719" s="160" customFormat="1" x14ac:dyDescent="0.3"/>
    <row r="39720" s="160" customFormat="1" x14ac:dyDescent="0.3"/>
    <row r="39721" s="160" customFormat="1" x14ac:dyDescent="0.3"/>
    <row r="39722" s="160" customFormat="1" x14ac:dyDescent="0.3"/>
    <row r="39723" s="160" customFormat="1" x14ac:dyDescent="0.3"/>
    <row r="39724" s="160" customFormat="1" x14ac:dyDescent="0.3"/>
    <row r="39725" s="160" customFormat="1" x14ac:dyDescent="0.3"/>
    <row r="39726" s="160" customFormat="1" x14ac:dyDescent="0.3"/>
    <row r="39727" s="160" customFormat="1" x14ac:dyDescent="0.3"/>
    <row r="39728" s="160" customFormat="1" x14ac:dyDescent="0.3"/>
    <row r="39729" s="160" customFormat="1" x14ac:dyDescent="0.3"/>
    <row r="39730" s="160" customFormat="1" x14ac:dyDescent="0.3"/>
    <row r="39731" s="160" customFormat="1" x14ac:dyDescent="0.3"/>
    <row r="39732" s="160" customFormat="1" x14ac:dyDescent="0.3"/>
    <row r="39733" s="160" customFormat="1" x14ac:dyDescent="0.3"/>
    <row r="39734" s="160" customFormat="1" x14ac:dyDescent="0.3"/>
    <row r="39735" s="160" customFormat="1" x14ac:dyDescent="0.3"/>
    <row r="39736" s="160" customFormat="1" x14ac:dyDescent="0.3"/>
    <row r="39737" s="160" customFormat="1" x14ac:dyDescent="0.3"/>
    <row r="39738" s="160" customFormat="1" x14ac:dyDescent="0.3"/>
    <row r="39739" s="160" customFormat="1" x14ac:dyDescent="0.3"/>
    <row r="39740" s="160" customFormat="1" x14ac:dyDescent="0.3"/>
    <row r="39741" s="160" customFormat="1" x14ac:dyDescent="0.3"/>
    <row r="39742" s="160" customFormat="1" x14ac:dyDescent="0.3"/>
    <row r="39743" s="160" customFormat="1" x14ac:dyDescent="0.3"/>
    <row r="39744" s="160" customFormat="1" x14ac:dyDescent="0.3"/>
    <row r="39745" s="160" customFormat="1" x14ac:dyDescent="0.3"/>
    <row r="39746" s="160" customFormat="1" x14ac:dyDescent="0.3"/>
    <row r="39747" s="160" customFormat="1" x14ac:dyDescent="0.3"/>
    <row r="39748" s="160" customFormat="1" x14ac:dyDescent="0.3"/>
    <row r="39749" s="160" customFormat="1" x14ac:dyDescent="0.3"/>
    <row r="39750" s="160" customFormat="1" x14ac:dyDescent="0.3"/>
    <row r="39751" s="160" customFormat="1" x14ac:dyDescent="0.3"/>
    <row r="39752" s="160" customFormat="1" x14ac:dyDescent="0.3"/>
    <row r="39753" s="160" customFormat="1" x14ac:dyDescent="0.3"/>
    <row r="39754" s="160" customFormat="1" x14ac:dyDescent="0.3"/>
    <row r="39755" s="160" customFormat="1" x14ac:dyDescent="0.3"/>
    <row r="39756" s="160" customFormat="1" x14ac:dyDescent="0.3"/>
    <row r="39757" s="160" customFormat="1" x14ac:dyDescent="0.3"/>
    <row r="39758" s="160" customFormat="1" x14ac:dyDescent="0.3"/>
    <row r="39759" s="160" customFormat="1" x14ac:dyDescent="0.3"/>
    <row r="39760" s="160" customFormat="1" x14ac:dyDescent="0.3"/>
    <row r="39761" s="160" customFormat="1" x14ac:dyDescent="0.3"/>
    <row r="39762" s="160" customFormat="1" x14ac:dyDescent="0.3"/>
    <row r="39763" s="160" customFormat="1" x14ac:dyDescent="0.3"/>
    <row r="39764" s="160" customFormat="1" x14ac:dyDescent="0.3"/>
    <row r="39765" s="160" customFormat="1" x14ac:dyDescent="0.3"/>
    <row r="39766" s="160" customFormat="1" x14ac:dyDescent="0.3"/>
    <row r="39767" s="160" customFormat="1" x14ac:dyDescent="0.3"/>
    <row r="39768" s="160" customFormat="1" x14ac:dyDescent="0.3"/>
    <row r="39769" s="160" customFormat="1" x14ac:dyDescent="0.3"/>
    <row r="39770" s="160" customFormat="1" x14ac:dyDescent="0.3"/>
    <row r="39771" s="160" customFormat="1" x14ac:dyDescent="0.3"/>
    <row r="39772" s="160" customFormat="1" x14ac:dyDescent="0.3"/>
    <row r="39773" s="160" customFormat="1" x14ac:dyDescent="0.3"/>
    <row r="39774" s="160" customFormat="1" x14ac:dyDescent="0.3"/>
    <row r="39775" s="160" customFormat="1" x14ac:dyDescent="0.3"/>
    <row r="39776" s="160" customFormat="1" x14ac:dyDescent="0.3"/>
    <row r="39777" s="160" customFormat="1" x14ac:dyDescent="0.3"/>
    <row r="39778" s="160" customFormat="1" x14ac:dyDescent="0.3"/>
    <row r="39779" s="160" customFormat="1" x14ac:dyDescent="0.3"/>
    <row r="39780" s="160" customFormat="1" x14ac:dyDescent="0.3"/>
    <row r="39781" s="160" customFormat="1" x14ac:dyDescent="0.3"/>
    <row r="39782" s="160" customFormat="1" x14ac:dyDescent="0.3"/>
    <row r="39783" s="160" customFormat="1" x14ac:dyDescent="0.3"/>
    <row r="39784" s="160" customFormat="1" x14ac:dyDescent="0.3"/>
    <row r="39785" s="160" customFormat="1" x14ac:dyDescent="0.3"/>
    <row r="39786" s="160" customFormat="1" x14ac:dyDescent="0.3"/>
    <row r="39787" s="160" customFormat="1" x14ac:dyDescent="0.3"/>
    <row r="39788" s="160" customFormat="1" x14ac:dyDescent="0.3"/>
    <row r="39789" s="160" customFormat="1" x14ac:dyDescent="0.3"/>
    <row r="39790" s="160" customFormat="1" x14ac:dyDescent="0.3"/>
    <row r="39791" s="160" customFormat="1" x14ac:dyDescent="0.3"/>
    <row r="39792" s="160" customFormat="1" x14ac:dyDescent="0.3"/>
    <row r="39793" s="160" customFormat="1" x14ac:dyDescent="0.3"/>
    <row r="39794" s="160" customFormat="1" x14ac:dyDescent="0.3"/>
    <row r="39795" s="160" customFormat="1" x14ac:dyDescent="0.3"/>
    <row r="39796" s="160" customFormat="1" x14ac:dyDescent="0.3"/>
    <row r="39797" s="160" customFormat="1" x14ac:dyDescent="0.3"/>
    <row r="39798" s="160" customFormat="1" x14ac:dyDescent="0.3"/>
    <row r="39799" s="160" customFormat="1" x14ac:dyDescent="0.3"/>
    <row r="39800" s="160" customFormat="1" x14ac:dyDescent="0.3"/>
    <row r="39801" s="160" customFormat="1" x14ac:dyDescent="0.3"/>
    <row r="39802" s="160" customFormat="1" x14ac:dyDescent="0.3"/>
    <row r="39803" s="160" customFormat="1" x14ac:dyDescent="0.3"/>
    <row r="39804" s="160" customFormat="1" x14ac:dyDescent="0.3"/>
    <row r="39805" s="160" customFormat="1" x14ac:dyDescent="0.3"/>
    <row r="39806" s="160" customFormat="1" x14ac:dyDescent="0.3"/>
    <row r="39807" s="160" customFormat="1" x14ac:dyDescent="0.3"/>
    <row r="39808" s="160" customFormat="1" x14ac:dyDescent="0.3"/>
    <row r="39809" s="160" customFormat="1" x14ac:dyDescent="0.3"/>
    <row r="39810" s="160" customFormat="1" x14ac:dyDescent="0.3"/>
    <row r="39811" s="160" customFormat="1" x14ac:dyDescent="0.3"/>
    <row r="39812" s="160" customFormat="1" x14ac:dyDescent="0.3"/>
    <row r="39813" s="160" customFormat="1" x14ac:dyDescent="0.3"/>
    <row r="39814" s="160" customFormat="1" x14ac:dyDescent="0.3"/>
    <row r="39815" s="160" customFormat="1" x14ac:dyDescent="0.3"/>
    <row r="39816" s="160" customFormat="1" x14ac:dyDescent="0.3"/>
    <row r="39817" s="160" customFormat="1" x14ac:dyDescent="0.3"/>
    <row r="39818" s="160" customFormat="1" x14ac:dyDescent="0.3"/>
    <row r="39819" s="160" customFormat="1" x14ac:dyDescent="0.3"/>
    <row r="39820" s="160" customFormat="1" x14ac:dyDescent="0.3"/>
    <row r="39821" s="160" customFormat="1" x14ac:dyDescent="0.3"/>
    <row r="39822" s="160" customFormat="1" x14ac:dyDescent="0.3"/>
    <row r="39823" s="160" customFormat="1" x14ac:dyDescent="0.3"/>
    <row r="39824" s="160" customFormat="1" x14ac:dyDescent="0.3"/>
    <row r="39825" s="160" customFormat="1" x14ac:dyDescent="0.3"/>
    <row r="39826" s="160" customFormat="1" x14ac:dyDescent="0.3"/>
    <row r="39827" s="160" customFormat="1" x14ac:dyDescent="0.3"/>
    <row r="39828" s="160" customFormat="1" x14ac:dyDescent="0.3"/>
    <row r="39829" s="160" customFormat="1" x14ac:dyDescent="0.3"/>
    <row r="39830" s="160" customFormat="1" x14ac:dyDescent="0.3"/>
    <row r="39831" s="160" customFormat="1" x14ac:dyDescent="0.3"/>
    <row r="39832" s="160" customFormat="1" x14ac:dyDescent="0.3"/>
    <row r="39833" s="160" customFormat="1" x14ac:dyDescent="0.3"/>
    <row r="39834" s="160" customFormat="1" x14ac:dyDescent="0.3"/>
    <row r="39835" s="160" customFormat="1" x14ac:dyDescent="0.3"/>
    <row r="39836" s="160" customFormat="1" x14ac:dyDescent="0.3"/>
    <row r="39837" s="160" customFormat="1" x14ac:dyDescent="0.3"/>
    <row r="39838" s="160" customFormat="1" x14ac:dyDescent="0.3"/>
    <row r="39839" s="160" customFormat="1" x14ac:dyDescent="0.3"/>
    <row r="39840" s="160" customFormat="1" x14ac:dyDescent="0.3"/>
    <row r="39841" s="160" customFormat="1" x14ac:dyDescent="0.3"/>
    <row r="39842" s="160" customFormat="1" x14ac:dyDescent="0.3"/>
    <row r="39843" s="160" customFormat="1" x14ac:dyDescent="0.3"/>
    <row r="39844" s="160" customFormat="1" x14ac:dyDescent="0.3"/>
    <row r="39845" s="160" customFormat="1" x14ac:dyDescent="0.3"/>
    <row r="39846" s="160" customFormat="1" x14ac:dyDescent="0.3"/>
    <row r="39847" s="160" customFormat="1" x14ac:dyDescent="0.3"/>
    <row r="39848" s="160" customFormat="1" x14ac:dyDescent="0.3"/>
    <row r="39849" s="160" customFormat="1" x14ac:dyDescent="0.3"/>
    <row r="39850" s="160" customFormat="1" x14ac:dyDescent="0.3"/>
    <row r="39851" s="160" customFormat="1" x14ac:dyDescent="0.3"/>
    <row r="39852" s="160" customFormat="1" x14ac:dyDescent="0.3"/>
    <row r="39853" s="160" customFormat="1" x14ac:dyDescent="0.3"/>
    <row r="39854" s="160" customFormat="1" x14ac:dyDescent="0.3"/>
    <row r="39855" s="160" customFormat="1" x14ac:dyDescent="0.3"/>
    <row r="39856" s="160" customFormat="1" x14ac:dyDescent="0.3"/>
    <row r="39857" s="160" customFormat="1" x14ac:dyDescent="0.3"/>
    <row r="39858" s="160" customFormat="1" x14ac:dyDescent="0.3"/>
    <row r="39859" s="160" customFormat="1" x14ac:dyDescent="0.3"/>
    <row r="39860" s="160" customFormat="1" x14ac:dyDescent="0.3"/>
    <row r="39861" s="160" customFormat="1" x14ac:dyDescent="0.3"/>
    <row r="39862" s="160" customFormat="1" x14ac:dyDescent="0.3"/>
    <row r="39863" s="160" customFormat="1" x14ac:dyDescent="0.3"/>
    <row r="39864" s="160" customFormat="1" x14ac:dyDescent="0.3"/>
    <row r="39865" s="160" customFormat="1" x14ac:dyDescent="0.3"/>
    <row r="39866" s="160" customFormat="1" x14ac:dyDescent="0.3"/>
    <row r="39867" s="160" customFormat="1" x14ac:dyDescent="0.3"/>
    <row r="39868" s="160" customFormat="1" x14ac:dyDescent="0.3"/>
    <row r="39869" s="160" customFormat="1" x14ac:dyDescent="0.3"/>
    <row r="39870" s="160" customFormat="1" x14ac:dyDescent="0.3"/>
    <row r="39871" s="160" customFormat="1" x14ac:dyDescent="0.3"/>
    <row r="39872" s="160" customFormat="1" x14ac:dyDescent="0.3"/>
    <row r="39873" s="160" customFormat="1" x14ac:dyDescent="0.3"/>
    <row r="39874" s="160" customFormat="1" x14ac:dyDescent="0.3"/>
    <row r="39875" s="160" customFormat="1" x14ac:dyDescent="0.3"/>
    <row r="39876" s="160" customFormat="1" x14ac:dyDescent="0.3"/>
    <row r="39877" s="160" customFormat="1" x14ac:dyDescent="0.3"/>
    <row r="39878" s="160" customFormat="1" x14ac:dyDescent="0.3"/>
    <row r="39879" s="160" customFormat="1" x14ac:dyDescent="0.3"/>
    <row r="39880" s="160" customFormat="1" x14ac:dyDescent="0.3"/>
    <row r="39881" s="160" customFormat="1" x14ac:dyDescent="0.3"/>
    <row r="39882" s="160" customFormat="1" x14ac:dyDescent="0.3"/>
    <row r="39883" s="160" customFormat="1" x14ac:dyDescent="0.3"/>
    <row r="39884" s="160" customFormat="1" x14ac:dyDescent="0.3"/>
    <row r="39885" s="160" customFormat="1" x14ac:dyDescent="0.3"/>
    <row r="39886" s="160" customFormat="1" x14ac:dyDescent="0.3"/>
    <row r="39887" s="160" customFormat="1" x14ac:dyDescent="0.3"/>
    <row r="39888" s="160" customFormat="1" x14ac:dyDescent="0.3"/>
    <row r="39889" s="160" customFormat="1" x14ac:dyDescent="0.3"/>
    <row r="39890" s="160" customFormat="1" x14ac:dyDescent="0.3"/>
    <row r="39891" s="160" customFormat="1" x14ac:dyDescent="0.3"/>
    <row r="39892" s="160" customFormat="1" x14ac:dyDescent="0.3"/>
    <row r="39893" s="160" customFormat="1" x14ac:dyDescent="0.3"/>
    <row r="39894" s="160" customFormat="1" x14ac:dyDescent="0.3"/>
    <row r="39895" s="160" customFormat="1" x14ac:dyDescent="0.3"/>
    <row r="39896" s="160" customFormat="1" x14ac:dyDescent="0.3"/>
    <row r="39897" s="160" customFormat="1" x14ac:dyDescent="0.3"/>
    <row r="39898" s="160" customFormat="1" x14ac:dyDescent="0.3"/>
    <row r="39899" s="160" customFormat="1" x14ac:dyDescent="0.3"/>
    <row r="39900" s="160" customFormat="1" x14ac:dyDescent="0.3"/>
    <row r="39901" s="160" customFormat="1" x14ac:dyDescent="0.3"/>
    <row r="39902" s="160" customFormat="1" x14ac:dyDescent="0.3"/>
    <row r="39903" s="160" customFormat="1" x14ac:dyDescent="0.3"/>
    <row r="39904" s="160" customFormat="1" x14ac:dyDescent="0.3"/>
    <row r="39905" s="160" customFormat="1" x14ac:dyDescent="0.3"/>
    <row r="39906" s="160" customFormat="1" x14ac:dyDescent="0.3"/>
    <row r="39907" s="160" customFormat="1" x14ac:dyDescent="0.3"/>
    <row r="39908" s="160" customFormat="1" x14ac:dyDescent="0.3"/>
    <row r="39909" s="160" customFormat="1" x14ac:dyDescent="0.3"/>
    <row r="39910" s="160" customFormat="1" x14ac:dyDescent="0.3"/>
    <row r="39911" s="160" customFormat="1" x14ac:dyDescent="0.3"/>
    <row r="39912" s="160" customFormat="1" x14ac:dyDescent="0.3"/>
    <row r="39913" s="160" customFormat="1" x14ac:dyDescent="0.3"/>
    <row r="39914" s="160" customFormat="1" x14ac:dyDescent="0.3"/>
    <row r="39915" s="160" customFormat="1" x14ac:dyDescent="0.3"/>
    <row r="39916" s="160" customFormat="1" x14ac:dyDescent="0.3"/>
    <row r="39917" s="160" customFormat="1" x14ac:dyDescent="0.3"/>
    <row r="39918" s="160" customFormat="1" x14ac:dyDescent="0.3"/>
    <row r="39919" s="160" customFormat="1" x14ac:dyDescent="0.3"/>
    <row r="39920" s="160" customFormat="1" x14ac:dyDescent="0.3"/>
    <row r="39921" s="160" customFormat="1" x14ac:dyDescent="0.3"/>
    <row r="39922" s="160" customFormat="1" x14ac:dyDescent="0.3"/>
    <row r="39923" s="160" customFormat="1" x14ac:dyDescent="0.3"/>
    <row r="39924" s="160" customFormat="1" x14ac:dyDescent="0.3"/>
    <row r="39925" s="160" customFormat="1" x14ac:dyDescent="0.3"/>
    <row r="39926" s="160" customFormat="1" x14ac:dyDescent="0.3"/>
    <row r="39927" s="160" customFormat="1" x14ac:dyDescent="0.3"/>
    <row r="39928" s="160" customFormat="1" x14ac:dyDescent="0.3"/>
    <row r="39929" s="160" customFormat="1" x14ac:dyDescent="0.3"/>
    <row r="39930" s="160" customFormat="1" x14ac:dyDescent="0.3"/>
    <row r="39931" s="160" customFormat="1" x14ac:dyDescent="0.3"/>
    <row r="39932" s="160" customFormat="1" x14ac:dyDescent="0.3"/>
    <row r="39933" s="160" customFormat="1" x14ac:dyDescent="0.3"/>
    <row r="39934" s="160" customFormat="1" x14ac:dyDescent="0.3"/>
    <row r="39935" s="160" customFormat="1" x14ac:dyDescent="0.3"/>
    <row r="39936" s="160" customFormat="1" x14ac:dyDescent="0.3"/>
    <row r="39937" s="160" customFormat="1" x14ac:dyDescent="0.3"/>
    <row r="39938" s="160" customFormat="1" x14ac:dyDescent="0.3"/>
    <row r="39939" s="160" customFormat="1" x14ac:dyDescent="0.3"/>
    <row r="39940" s="160" customFormat="1" x14ac:dyDescent="0.3"/>
    <row r="39941" s="160" customFormat="1" x14ac:dyDescent="0.3"/>
    <row r="39942" s="160" customFormat="1" x14ac:dyDescent="0.3"/>
    <row r="39943" s="160" customFormat="1" x14ac:dyDescent="0.3"/>
    <row r="39944" s="160" customFormat="1" x14ac:dyDescent="0.3"/>
    <row r="39945" s="160" customFormat="1" x14ac:dyDescent="0.3"/>
    <row r="39946" s="160" customFormat="1" x14ac:dyDescent="0.3"/>
    <row r="39947" s="160" customFormat="1" x14ac:dyDescent="0.3"/>
    <row r="39948" s="160" customFormat="1" x14ac:dyDescent="0.3"/>
    <row r="39949" s="160" customFormat="1" x14ac:dyDescent="0.3"/>
    <row r="39950" s="160" customFormat="1" x14ac:dyDescent="0.3"/>
    <row r="39951" s="160" customFormat="1" x14ac:dyDescent="0.3"/>
    <row r="39952" s="160" customFormat="1" x14ac:dyDescent="0.3"/>
    <row r="39953" s="160" customFormat="1" x14ac:dyDescent="0.3"/>
    <row r="39954" s="160" customFormat="1" x14ac:dyDescent="0.3"/>
    <row r="39955" s="160" customFormat="1" x14ac:dyDescent="0.3"/>
    <row r="39956" s="160" customFormat="1" x14ac:dyDescent="0.3"/>
    <row r="39957" s="160" customFormat="1" x14ac:dyDescent="0.3"/>
    <row r="39958" s="160" customFormat="1" x14ac:dyDescent="0.3"/>
    <row r="39959" s="160" customFormat="1" x14ac:dyDescent="0.3"/>
    <row r="39960" s="160" customFormat="1" x14ac:dyDescent="0.3"/>
    <row r="39961" s="160" customFormat="1" x14ac:dyDescent="0.3"/>
    <row r="39962" s="160" customFormat="1" x14ac:dyDescent="0.3"/>
    <row r="39963" s="160" customFormat="1" x14ac:dyDescent="0.3"/>
    <row r="39964" s="160" customFormat="1" x14ac:dyDescent="0.3"/>
    <row r="39965" s="160" customFormat="1" x14ac:dyDescent="0.3"/>
    <row r="39966" s="160" customFormat="1" x14ac:dyDescent="0.3"/>
    <row r="39967" s="160" customFormat="1" x14ac:dyDescent="0.3"/>
    <row r="39968" s="160" customFormat="1" x14ac:dyDescent="0.3"/>
    <row r="39969" s="160" customFormat="1" x14ac:dyDescent="0.3"/>
    <row r="39970" s="160" customFormat="1" x14ac:dyDescent="0.3"/>
    <row r="39971" s="160" customFormat="1" x14ac:dyDescent="0.3"/>
    <row r="39972" s="160" customFormat="1" x14ac:dyDescent="0.3"/>
    <row r="39973" s="160" customFormat="1" x14ac:dyDescent="0.3"/>
    <row r="39974" s="160" customFormat="1" x14ac:dyDescent="0.3"/>
    <row r="39975" s="160" customFormat="1" x14ac:dyDescent="0.3"/>
    <row r="39976" s="160" customFormat="1" x14ac:dyDescent="0.3"/>
    <row r="39977" s="160" customFormat="1" x14ac:dyDescent="0.3"/>
    <row r="39978" s="160" customFormat="1" x14ac:dyDescent="0.3"/>
    <row r="39979" s="160" customFormat="1" x14ac:dyDescent="0.3"/>
    <row r="39980" s="160" customFormat="1" x14ac:dyDescent="0.3"/>
    <row r="39981" s="160" customFormat="1" x14ac:dyDescent="0.3"/>
    <row r="39982" s="160" customFormat="1" x14ac:dyDescent="0.3"/>
    <row r="39983" s="160" customFormat="1" x14ac:dyDescent="0.3"/>
    <row r="39984" s="160" customFormat="1" x14ac:dyDescent="0.3"/>
    <row r="39985" s="160" customFormat="1" x14ac:dyDescent="0.3"/>
    <row r="39986" s="160" customFormat="1" x14ac:dyDescent="0.3"/>
    <row r="39987" s="160" customFormat="1" x14ac:dyDescent="0.3"/>
    <row r="39988" s="160" customFormat="1" x14ac:dyDescent="0.3"/>
    <row r="39989" s="160" customFormat="1" x14ac:dyDescent="0.3"/>
    <row r="39990" s="160" customFormat="1" x14ac:dyDescent="0.3"/>
    <row r="39991" s="160" customFormat="1" x14ac:dyDescent="0.3"/>
    <row r="39992" s="160" customFormat="1" x14ac:dyDescent="0.3"/>
    <row r="39993" s="160" customFormat="1" x14ac:dyDescent="0.3"/>
    <row r="39994" s="160" customFormat="1" x14ac:dyDescent="0.3"/>
    <row r="39995" s="160" customFormat="1" x14ac:dyDescent="0.3"/>
    <row r="39996" s="160" customFormat="1" x14ac:dyDescent="0.3"/>
    <row r="39997" s="160" customFormat="1" x14ac:dyDescent="0.3"/>
    <row r="39998" s="160" customFormat="1" x14ac:dyDescent="0.3"/>
    <row r="39999" s="160" customFormat="1" x14ac:dyDescent="0.3"/>
    <row r="40000" s="160" customFormat="1" x14ac:dyDescent="0.3"/>
    <row r="40001" s="160" customFormat="1" x14ac:dyDescent="0.3"/>
    <row r="40002" s="160" customFormat="1" x14ac:dyDescent="0.3"/>
    <row r="40003" s="160" customFormat="1" x14ac:dyDescent="0.3"/>
    <row r="40004" s="160" customFormat="1" x14ac:dyDescent="0.3"/>
    <row r="40005" s="160" customFormat="1" x14ac:dyDescent="0.3"/>
    <row r="40006" s="160" customFormat="1" x14ac:dyDescent="0.3"/>
    <row r="40007" s="160" customFormat="1" x14ac:dyDescent="0.3"/>
    <row r="40008" s="160" customFormat="1" x14ac:dyDescent="0.3"/>
    <row r="40009" s="160" customFormat="1" x14ac:dyDescent="0.3"/>
    <row r="40010" s="160" customFormat="1" x14ac:dyDescent="0.3"/>
    <row r="40011" s="160" customFormat="1" x14ac:dyDescent="0.3"/>
    <row r="40012" s="160" customFormat="1" x14ac:dyDescent="0.3"/>
    <row r="40013" s="160" customFormat="1" x14ac:dyDescent="0.3"/>
    <row r="40014" s="160" customFormat="1" x14ac:dyDescent="0.3"/>
    <row r="40015" s="160" customFormat="1" x14ac:dyDescent="0.3"/>
    <row r="40016" s="160" customFormat="1" x14ac:dyDescent="0.3"/>
    <row r="40017" s="160" customFormat="1" x14ac:dyDescent="0.3"/>
    <row r="40018" s="160" customFormat="1" x14ac:dyDescent="0.3"/>
    <row r="40019" s="160" customFormat="1" x14ac:dyDescent="0.3"/>
    <row r="40020" s="160" customFormat="1" x14ac:dyDescent="0.3"/>
    <row r="40021" s="160" customFormat="1" x14ac:dyDescent="0.3"/>
    <row r="40022" s="160" customFormat="1" x14ac:dyDescent="0.3"/>
    <row r="40023" s="160" customFormat="1" x14ac:dyDescent="0.3"/>
    <row r="40024" s="160" customFormat="1" x14ac:dyDescent="0.3"/>
    <row r="40025" s="160" customFormat="1" x14ac:dyDescent="0.3"/>
    <row r="40026" s="160" customFormat="1" x14ac:dyDescent="0.3"/>
    <row r="40027" s="160" customFormat="1" x14ac:dyDescent="0.3"/>
    <row r="40028" s="160" customFormat="1" x14ac:dyDescent="0.3"/>
    <row r="40029" s="160" customFormat="1" x14ac:dyDescent="0.3"/>
    <row r="40030" s="160" customFormat="1" x14ac:dyDescent="0.3"/>
    <row r="40031" s="160" customFormat="1" x14ac:dyDescent="0.3"/>
    <row r="40032" s="160" customFormat="1" x14ac:dyDescent="0.3"/>
    <row r="40033" s="160" customFormat="1" x14ac:dyDescent="0.3"/>
    <row r="40034" s="160" customFormat="1" x14ac:dyDescent="0.3"/>
    <row r="40035" s="160" customFormat="1" x14ac:dyDescent="0.3"/>
    <row r="40036" s="160" customFormat="1" x14ac:dyDescent="0.3"/>
    <row r="40037" s="160" customFormat="1" x14ac:dyDescent="0.3"/>
    <row r="40038" s="160" customFormat="1" x14ac:dyDescent="0.3"/>
    <row r="40039" s="160" customFormat="1" x14ac:dyDescent="0.3"/>
    <row r="40040" s="160" customFormat="1" x14ac:dyDescent="0.3"/>
    <row r="40041" s="160" customFormat="1" x14ac:dyDescent="0.3"/>
    <row r="40042" s="160" customFormat="1" x14ac:dyDescent="0.3"/>
    <row r="40043" s="160" customFormat="1" x14ac:dyDescent="0.3"/>
    <row r="40044" s="160" customFormat="1" x14ac:dyDescent="0.3"/>
    <row r="40045" s="160" customFormat="1" x14ac:dyDescent="0.3"/>
    <row r="40046" s="160" customFormat="1" x14ac:dyDescent="0.3"/>
    <row r="40047" s="160" customFormat="1" x14ac:dyDescent="0.3"/>
    <row r="40048" s="160" customFormat="1" x14ac:dyDescent="0.3"/>
    <row r="40049" s="160" customFormat="1" x14ac:dyDescent="0.3"/>
    <row r="40050" s="160" customFormat="1" x14ac:dyDescent="0.3"/>
    <row r="40051" s="160" customFormat="1" x14ac:dyDescent="0.3"/>
    <row r="40052" s="160" customFormat="1" x14ac:dyDescent="0.3"/>
    <row r="40053" s="160" customFormat="1" x14ac:dyDescent="0.3"/>
    <row r="40054" s="160" customFormat="1" x14ac:dyDescent="0.3"/>
    <row r="40055" s="160" customFormat="1" x14ac:dyDescent="0.3"/>
    <row r="40056" s="160" customFormat="1" x14ac:dyDescent="0.3"/>
    <row r="40057" s="160" customFormat="1" x14ac:dyDescent="0.3"/>
    <row r="40058" s="160" customFormat="1" x14ac:dyDescent="0.3"/>
    <row r="40059" s="160" customFormat="1" x14ac:dyDescent="0.3"/>
    <row r="40060" s="160" customFormat="1" x14ac:dyDescent="0.3"/>
    <row r="40061" s="160" customFormat="1" x14ac:dyDescent="0.3"/>
    <row r="40062" s="160" customFormat="1" x14ac:dyDescent="0.3"/>
    <row r="40063" s="160" customFormat="1" x14ac:dyDescent="0.3"/>
    <row r="40064" s="160" customFormat="1" x14ac:dyDescent="0.3"/>
    <row r="40065" s="160" customFormat="1" x14ac:dyDescent="0.3"/>
    <row r="40066" s="160" customFormat="1" x14ac:dyDescent="0.3"/>
    <row r="40067" s="160" customFormat="1" x14ac:dyDescent="0.3"/>
    <row r="40068" s="160" customFormat="1" x14ac:dyDescent="0.3"/>
    <row r="40069" s="160" customFormat="1" x14ac:dyDescent="0.3"/>
    <row r="40070" s="160" customFormat="1" x14ac:dyDescent="0.3"/>
    <row r="40071" s="160" customFormat="1" x14ac:dyDescent="0.3"/>
    <row r="40072" s="160" customFormat="1" x14ac:dyDescent="0.3"/>
    <row r="40073" s="160" customFormat="1" x14ac:dyDescent="0.3"/>
    <row r="40074" s="160" customFormat="1" x14ac:dyDescent="0.3"/>
    <row r="40075" s="160" customFormat="1" x14ac:dyDescent="0.3"/>
    <row r="40076" s="160" customFormat="1" x14ac:dyDescent="0.3"/>
    <row r="40077" s="160" customFormat="1" x14ac:dyDescent="0.3"/>
    <row r="40078" s="160" customFormat="1" x14ac:dyDescent="0.3"/>
    <row r="40079" s="160" customFormat="1" x14ac:dyDescent="0.3"/>
    <row r="40080" s="160" customFormat="1" x14ac:dyDescent="0.3"/>
    <row r="40081" s="160" customFormat="1" x14ac:dyDescent="0.3"/>
    <row r="40082" s="160" customFormat="1" x14ac:dyDescent="0.3"/>
    <row r="40083" s="160" customFormat="1" x14ac:dyDescent="0.3"/>
    <row r="40084" s="160" customFormat="1" x14ac:dyDescent="0.3"/>
    <row r="40085" s="160" customFormat="1" x14ac:dyDescent="0.3"/>
    <row r="40086" s="160" customFormat="1" x14ac:dyDescent="0.3"/>
    <row r="40087" s="160" customFormat="1" x14ac:dyDescent="0.3"/>
    <row r="40088" s="160" customFormat="1" x14ac:dyDescent="0.3"/>
    <row r="40089" s="160" customFormat="1" x14ac:dyDescent="0.3"/>
    <row r="40090" s="160" customFormat="1" x14ac:dyDescent="0.3"/>
    <row r="40091" s="160" customFormat="1" x14ac:dyDescent="0.3"/>
    <row r="40092" s="160" customFormat="1" x14ac:dyDescent="0.3"/>
    <row r="40093" s="160" customFormat="1" x14ac:dyDescent="0.3"/>
    <row r="40094" s="160" customFormat="1" x14ac:dyDescent="0.3"/>
    <row r="40095" s="160" customFormat="1" x14ac:dyDescent="0.3"/>
    <row r="40096" s="160" customFormat="1" x14ac:dyDescent="0.3"/>
    <row r="40097" s="160" customFormat="1" x14ac:dyDescent="0.3"/>
    <row r="40098" s="160" customFormat="1" x14ac:dyDescent="0.3"/>
    <row r="40099" s="160" customFormat="1" x14ac:dyDescent="0.3"/>
    <row r="40100" s="160" customFormat="1" x14ac:dyDescent="0.3"/>
    <row r="40101" s="160" customFormat="1" x14ac:dyDescent="0.3"/>
    <row r="40102" s="160" customFormat="1" x14ac:dyDescent="0.3"/>
    <row r="40103" s="160" customFormat="1" x14ac:dyDescent="0.3"/>
    <row r="40104" s="160" customFormat="1" x14ac:dyDescent="0.3"/>
    <row r="40105" s="160" customFormat="1" x14ac:dyDescent="0.3"/>
    <row r="40106" s="160" customFormat="1" x14ac:dyDescent="0.3"/>
    <row r="40107" s="160" customFormat="1" x14ac:dyDescent="0.3"/>
    <row r="40108" s="160" customFormat="1" x14ac:dyDescent="0.3"/>
    <row r="40109" s="160" customFormat="1" x14ac:dyDescent="0.3"/>
    <row r="40110" s="160" customFormat="1" x14ac:dyDescent="0.3"/>
    <row r="40111" s="160" customFormat="1" x14ac:dyDescent="0.3"/>
    <row r="40112" s="160" customFormat="1" x14ac:dyDescent="0.3"/>
    <row r="40113" s="160" customFormat="1" x14ac:dyDescent="0.3"/>
    <row r="40114" s="160" customFormat="1" x14ac:dyDescent="0.3"/>
    <row r="40115" s="160" customFormat="1" x14ac:dyDescent="0.3"/>
    <row r="40116" s="160" customFormat="1" x14ac:dyDescent="0.3"/>
    <row r="40117" s="160" customFormat="1" x14ac:dyDescent="0.3"/>
    <row r="40118" s="160" customFormat="1" x14ac:dyDescent="0.3"/>
    <row r="40119" s="160" customFormat="1" x14ac:dyDescent="0.3"/>
    <row r="40120" s="160" customFormat="1" x14ac:dyDescent="0.3"/>
    <row r="40121" s="160" customFormat="1" x14ac:dyDescent="0.3"/>
    <row r="40122" s="160" customFormat="1" x14ac:dyDescent="0.3"/>
    <row r="40123" s="160" customFormat="1" x14ac:dyDescent="0.3"/>
    <row r="40124" s="160" customFormat="1" x14ac:dyDescent="0.3"/>
    <row r="40125" s="160" customFormat="1" x14ac:dyDescent="0.3"/>
    <row r="40126" s="160" customFormat="1" x14ac:dyDescent="0.3"/>
    <row r="40127" s="160" customFormat="1" x14ac:dyDescent="0.3"/>
    <row r="40128" s="160" customFormat="1" x14ac:dyDescent="0.3"/>
    <row r="40129" s="160" customFormat="1" x14ac:dyDescent="0.3"/>
    <row r="40130" s="160" customFormat="1" x14ac:dyDescent="0.3"/>
    <row r="40131" s="160" customFormat="1" x14ac:dyDescent="0.3"/>
    <row r="40132" s="160" customFormat="1" x14ac:dyDescent="0.3"/>
    <row r="40133" s="160" customFormat="1" x14ac:dyDescent="0.3"/>
    <row r="40134" s="160" customFormat="1" x14ac:dyDescent="0.3"/>
    <row r="40135" s="160" customFormat="1" x14ac:dyDescent="0.3"/>
    <row r="40136" s="160" customFormat="1" x14ac:dyDescent="0.3"/>
    <row r="40137" s="160" customFormat="1" x14ac:dyDescent="0.3"/>
    <row r="40138" s="160" customFormat="1" x14ac:dyDescent="0.3"/>
    <row r="40139" s="160" customFormat="1" x14ac:dyDescent="0.3"/>
    <row r="40140" s="160" customFormat="1" x14ac:dyDescent="0.3"/>
    <row r="40141" s="160" customFormat="1" x14ac:dyDescent="0.3"/>
    <row r="40142" s="160" customFormat="1" x14ac:dyDescent="0.3"/>
    <row r="40143" s="160" customFormat="1" x14ac:dyDescent="0.3"/>
    <row r="40144" s="160" customFormat="1" x14ac:dyDescent="0.3"/>
    <row r="40145" s="160" customFormat="1" x14ac:dyDescent="0.3"/>
    <row r="40146" s="160" customFormat="1" x14ac:dyDescent="0.3"/>
    <row r="40147" s="160" customFormat="1" x14ac:dyDescent="0.3"/>
    <row r="40148" s="160" customFormat="1" x14ac:dyDescent="0.3"/>
    <row r="40149" s="160" customFormat="1" x14ac:dyDescent="0.3"/>
    <row r="40150" s="160" customFormat="1" x14ac:dyDescent="0.3"/>
    <row r="40151" s="160" customFormat="1" x14ac:dyDescent="0.3"/>
    <row r="40152" s="160" customFormat="1" x14ac:dyDescent="0.3"/>
    <row r="40153" s="160" customFormat="1" x14ac:dyDescent="0.3"/>
    <row r="40154" s="160" customFormat="1" x14ac:dyDescent="0.3"/>
    <row r="40155" s="160" customFormat="1" x14ac:dyDescent="0.3"/>
    <row r="40156" s="160" customFormat="1" x14ac:dyDescent="0.3"/>
    <row r="40157" s="160" customFormat="1" x14ac:dyDescent="0.3"/>
    <row r="40158" s="160" customFormat="1" x14ac:dyDescent="0.3"/>
    <row r="40159" s="160" customFormat="1" x14ac:dyDescent="0.3"/>
    <row r="40160" s="160" customFormat="1" x14ac:dyDescent="0.3"/>
    <row r="40161" s="160" customFormat="1" x14ac:dyDescent="0.3"/>
    <row r="40162" s="160" customFormat="1" x14ac:dyDescent="0.3"/>
    <row r="40163" s="160" customFormat="1" x14ac:dyDescent="0.3"/>
    <row r="40164" s="160" customFormat="1" x14ac:dyDescent="0.3"/>
    <row r="40165" s="160" customFormat="1" x14ac:dyDescent="0.3"/>
    <row r="40166" s="160" customFormat="1" x14ac:dyDescent="0.3"/>
    <row r="40167" s="160" customFormat="1" x14ac:dyDescent="0.3"/>
    <row r="40168" s="160" customFormat="1" x14ac:dyDescent="0.3"/>
    <row r="40169" s="160" customFormat="1" x14ac:dyDescent="0.3"/>
    <row r="40170" s="160" customFormat="1" x14ac:dyDescent="0.3"/>
    <row r="40171" s="160" customFormat="1" x14ac:dyDescent="0.3"/>
    <row r="40172" s="160" customFormat="1" x14ac:dyDescent="0.3"/>
    <row r="40173" s="160" customFormat="1" x14ac:dyDescent="0.3"/>
    <row r="40174" s="160" customFormat="1" x14ac:dyDescent="0.3"/>
    <row r="40175" s="160" customFormat="1" x14ac:dyDescent="0.3"/>
    <row r="40176" s="160" customFormat="1" x14ac:dyDescent="0.3"/>
    <row r="40177" s="160" customFormat="1" x14ac:dyDescent="0.3"/>
    <row r="40178" s="160" customFormat="1" x14ac:dyDescent="0.3"/>
    <row r="40179" s="160" customFormat="1" x14ac:dyDescent="0.3"/>
    <row r="40180" s="160" customFormat="1" x14ac:dyDescent="0.3"/>
    <row r="40181" s="160" customFormat="1" x14ac:dyDescent="0.3"/>
    <row r="40182" s="160" customFormat="1" x14ac:dyDescent="0.3"/>
    <row r="40183" s="160" customFormat="1" x14ac:dyDescent="0.3"/>
    <row r="40184" s="160" customFormat="1" x14ac:dyDescent="0.3"/>
    <row r="40185" s="160" customFormat="1" x14ac:dyDescent="0.3"/>
    <row r="40186" s="160" customFormat="1" x14ac:dyDescent="0.3"/>
    <row r="40187" s="160" customFormat="1" x14ac:dyDescent="0.3"/>
    <row r="40188" s="160" customFormat="1" x14ac:dyDescent="0.3"/>
    <row r="40189" s="160" customFormat="1" x14ac:dyDescent="0.3"/>
    <row r="40190" s="160" customFormat="1" x14ac:dyDescent="0.3"/>
    <row r="40191" s="160" customFormat="1" x14ac:dyDescent="0.3"/>
    <row r="40192" s="160" customFormat="1" x14ac:dyDescent="0.3"/>
    <row r="40193" s="160" customFormat="1" x14ac:dyDescent="0.3"/>
    <row r="40194" s="160" customFormat="1" x14ac:dyDescent="0.3"/>
    <row r="40195" s="160" customFormat="1" x14ac:dyDescent="0.3"/>
    <row r="40196" s="160" customFormat="1" x14ac:dyDescent="0.3"/>
    <row r="40197" s="160" customFormat="1" x14ac:dyDescent="0.3"/>
    <row r="40198" s="160" customFormat="1" x14ac:dyDescent="0.3"/>
    <row r="40199" s="160" customFormat="1" x14ac:dyDescent="0.3"/>
    <row r="40200" s="160" customFormat="1" x14ac:dyDescent="0.3"/>
    <row r="40201" s="160" customFormat="1" x14ac:dyDescent="0.3"/>
    <row r="40202" s="160" customFormat="1" x14ac:dyDescent="0.3"/>
    <row r="40203" s="160" customFormat="1" x14ac:dyDescent="0.3"/>
    <row r="40204" s="160" customFormat="1" x14ac:dyDescent="0.3"/>
    <row r="40205" s="160" customFormat="1" x14ac:dyDescent="0.3"/>
    <row r="40206" s="160" customFormat="1" x14ac:dyDescent="0.3"/>
    <row r="40207" s="160" customFormat="1" x14ac:dyDescent="0.3"/>
    <row r="40208" s="160" customFormat="1" x14ac:dyDescent="0.3"/>
    <row r="40209" s="160" customFormat="1" x14ac:dyDescent="0.3"/>
    <row r="40210" s="160" customFormat="1" x14ac:dyDescent="0.3"/>
    <row r="40211" s="160" customFormat="1" x14ac:dyDescent="0.3"/>
    <row r="40212" s="160" customFormat="1" x14ac:dyDescent="0.3"/>
    <row r="40213" s="160" customFormat="1" x14ac:dyDescent="0.3"/>
    <row r="40214" s="160" customFormat="1" x14ac:dyDescent="0.3"/>
    <row r="40215" s="160" customFormat="1" x14ac:dyDescent="0.3"/>
    <row r="40216" s="160" customFormat="1" x14ac:dyDescent="0.3"/>
    <row r="40217" s="160" customFormat="1" x14ac:dyDescent="0.3"/>
    <row r="40218" s="160" customFormat="1" x14ac:dyDescent="0.3"/>
    <row r="40219" s="160" customFormat="1" x14ac:dyDescent="0.3"/>
    <row r="40220" s="160" customFormat="1" x14ac:dyDescent="0.3"/>
    <row r="40221" s="160" customFormat="1" x14ac:dyDescent="0.3"/>
    <row r="40222" s="160" customFormat="1" x14ac:dyDescent="0.3"/>
    <row r="40223" s="160" customFormat="1" x14ac:dyDescent="0.3"/>
    <row r="40224" s="160" customFormat="1" x14ac:dyDescent="0.3"/>
    <row r="40225" s="160" customFormat="1" x14ac:dyDescent="0.3"/>
    <row r="40226" s="160" customFormat="1" x14ac:dyDescent="0.3"/>
    <row r="40227" s="160" customFormat="1" x14ac:dyDescent="0.3"/>
    <row r="40228" s="160" customFormat="1" x14ac:dyDescent="0.3"/>
    <row r="40229" s="160" customFormat="1" x14ac:dyDescent="0.3"/>
    <row r="40230" s="160" customFormat="1" x14ac:dyDescent="0.3"/>
    <row r="40231" s="160" customFormat="1" x14ac:dyDescent="0.3"/>
    <row r="40232" s="160" customFormat="1" x14ac:dyDescent="0.3"/>
    <row r="40233" s="160" customFormat="1" x14ac:dyDescent="0.3"/>
    <row r="40234" s="160" customFormat="1" x14ac:dyDescent="0.3"/>
    <row r="40235" s="160" customFormat="1" x14ac:dyDescent="0.3"/>
    <row r="40236" s="160" customFormat="1" x14ac:dyDescent="0.3"/>
    <row r="40237" s="160" customFormat="1" x14ac:dyDescent="0.3"/>
    <row r="40238" s="160" customFormat="1" x14ac:dyDescent="0.3"/>
    <row r="40239" s="160" customFormat="1" x14ac:dyDescent="0.3"/>
    <row r="40240" s="160" customFormat="1" x14ac:dyDescent="0.3"/>
    <row r="40241" s="160" customFormat="1" x14ac:dyDescent="0.3"/>
    <row r="40242" s="160" customFormat="1" x14ac:dyDescent="0.3"/>
    <row r="40243" s="160" customFormat="1" x14ac:dyDescent="0.3"/>
    <row r="40244" s="160" customFormat="1" x14ac:dyDescent="0.3"/>
    <row r="40245" s="160" customFormat="1" x14ac:dyDescent="0.3"/>
    <row r="40246" s="160" customFormat="1" x14ac:dyDescent="0.3"/>
    <row r="40247" s="160" customFormat="1" x14ac:dyDescent="0.3"/>
    <row r="40248" s="160" customFormat="1" x14ac:dyDescent="0.3"/>
    <row r="40249" s="160" customFormat="1" x14ac:dyDescent="0.3"/>
    <row r="40250" s="160" customFormat="1" x14ac:dyDescent="0.3"/>
    <row r="40251" s="160" customFormat="1" x14ac:dyDescent="0.3"/>
    <row r="40252" s="160" customFormat="1" x14ac:dyDescent="0.3"/>
    <row r="40253" s="160" customFormat="1" x14ac:dyDescent="0.3"/>
    <row r="40254" s="160" customFormat="1" x14ac:dyDescent="0.3"/>
    <row r="40255" s="160" customFormat="1" x14ac:dyDescent="0.3"/>
    <row r="40256" s="160" customFormat="1" x14ac:dyDescent="0.3"/>
    <row r="40257" s="160" customFormat="1" x14ac:dyDescent="0.3"/>
    <row r="40258" s="160" customFormat="1" x14ac:dyDescent="0.3"/>
    <row r="40259" s="160" customFormat="1" x14ac:dyDescent="0.3"/>
    <row r="40260" s="160" customFormat="1" x14ac:dyDescent="0.3"/>
    <row r="40261" s="160" customFormat="1" x14ac:dyDescent="0.3"/>
    <row r="40262" s="160" customFormat="1" x14ac:dyDescent="0.3"/>
    <row r="40263" s="160" customFormat="1" x14ac:dyDescent="0.3"/>
    <row r="40264" s="160" customFormat="1" x14ac:dyDescent="0.3"/>
    <row r="40265" s="160" customFormat="1" x14ac:dyDescent="0.3"/>
    <row r="40266" s="160" customFormat="1" x14ac:dyDescent="0.3"/>
    <row r="40267" s="160" customFormat="1" x14ac:dyDescent="0.3"/>
    <row r="40268" s="160" customFormat="1" x14ac:dyDescent="0.3"/>
    <row r="40269" s="160" customFormat="1" x14ac:dyDescent="0.3"/>
    <row r="40270" s="160" customFormat="1" x14ac:dyDescent="0.3"/>
    <row r="40271" s="160" customFormat="1" x14ac:dyDescent="0.3"/>
    <row r="40272" s="160" customFormat="1" x14ac:dyDescent="0.3"/>
    <row r="40273" s="160" customFormat="1" x14ac:dyDescent="0.3"/>
    <row r="40274" s="160" customFormat="1" x14ac:dyDescent="0.3"/>
    <row r="40275" s="160" customFormat="1" x14ac:dyDescent="0.3"/>
    <row r="40276" s="160" customFormat="1" x14ac:dyDescent="0.3"/>
    <row r="40277" s="160" customFormat="1" x14ac:dyDescent="0.3"/>
    <row r="40278" s="160" customFormat="1" x14ac:dyDescent="0.3"/>
    <row r="40279" s="160" customFormat="1" x14ac:dyDescent="0.3"/>
    <row r="40280" s="160" customFormat="1" x14ac:dyDescent="0.3"/>
    <row r="40281" s="160" customFormat="1" x14ac:dyDescent="0.3"/>
    <row r="40282" s="160" customFormat="1" x14ac:dyDescent="0.3"/>
    <row r="40283" s="160" customFormat="1" x14ac:dyDescent="0.3"/>
    <row r="40284" s="160" customFormat="1" x14ac:dyDescent="0.3"/>
    <row r="40285" s="160" customFormat="1" x14ac:dyDescent="0.3"/>
    <row r="40286" s="160" customFormat="1" x14ac:dyDescent="0.3"/>
    <row r="40287" s="160" customFormat="1" x14ac:dyDescent="0.3"/>
    <row r="40288" s="160" customFormat="1" x14ac:dyDescent="0.3"/>
    <row r="40289" s="160" customFormat="1" x14ac:dyDescent="0.3"/>
    <row r="40290" s="160" customFormat="1" x14ac:dyDescent="0.3"/>
    <row r="40291" s="160" customFormat="1" x14ac:dyDescent="0.3"/>
    <row r="40292" s="160" customFormat="1" x14ac:dyDescent="0.3"/>
    <row r="40293" s="160" customFormat="1" x14ac:dyDescent="0.3"/>
    <row r="40294" s="160" customFormat="1" x14ac:dyDescent="0.3"/>
    <row r="40295" s="160" customFormat="1" x14ac:dyDescent="0.3"/>
    <row r="40296" s="160" customFormat="1" x14ac:dyDescent="0.3"/>
    <row r="40297" s="160" customFormat="1" x14ac:dyDescent="0.3"/>
    <row r="40298" s="160" customFormat="1" x14ac:dyDescent="0.3"/>
    <row r="40299" s="160" customFormat="1" x14ac:dyDescent="0.3"/>
    <row r="40300" s="160" customFormat="1" x14ac:dyDescent="0.3"/>
    <row r="40301" s="160" customFormat="1" x14ac:dyDescent="0.3"/>
    <row r="40302" s="160" customFormat="1" x14ac:dyDescent="0.3"/>
    <row r="40303" s="160" customFormat="1" x14ac:dyDescent="0.3"/>
    <row r="40304" s="160" customFormat="1" x14ac:dyDescent="0.3"/>
    <row r="40305" s="160" customFormat="1" x14ac:dyDescent="0.3"/>
    <row r="40306" s="160" customFormat="1" x14ac:dyDescent="0.3"/>
    <row r="40307" s="160" customFormat="1" x14ac:dyDescent="0.3"/>
    <row r="40308" s="160" customFormat="1" x14ac:dyDescent="0.3"/>
    <row r="40309" s="160" customFormat="1" x14ac:dyDescent="0.3"/>
    <row r="40310" s="160" customFormat="1" x14ac:dyDescent="0.3"/>
    <row r="40311" s="160" customFormat="1" x14ac:dyDescent="0.3"/>
    <row r="40312" s="160" customFormat="1" x14ac:dyDescent="0.3"/>
    <row r="40313" s="160" customFormat="1" x14ac:dyDescent="0.3"/>
    <row r="40314" s="160" customFormat="1" x14ac:dyDescent="0.3"/>
    <row r="40315" s="160" customFormat="1" x14ac:dyDescent="0.3"/>
    <row r="40316" s="160" customFormat="1" x14ac:dyDescent="0.3"/>
    <row r="40317" s="160" customFormat="1" x14ac:dyDescent="0.3"/>
    <row r="40318" s="160" customFormat="1" x14ac:dyDescent="0.3"/>
    <row r="40319" s="160" customFormat="1" x14ac:dyDescent="0.3"/>
    <row r="40320" s="160" customFormat="1" x14ac:dyDescent="0.3"/>
    <row r="40321" s="160" customFormat="1" x14ac:dyDescent="0.3"/>
    <row r="40322" s="160" customFormat="1" x14ac:dyDescent="0.3"/>
    <row r="40323" s="160" customFormat="1" x14ac:dyDescent="0.3"/>
    <row r="40324" s="160" customFormat="1" x14ac:dyDescent="0.3"/>
    <row r="40325" s="160" customFormat="1" x14ac:dyDescent="0.3"/>
    <row r="40326" s="160" customFormat="1" x14ac:dyDescent="0.3"/>
    <row r="40327" s="160" customFormat="1" x14ac:dyDescent="0.3"/>
    <row r="40328" s="160" customFormat="1" x14ac:dyDescent="0.3"/>
    <row r="40329" s="160" customFormat="1" x14ac:dyDescent="0.3"/>
    <row r="40330" s="160" customFormat="1" x14ac:dyDescent="0.3"/>
    <row r="40331" s="160" customFormat="1" x14ac:dyDescent="0.3"/>
    <row r="40332" s="160" customFormat="1" x14ac:dyDescent="0.3"/>
    <row r="40333" s="160" customFormat="1" x14ac:dyDescent="0.3"/>
    <row r="40334" s="160" customFormat="1" x14ac:dyDescent="0.3"/>
    <row r="40335" s="160" customFormat="1" x14ac:dyDescent="0.3"/>
    <row r="40336" s="160" customFormat="1" x14ac:dyDescent="0.3"/>
    <row r="40337" s="160" customFormat="1" x14ac:dyDescent="0.3"/>
    <row r="40338" s="160" customFormat="1" x14ac:dyDescent="0.3"/>
    <row r="40339" s="160" customFormat="1" x14ac:dyDescent="0.3"/>
    <row r="40340" s="160" customFormat="1" x14ac:dyDescent="0.3"/>
    <row r="40341" s="160" customFormat="1" x14ac:dyDescent="0.3"/>
    <row r="40342" s="160" customFormat="1" x14ac:dyDescent="0.3"/>
    <row r="40343" s="160" customFormat="1" x14ac:dyDescent="0.3"/>
    <row r="40344" s="160" customFormat="1" x14ac:dyDescent="0.3"/>
    <row r="40345" s="160" customFormat="1" x14ac:dyDescent="0.3"/>
    <row r="40346" s="160" customFormat="1" x14ac:dyDescent="0.3"/>
    <row r="40347" s="160" customFormat="1" x14ac:dyDescent="0.3"/>
    <row r="40348" s="160" customFormat="1" x14ac:dyDescent="0.3"/>
    <row r="40349" s="160" customFormat="1" x14ac:dyDescent="0.3"/>
    <row r="40350" s="160" customFormat="1" x14ac:dyDescent="0.3"/>
    <row r="40351" s="160" customFormat="1" x14ac:dyDescent="0.3"/>
    <row r="40352" s="160" customFormat="1" x14ac:dyDescent="0.3"/>
    <row r="40353" s="160" customFormat="1" x14ac:dyDescent="0.3"/>
    <row r="40354" s="160" customFormat="1" x14ac:dyDescent="0.3"/>
    <row r="40355" s="160" customFormat="1" x14ac:dyDescent="0.3"/>
    <row r="40356" s="160" customFormat="1" x14ac:dyDescent="0.3"/>
    <row r="40357" s="160" customFormat="1" x14ac:dyDescent="0.3"/>
    <row r="40358" s="160" customFormat="1" x14ac:dyDescent="0.3"/>
    <row r="40359" s="160" customFormat="1" x14ac:dyDescent="0.3"/>
    <row r="40360" s="160" customFormat="1" x14ac:dyDescent="0.3"/>
    <row r="40361" s="160" customFormat="1" x14ac:dyDescent="0.3"/>
    <row r="40362" s="160" customFormat="1" x14ac:dyDescent="0.3"/>
    <row r="40363" s="160" customFormat="1" x14ac:dyDescent="0.3"/>
    <row r="40364" s="160" customFormat="1" x14ac:dyDescent="0.3"/>
    <row r="40365" s="160" customFormat="1" x14ac:dyDescent="0.3"/>
    <row r="40366" s="160" customFormat="1" x14ac:dyDescent="0.3"/>
    <row r="40367" s="160" customFormat="1" x14ac:dyDescent="0.3"/>
    <row r="40368" s="160" customFormat="1" x14ac:dyDescent="0.3"/>
    <row r="40369" s="160" customFormat="1" x14ac:dyDescent="0.3"/>
    <row r="40370" s="160" customFormat="1" x14ac:dyDescent="0.3"/>
    <row r="40371" s="160" customFormat="1" x14ac:dyDescent="0.3"/>
    <row r="40372" s="160" customFormat="1" x14ac:dyDescent="0.3"/>
    <row r="40373" s="160" customFormat="1" x14ac:dyDescent="0.3"/>
    <row r="40374" s="160" customFormat="1" x14ac:dyDescent="0.3"/>
    <row r="40375" s="160" customFormat="1" x14ac:dyDescent="0.3"/>
    <row r="40376" s="160" customFormat="1" x14ac:dyDescent="0.3"/>
    <row r="40377" s="160" customFormat="1" x14ac:dyDescent="0.3"/>
    <row r="40378" s="160" customFormat="1" x14ac:dyDescent="0.3"/>
    <row r="40379" s="160" customFormat="1" x14ac:dyDescent="0.3"/>
    <row r="40380" s="160" customFormat="1" x14ac:dyDescent="0.3"/>
    <row r="40381" s="160" customFormat="1" x14ac:dyDescent="0.3"/>
    <row r="40382" s="160" customFormat="1" x14ac:dyDescent="0.3"/>
    <row r="40383" s="160" customFormat="1" x14ac:dyDescent="0.3"/>
    <row r="40384" s="160" customFormat="1" x14ac:dyDescent="0.3"/>
    <row r="40385" s="160" customFormat="1" x14ac:dyDescent="0.3"/>
    <row r="40386" s="160" customFormat="1" x14ac:dyDescent="0.3"/>
    <row r="40387" s="160" customFormat="1" x14ac:dyDescent="0.3"/>
    <row r="40388" s="160" customFormat="1" x14ac:dyDescent="0.3"/>
    <row r="40389" s="160" customFormat="1" x14ac:dyDescent="0.3"/>
    <row r="40390" s="160" customFormat="1" x14ac:dyDescent="0.3"/>
    <row r="40391" s="160" customFormat="1" x14ac:dyDescent="0.3"/>
    <row r="40392" s="160" customFormat="1" x14ac:dyDescent="0.3"/>
    <row r="40393" s="160" customFormat="1" x14ac:dyDescent="0.3"/>
    <row r="40394" s="160" customFormat="1" x14ac:dyDescent="0.3"/>
    <row r="40395" s="160" customFormat="1" x14ac:dyDescent="0.3"/>
    <row r="40396" s="160" customFormat="1" x14ac:dyDescent="0.3"/>
    <row r="40397" s="160" customFormat="1" x14ac:dyDescent="0.3"/>
    <row r="40398" s="160" customFormat="1" x14ac:dyDescent="0.3"/>
    <row r="40399" s="160" customFormat="1" x14ac:dyDescent="0.3"/>
    <row r="40400" s="160" customFormat="1" x14ac:dyDescent="0.3"/>
    <row r="40401" s="160" customFormat="1" x14ac:dyDescent="0.3"/>
    <row r="40402" s="160" customFormat="1" x14ac:dyDescent="0.3"/>
    <row r="40403" s="160" customFormat="1" x14ac:dyDescent="0.3"/>
    <row r="40404" s="160" customFormat="1" x14ac:dyDescent="0.3"/>
    <row r="40405" s="160" customFormat="1" x14ac:dyDescent="0.3"/>
    <row r="40406" s="160" customFormat="1" x14ac:dyDescent="0.3"/>
    <row r="40407" s="160" customFormat="1" x14ac:dyDescent="0.3"/>
    <row r="40408" s="160" customFormat="1" x14ac:dyDescent="0.3"/>
    <row r="40409" s="160" customFormat="1" x14ac:dyDescent="0.3"/>
    <row r="40410" s="160" customFormat="1" x14ac:dyDescent="0.3"/>
    <row r="40411" s="160" customFormat="1" x14ac:dyDescent="0.3"/>
    <row r="40412" s="160" customFormat="1" x14ac:dyDescent="0.3"/>
    <row r="40413" s="160" customFormat="1" x14ac:dyDescent="0.3"/>
    <row r="40414" s="160" customFormat="1" x14ac:dyDescent="0.3"/>
    <row r="40415" s="160" customFormat="1" x14ac:dyDescent="0.3"/>
    <row r="40416" s="160" customFormat="1" x14ac:dyDescent="0.3"/>
    <row r="40417" s="160" customFormat="1" x14ac:dyDescent="0.3"/>
    <row r="40418" s="160" customFormat="1" x14ac:dyDescent="0.3"/>
    <row r="40419" s="160" customFormat="1" x14ac:dyDescent="0.3"/>
    <row r="40420" s="160" customFormat="1" x14ac:dyDescent="0.3"/>
    <row r="40421" s="160" customFormat="1" x14ac:dyDescent="0.3"/>
    <row r="40422" s="160" customFormat="1" x14ac:dyDescent="0.3"/>
    <row r="40423" s="160" customFormat="1" x14ac:dyDescent="0.3"/>
    <row r="40424" s="160" customFormat="1" x14ac:dyDescent="0.3"/>
    <row r="40425" s="160" customFormat="1" x14ac:dyDescent="0.3"/>
    <row r="40426" s="160" customFormat="1" x14ac:dyDescent="0.3"/>
    <row r="40427" s="160" customFormat="1" x14ac:dyDescent="0.3"/>
    <row r="40428" s="160" customFormat="1" x14ac:dyDescent="0.3"/>
    <row r="40429" s="160" customFormat="1" x14ac:dyDescent="0.3"/>
    <row r="40430" s="160" customFormat="1" x14ac:dyDescent="0.3"/>
    <row r="40431" s="160" customFormat="1" x14ac:dyDescent="0.3"/>
    <row r="40432" s="160" customFormat="1" x14ac:dyDescent="0.3"/>
    <row r="40433" s="160" customFormat="1" x14ac:dyDescent="0.3"/>
    <row r="40434" s="160" customFormat="1" x14ac:dyDescent="0.3"/>
    <row r="40435" s="160" customFormat="1" x14ac:dyDescent="0.3"/>
    <row r="40436" s="160" customFormat="1" x14ac:dyDescent="0.3"/>
    <row r="40437" s="160" customFormat="1" x14ac:dyDescent="0.3"/>
    <row r="40438" s="160" customFormat="1" x14ac:dyDescent="0.3"/>
    <row r="40439" s="160" customFormat="1" x14ac:dyDescent="0.3"/>
    <row r="40440" s="160" customFormat="1" x14ac:dyDescent="0.3"/>
    <row r="40441" s="160" customFormat="1" x14ac:dyDescent="0.3"/>
    <row r="40442" s="160" customFormat="1" x14ac:dyDescent="0.3"/>
    <row r="40443" s="160" customFormat="1" x14ac:dyDescent="0.3"/>
    <row r="40444" s="160" customFormat="1" x14ac:dyDescent="0.3"/>
    <row r="40445" s="160" customFormat="1" x14ac:dyDescent="0.3"/>
    <row r="40446" s="160" customFormat="1" x14ac:dyDescent="0.3"/>
    <row r="40447" s="160" customFormat="1" x14ac:dyDescent="0.3"/>
    <row r="40448" s="160" customFormat="1" x14ac:dyDescent="0.3"/>
    <row r="40449" s="160" customFormat="1" x14ac:dyDescent="0.3"/>
    <row r="40450" s="160" customFormat="1" x14ac:dyDescent="0.3"/>
    <row r="40451" s="160" customFormat="1" x14ac:dyDescent="0.3"/>
    <row r="40452" s="160" customFormat="1" x14ac:dyDescent="0.3"/>
    <row r="40453" s="160" customFormat="1" x14ac:dyDescent="0.3"/>
    <row r="40454" s="160" customFormat="1" x14ac:dyDescent="0.3"/>
    <row r="40455" s="160" customFormat="1" x14ac:dyDescent="0.3"/>
    <row r="40456" s="160" customFormat="1" x14ac:dyDescent="0.3"/>
    <row r="40457" s="160" customFormat="1" x14ac:dyDescent="0.3"/>
    <row r="40458" s="160" customFormat="1" x14ac:dyDescent="0.3"/>
    <row r="40459" s="160" customFormat="1" x14ac:dyDescent="0.3"/>
    <row r="40460" s="160" customFormat="1" x14ac:dyDescent="0.3"/>
    <row r="40461" s="160" customFormat="1" x14ac:dyDescent="0.3"/>
    <row r="40462" s="160" customFormat="1" x14ac:dyDescent="0.3"/>
    <row r="40463" s="160" customFormat="1" x14ac:dyDescent="0.3"/>
    <row r="40464" s="160" customFormat="1" x14ac:dyDescent="0.3"/>
    <row r="40465" s="160" customFormat="1" x14ac:dyDescent="0.3"/>
    <row r="40466" s="160" customFormat="1" x14ac:dyDescent="0.3"/>
    <row r="40467" s="160" customFormat="1" x14ac:dyDescent="0.3"/>
    <row r="40468" s="160" customFormat="1" x14ac:dyDescent="0.3"/>
    <row r="40469" s="160" customFormat="1" x14ac:dyDescent="0.3"/>
    <row r="40470" s="160" customFormat="1" x14ac:dyDescent="0.3"/>
    <row r="40471" s="160" customFormat="1" x14ac:dyDescent="0.3"/>
    <row r="40472" s="160" customFormat="1" x14ac:dyDescent="0.3"/>
    <row r="40473" s="160" customFormat="1" x14ac:dyDescent="0.3"/>
    <row r="40474" s="160" customFormat="1" x14ac:dyDescent="0.3"/>
    <row r="40475" s="160" customFormat="1" x14ac:dyDescent="0.3"/>
    <row r="40476" s="160" customFormat="1" x14ac:dyDescent="0.3"/>
    <row r="40477" s="160" customFormat="1" x14ac:dyDescent="0.3"/>
    <row r="40478" s="160" customFormat="1" x14ac:dyDescent="0.3"/>
    <row r="40479" s="160" customFormat="1" x14ac:dyDescent="0.3"/>
    <row r="40480" s="160" customFormat="1" x14ac:dyDescent="0.3"/>
    <row r="40481" s="160" customFormat="1" x14ac:dyDescent="0.3"/>
    <row r="40482" s="160" customFormat="1" x14ac:dyDescent="0.3"/>
    <row r="40483" s="160" customFormat="1" x14ac:dyDescent="0.3"/>
    <row r="40484" s="160" customFormat="1" x14ac:dyDescent="0.3"/>
    <row r="40485" s="160" customFormat="1" x14ac:dyDescent="0.3"/>
    <row r="40486" s="160" customFormat="1" x14ac:dyDescent="0.3"/>
    <row r="40487" s="160" customFormat="1" x14ac:dyDescent="0.3"/>
    <row r="40488" s="160" customFormat="1" x14ac:dyDescent="0.3"/>
    <row r="40489" s="160" customFormat="1" x14ac:dyDescent="0.3"/>
    <row r="40490" s="160" customFormat="1" x14ac:dyDescent="0.3"/>
    <row r="40491" s="160" customFormat="1" x14ac:dyDescent="0.3"/>
    <row r="40492" s="160" customFormat="1" x14ac:dyDescent="0.3"/>
    <row r="40493" s="160" customFormat="1" x14ac:dyDescent="0.3"/>
    <row r="40494" s="160" customFormat="1" x14ac:dyDescent="0.3"/>
    <row r="40495" s="160" customFormat="1" x14ac:dyDescent="0.3"/>
    <row r="40496" s="160" customFormat="1" x14ac:dyDescent="0.3"/>
    <row r="40497" s="160" customFormat="1" x14ac:dyDescent="0.3"/>
    <row r="40498" s="160" customFormat="1" x14ac:dyDescent="0.3"/>
    <row r="40499" s="160" customFormat="1" x14ac:dyDescent="0.3"/>
    <row r="40500" s="160" customFormat="1" x14ac:dyDescent="0.3"/>
    <row r="40501" s="160" customFormat="1" x14ac:dyDescent="0.3"/>
    <row r="40502" s="160" customFormat="1" x14ac:dyDescent="0.3"/>
    <row r="40503" s="160" customFormat="1" x14ac:dyDescent="0.3"/>
    <row r="40504" s="160" customFormat="1" x14ac:dyDescent="0.3"/>
    <row r="40505" s="160" customFormat="1" x14ac:dyDescent="0.3"/>
    <row r="40506" s="160" customFormat="1" x14ac:dyDescent="0.3"/>
    <row r="40507" s="160" customFormat="1" x14ac:dyDescent="0.3"/>
    <row r="40508" s="160" customFormat="1" x14ac:dyDescent="0.3"/>
    <row r="40509" s="160" customFormat="1" x14ac:dyDescent="0.3"/>
    <row r="40510" s="160" customFormat="1" x14ac:dyDescent="0.3"/>
    <row r="40511" s="160" customFormat="1" x14ac:dyDescent="0.3"/>
    <row r="40512" s="160" customFormat="1" x14ac:dyDescent="0.3"/>
    <row r="40513" s="160" customFormat="1" x14ac:dyDescent="0.3"/>
    <row r="40514" s="160" customFormat="1" x14ac:dyDescent="0.3"/>
    <row r="40515" s="160" customFormat="1" x14ac:dyDescent="0.3"/>
    <row r="40516" s="160" customFormat="1" x14ac:dyDescent="0.3"/>
    <row r="40517" s="160" customFormat="1" x14ac:dyDescent="0.3"/>
    <row r="40518" s="160" customFormat="1" x14ac:dyDescent="0.3"/>
    <row r="40519" s="160" customFormat="1" x14ac:dyDescent="0.3"/>
    <row r="40520" s="160" customFormat="1" x14ac:dyDescent="0.3"/>
    <row r="40521" s="160" customFormat="1" x14ac:dyDescent="0.3"/>
    <row r="40522" s="160" customFormat="1" x14ac:dyDescent="0.3"/>
    <row r="40523" s="160" customFormat="1" x14ac:dyDescent="0.3"/>
    <row r="40524" s="160" customFormat="1" x14ac:dyDescent="0.3"/>
    <row r="40525" s="160" customFormat="1" x14ac:dyDescent="0.3"/>
    <row r="40526" s="160" customFormat="1" x14ac:dyDescent="0.3"/>
    <row r="40527" s="160" customFormat="1" x14ac:dyDescent="0.3"/>
    <row r="40528" s="160" customFormat="1" x14ac:dyDescent="0.3"/>
    <row r="40529" s="160" customFormat="1" x14ac:dyDescent="0.3"/>
    <row r="40530" s="160" customFormat="1" x14ac:dyDescent="0.3"/>
    <row r="40531" s="160" customFormat="1" x14ac:dyDescent="0.3"/>
    <row r="40532" s="160" customFormat="1" x14ac:dyDescent="0.3"/>
    <row r="40533" s="160" customFormat="1" x14ac:dyDescent="0.3"/>
    <row r="40534" s="160" customFormat="1" x14ac:dyDescent="0.3"/>
    <row r="40535" s="160" customFormat="1" x14ac:dyDescent="0.3"/>
    <row r="40536" s="160" customFormat="1" x14ac:dyDescent="0.3"/>
    <row r="40537" s="160" customFormat="1" x14ac:dyDescent="0.3"/>
    <row r="40538" s="160" customFormat="1" x14ac:dyDescent="0.3"/>
    <row r="40539" s="160" customFormat="1" x14ac:dyDescent="0.3"/>
    <row r="40540" s="160" customFormat="1" x14ac:dyDescent="0.3"/>
    <row r="40541" s="160" customFormat="1" x14ac:dyDescent="0.3"/>
    <row r="40542" s="160" customFormat="1" x14ac:dyDescent="0.3"/>
    <row r="40543" s="160" customFormat="1" x14ac:dyDescent="0.3"/>
    <row r="40544" s="160" customFormat="1" x14ac:dyDescent="0.3"/>
    <row r="40545" s="160" customFormat="1" x14ac:dyDescent="0.3"/>
    <row r="40546" s="160" customFormat="1" x14ac:dyDescent="0.3"/>
    <row r="40547" s="160" customFormat="1" x14ac:dyDescent="0.3"/>
    <row r="40548" s="160" customFormat="1" x14ac:dyDescent="0.3"/>
    <row r="40549" s="160" customFormat="1" x14ac:dyDescent="0.3"/>
    <row r="40550" s="160" customFormat="1" x14ac:dyDescent="0.3"/>
    <row r="40551" s="160" customFormat="1" x14ac:dyDescent="0.3"/>
    <row r="40552" s="160" customFormat="1" x14ac:dyDescent="0.3"/>
    <row r="40553" s="160" customFormat="1" x14ac:dyDescent="0.3"/>
    <row r="40554" s="160" customFormat="1" x14ac:dyDescent="0.3"/>
    <row r="40555" s="160" customFormat="1" x14ac:dyDescent="0.3"/>
    <row r="40556" s="160" customFormat="1" x14ac:dyDescent="0.3"/>
    <row r="40557" s="160" customFormat="1" x14ac:dyDescent="0.3"/>
    <row r="40558" s="160" customFormat="1" x14ac:dyDescent="0.3"/>
    <row r="40559" s="160" customFormat="1" x14ac:dyDescent="0.3"/>
    <row r="40560" s="160" customFormat="1" x14ac:dyDescent="0.3"/>
    <row r="40561" s="160" customFormat="1" x14ac:dyDescent="0.3"/>
    <row r="40562" s="160" customFormat="1" x14ac:dyDescent="0.3"/>
    <row r="40563" s="160" customFormat="1" x14ac:dyDescent="0.3"/>
    <row r="40564" s="160" customFormat="1" x14ac:dyDescent="0.3"/>
    <row r="40565" s="160" customFormat="1" x14ac:dyDescent="0.3"/>
    <row r="40566" s="160" customFormat="1" x14ac:dyDescent="0.3"/>
    <row r="40567" s="160" customFormat="1" x14ac:dyDescent="0.3"/>
    <row r="40568" s="160" customFormat="1" x14ac:dyDescent="0.3"/>
    <row r="40569" s="160" customFormat="1" x14ac:dyDescent="0.3"/>
    <row r="40570" s="160" customFormat="1" x14ac:dyDescent="0.3"/>
    <row r="40571" s="160" customFormat="1" x14ac:dyDescent="0.3"/>
    <row r="40572" s="160" customFormat="1" x14ac:dyDescent="0.3"/>
    <row r="40573" s="160" customFormat="1" x14ac:dyDescent="0.3"/>
    <row r="40574" s="160" customFormat="1" x14ac:dyDescent="0.3"/>
    <row r="40575" s="160" customFormat="1" x14ac:dyDescent="0.3"/>
    <row r="40576" s="160" customFormat="1" x14ac:dyDescent="0.3"/>
    <row r="40577" s="160" customFormat="1" x14ac:dyDescent="0.3"/>
    <row r="40578" s="160" customFormat="1" x14ac:dyDescent="0.3"/>
    <row r="40579" s="160" customFormat="1" x14ac:dyDescent="0.3"/>
    <row r="40580" s="160" customFormat="1" x14ac:dyDescent="0.3"/>
    <row r="40581" s="160" customFormat="1" x14ac:dyDescent="0.3"/>
    <row r="40582" s="160" customFormat="1" x14ac:dyDescent="0.3"/>
    <row r="40583" s="160" customFormat="1" x14ac:dyDescent="0.3"/>
    <row r="40584" s="160" customFormat="1" x14ac:dyDescent="0.3"/>
    <row r="40585" s="160" customFormat="1" x14ac:dyDescent="0.3"/>
    <row r="40586" s="160" customFormat="1" x14ac:dyDescent="0.3"/>
    <row r="40587" s="160" customFormat="1" x14ac:dyDescent="0.3"/>
    <row r="40588" s="160" customFormat="1" x14ac:dyDescent="0.3"/>
    <row r="40589" s="160" customFormat="1" x14ac:dyDescent="0.3"/>
    <row r="40590" s="160" customFormat="1" x14ac:dyDescent="0.3"/>
    <row r="40591" s="160" customFormat="1" x14ac:dyDescent="0.3"/>
    <row r="40592" s="160" customFormat="1" x14ac:dyDescent="0.3"/>
    <row r="40593" s="160" customFormat="1" x14ac:dyDescent="0.3"/>
    <row r="40594" s="160" customFormat="1" x14ac:dyDescent="0.3"/>
    <row r="40595" s="160" customFormat="1" x14ac:dyDescent="0.3"/>
    <row r="40596" s="160" customFormat="1" x14ac:dyDescent="0.3"/>
    <row r="40597" s="160" customFormat="1" x14ac:dyDescent="0.3"/>
    <row r="40598" s="160" customFormat="1" x14ac:dyDescent="0.3"/>
    <row r="40599" s="160" customFormat="1" x14ac:dyDescent="0.3"/>
    <row r="40600" s="160" customFormat="1" x14ac:dyDescent="0.3"/>
    <row r="40601" s="160" customFormat="1" x14ac:dyDescent="0.3"/>
    <row r="40602" s="160" customFormat="1" x14ac:dyDescent="0.3"/>
    <row r="40603" s="160" customFormat="1" x14ac:dyDescent="0.3"/>
    <row r="40604" s="160" customFormat="1" x14ac:dyDescent="0.3"/>
    <row r="40605" s="160" customFormat="1" x14ac:dyDescent="0.3"/>
    <row r="40606" s="160" customFormat="1" x14ac:dyDescent="0.3"/>
    <row r="40607" s="160" customFormat="1" x14ac:dyDescent="0.3"/>
    <row r="40608" s="160" customFormat="1" x14ac:dyDescent="0.3"/>
    <row r="40609" s="160" customFormat="1" x14ac:dyDescent="0.3"/>
    <row r="40610" s="160" customFormat="1" x14ac:dyDescent="0.3"/>
    <row r="40611" s="160" customFormat="1" x14ac:dyDescent="0.3"/>
    <row r="40612" s="160" customFormat="1" x14ac:dyDescent="0.3"/>
    <row r="40613" s="160" customFormat="1" x14ac:dyDescent="0.3"/>
    <row r="40614" s="160" customFormat="1" x14ac:dyDescent="0.3"/>
    <row r="40615" s="160" customFormat="1" x14ac:dyDescent="0.3"/>
    <row r="40616" s="160" customFormat="1" x14ac:dyDescent="0.3"/>
    <row r="40617" s="160" customFormat="1" x14ac:dyDescent="0.3"/>
    <row r="40618" s="160" customFormat="1" x14ac:dyDescent="0.3"/>
    <row r="40619" s="160" customFormat="1" x14ac:dyDescent="0.3"/>
    <row r="40620" s="160" customFormat="1" x14ac:dyDescent="0.3"/>
    <row r="40621" s="160" customFormat="1" x14ac:dyDescent="0.3"/>
    <row r="40622" s="160" customFormat="1" x14ac:dyDescent="0.3"/>
    <row r="40623" s="160" customFormat="1" x14ac:dyDescent="0.3"/>
    <row r="40624" s="160" customFormat="1" x14ac:dyDescent="0.3"/>
    <row r="40625" s="160" customFormat="1" x14ac:dyDescent="0.3"/>
    <row r="40626" s="160" customFormat="1" x14ac:dyDescent="0.3"/>
    <row r="40627" s="160" customFormat="1" x14ac:dyDescent="0.3"/>
    <row r="40628" s="160" customFormat="1" x14ac:dyDescent="0.3"/>
    <row r="40629" s="160" customFormat="1" x14ac:dyDescent="0.3"/>
    <row r="40630" s="160" customFormat="1" x14ac:dyDescent="0.3"/>
    <row r="40631" s="160" customFormat="1" x14ac:dyDescent="0.3"/>
    <row r="40632" s="160" customFormat="1" x14ac:dyDescent="0.3"/>
    <row r="40633" s="160" customFormat="1" x14ac:dyDescent="0.3"/>
    <row r="40634" s="160" customFormat="1" x14ac:dyDescent="0.3"/>
    <row r="40635" s="160" customFormat="1" x14ac:dyDescent="0.3"/>
    <row r="40636" s="160" customFormat="1" x14ac:dyDescent="0.3"/>
    <row r="40637" s="160" customFormat="1" x14ac:dyDescent="0.3"/>
    <row r="40638" s="160" customFormat="1" x14ac:dyDescent="0.3"/>
    <row r="40639" s="160" customFormat="1" x14ac:dyDescent="0.3"/>
    <row r="40640" s="160" customFormat="1" x14ac:dyDescent="0.3"/>
    <row r="40641" s="160" customFormat="1" x14ac:dyDescent="0.3"/>
    <row r="40642" s="160" customFormat="1" x14ac:dyDescent="0.3"/>
    <row r="40643" s="160" customFormat="1" x14ac:dyDescent="0.3"/>
    <row r="40644" s="160" customFormat="1" x14ac:dyDescent="0.3"/>
    <row r="40645" s="160" customFormat="1" x14ac:dyDescent="0.3"/>
    <row r="40646" s="160" customFormat="1" x14ac:dyDescent="0.3"/>
    <row r="40647" s="160" customFormat="1" x14ac:dyDescent="0.3"/>
    <row r="40648" s="160" customFormat="1" x14ac:dyDescent="0.3"/>
    <row r="40649" s="160" customFormat="1" x14ac:dyDescent="0.3"/>
    <row r="40650" s="160" customFormat="1" x14ac:dyDescent="0.3"/>
    <row r="40651" s="160" customFormat="1" x14ac:dyDescent="0.3"/>
    <row r="40652" s="160" customFormat="1" x14ac:dyDescent="0.3"/>
    <row r="40653" s="160" customFormat="1" x14ac:dyDescent="0.3"/>
    <row r="40654" s="160" customFormat="1" x14ac:dyDescent="0.3"/>
    <row r="40655" s="160" customFormat="1" x14ac:dyDescent="0.3"/>
    <row r="40656" s="160" customFormat="1" x14ac:dyDescent="0.3"/>
    <row r="40657" s="160" customFormat="1" x14ac:dyDescent="0.3"/>
    <row r="40658" s="160" customFormat="1" x14ac:dyDescent="0.3"/>
    <row r="40659" s="160" customFormat="1" x14ac:dyDescent="0.3"/>
    <row r="40660" s="160" customFormat="1" x14ac:dyDescent="0.3"/>
    <row r="40661" s="160" customFormat="1" x14ac:dyDescent="0.3"/>
    <row r="40662" s="160" customFormat="1" x14ac:dyDescent="0.3"/>
    <row r="40663" s="160" customFormat="1" x14ac:dyDescent="0.3"/>
    <row r="40664" s="160" customFormat="1" x14ac:dyDescent="0.3"/>
    <row r="40665" s="160" customFormat="1" x14ac:dyDescent="0.3"/>
    <row r="40666" s="160" customFormat="1" x14ac:dyDescent="0.3"/>
    <row r="40667" s="160" customFormat="1" x14ac:dyDescent="0.3"/>
    <row r="40668" s="160" customFormat="1" x14ac:dyDescent="0.3"/>
    <row r="40669" s="160" customFormat="1" x14ac:dyDescent="0.3"/>
    <row r="40670" s="160" customFormat="1" x14ac:dyDescent="0.3"/>
    <row r="40671" s="160" customFormat="1" x14ac:dyDescent="0.3"/>
    <row r="40672" s="160" customFormat="1" x14ac:dyDescent="0.3"/>
    <row r="40673" s="160" customFormat="1" x14ac:dyDescent="0.3"/>
    <row r="40674" s="160" customFormat="1" x14ac:dyDescent="0.3"/>
    <row r="40675" s="160" customFormat="1" x14ac:dyDescent="0.3"/>
    <row r="40676" s="160" customFormat="1" x14ac:dyDescent="0.3"/>
    <row r="40677" s="160" customFormat="1" x14ac:dyDescent="0.3"/>
    <row r="40678" s="160" customFormat="1" x14ac:dyDescent="0.3"/>
    <row r="40679" s="160" customFormat="1" x14ac:dyDescent="0.3"/>
    <row r="40680" s="160" customFormat="1" x14ac:dyDescent="0.3"/>
    <row r="40681" s="160" customFormat="1" x14ac:dyDescent="0.3"/>
    <row r="40682" s="160" customFormat="1" x14ac:dyDescent="0.3"/>
    <row r="40683" s="160" customFormat="1" x14ac:dyDescent="0.3"/>
    <row r="40684" s="160" customFormat="1" x14ac:dyDescent="0.3"/>
    <row r="40685" s="160" customFormat="1" x14ac:dyDescent="0.3"/>
    <row r="40686" s="160" customFormat="1" x14ac:dyDescent="0.3"/>
    <row r="40687" s="160" customFormat="1" x14ac:dyDescent="0.3"/>
    <row r="40688" s="160" customFormat="1" x14ac:dyDescent="0.3"/>
    <row r="40689" s="160" customFormat="1" x14ac:dyDescent="0.3"/>
    <row r="40690" s="160" customFormat="1" x14ac:dyDescent="0.3"/>
    <row r="40691" s="160" customFormat="1" x14ac:dyDescent="0.3"/>
    <row r="40692" s="160" customFormat="1" x14ac:dyDescent="0.3"/>
    <row r="40693" s="160" customFormat="1" x14ac:dyDescent="0.3"/>
    <row r="40694" s="160" customFormat="1" x14ac:dyDescent="0.3"/>
    <row r="40695" s="160" customFormat="1" x14ac:dyDescent="0.3"/>
    <row r="40696" s="160" customFormat="1" x14ac:dyDescent="0.3"/>
    <row r="40697" s="160" customFormat="1" x14ac:dyDescent="0.3"/>
    <row r="40698" s="160" customFormat="1" x14ac:dyDescent="0.3"/>
    <row r="40699" s="160" customFormat="1" x14ac:dyDescent="0.3"/>
    <row r="40700" s="160" customFormat="1" x14ac:dyDescent="0.3"/>
    <row r="40701" s="160" customFormat="1" x14ac:dyDescent="0.3"/>
    <row r="40702" s="160" customFormat="1" x14ac:dyDescent="0.3"/>
    <row r="40703" s="160" customFormat="1" x14ac:dyDescent="0.3"/>
    <row r="40704" s="160" customFormat="1" x14ac:dyDescent="0.3"/>
    <row r="40705" s="160" customFormat="1" x14ac:dyDescent="0.3"/>
    <row r="40706" s="160" customFormat="1" x14ac:dyDescent="0.3"/>
    <row r="40707" s="160" customFormat="1" x14ac:dyDescent="0.3"/>
    <row r="40708" s="160" customFormat="1" x14ac:dyDescent="0.3"/>
    <row r="40709" s="160" customFormat="1" x14ac:dyDescent="0.3"/>
    <row r="40710" s="160" customFormat="1" x14ac:dyDescent="0.3"/>
    <row r="40711" s="160" customFormat="1" x14ac:dyDescent="0.3"/>
    <row r="40712" s="160" customFormat="1" x14ac:dyDescent="0.3"/>
    <row r="40713" s="160" customFormat="1" x14ac:dyDescent="0.3"/>
    <row r="40714" s="160" customFormat="1" x14ac:dyDescent="0.3"/>
    <row r="40715" s="160" customFormat="1" x14ac:dyDescent="0.3"/>
    <row r="40716" s="160" customFormat="1" x14ac:dyDescent="0.3"/>
    <row r="40717" s="160" customFormat="1" x14ac:dyDescent="0.3"/>
    <row r="40718" s="160" customFormat="1" x14ac:dyDescent="0.3"/>
    <row r="40719" s="160" customFormat="1" x14ac:dyDescent="0.3"/>
    <row r="40720" s="160" customFormat="1" x14ac:dyDescent="0.3"/>
    <row r="40721" s="160" customFormat="1" x14ac:dyDescent="0.3"/>
    <row r="40722" s="160" customFormat="1" x14ac:dyDescent="0.3"/>
    <row r="40723" s="160" customFormat="1" x14ac:dyDescent="0.3"/>
    <row r="40724" s="160" customFormat="1" x14ac:dyDescent="0.3"/>
    <row r="40725" s="160" customFormat="1" x14ac:dyDescent="0.3"/>
    <row r="40726" s="160" customFormat="1" x14ac:dyDescent="0.3"/>
    <row r="40727" s="160" customFormat="1" x14ac:dyDescent="0.3"/>
    <row r="40728" s="160" customFormat="1" x14ac:dyDescent="0.3"/>
    <row r="40729" s="160" customFormat="1" x14ac:dyDescent="0.3"/>
    <row r="40730" s="160" customFormat="1" x14ac:dyDescent="0.3"/>
    <row r="40731" s="160" customFormat="1" x14ac:dyDescent="0.3"/>
    <row r="40732" s="160" customFormat="1" x14ac:dyDescent="0.3"/>
    <row r="40733" s="160" customFormat="1" x14ac:dyDescent="0.3"/>
    <row r="40734" s="160" customFormat="1" x14ac:dyDescent="0.3"/>
    <row r="40735" s="160" customFormat="1" x14ac:dyDescent="0.3"/>
    <row r="40736" s="160" customFormat="1" x14ac:dyDescent="0.3"/>
    <row r="40737" s="160" customFormat="1" x14ac:dyDescent="0.3"/>
    <row r="40738" s="160" customFormat="1" x14ac:dyDescent="0.3"/>
    <row r="40739" s="160" customFormat="1" x14ac:dyDescent="0.3"/>
    <row r="40740" s="160" customFormat="1" x14ac:dyDescent="0.3"/>
    <row r="40741" s="160" customFormat="1" x14ac:dyDescent="0.3"/>
    <row r="40742" s="160" customFormat="1" x14ac:dyDescent="0.3"/>
    <row r="40743" s="160" customFormat="1" x14ac:dyDescent="0.3"/>
    <row r="40744" s="160" customFormat="1" x14ac:dyDescent="0.3"/>
    <row r="40745" s="160" customFormat="1" x14ac:dyDescent="0.3"/>
    <row r="40746" s="160" customFormat="1" x14ac:dyDescent="0.3"/>
    <row r="40747" s="160" customFormat="1" x14ac:dyDescent="0.3"/>
    <row r="40748" s="160" customFormat="1" x14ac:dyDescent="0.3"/>
    <row r="40749" s="160" customFormat="1" x14ac:dyDescent="0.3"/>
    <row r="40750" s="160" customFormat="1" x14ac:dyDescent="0.3"/>
    <row r="40751" s="160" customFormat="1" x14ac:dyDescent="0.3"/>
    <row r="40752" s="160" customFormat="1" x14ac:dyDescent="0.3"/>
    <row r="40753" s="160" customFormat="1" x14ac:dyDescent="0.3"/>
    <row r="40754" s="160" customFormat="1" x14ac:dyDescent="0.3"/>
    <row r="40755" s="160" customFormat="1" x14ac:dyDescent="0.3"/>
    <row r="40756" s="160" customFormat="1" x14ac:dyDescent="0.3"/>
    <row r="40757" s="160" customFormat="1" x14ac:dyDescent="0.3"/>
    <row r="40758" s="160" customFormat="1" x14ac:dyDescent="0.3"/>
    <row r="40759" s="160" customFormat="1" x14ac:dyDescent="0.3"/>
    <row r="40760" s="160" customFormat="1" x14ac:dyDescent="0.3"/>
    <row r="40761" s="160" customFormat="1" x14ac:dyDescent="0.3"/>
    <row r="40762" s="160" customFormat="1" x14ac:dyDescent="0.3"/>
    <row r="40763" s="160" customFormat="1" x14ac:dyDescent="0.3"/>
    <row r="40764" s="160" customFormat="1" x14ac:dyDescent="0.3"/>
    <row r="40765" s="160" customFormat="1" x14ac:dyDescent="0.3"/>
    <row r="40766" s="160" customFormat="1" x14ac:dyDescent="0.3"/>
    <row r="40767" s="160" customFormat="1" x14ac:dyDescent="0.3"/>
    <row r="40768" s="160" customFormat="1" x14ac:dyDescent="0.3"/>
    <row r="40769" s="160" customFormat="1" x14ac:dyDescent="0.3"/>
    <row r="40770" s="160" customFormat="1" x14ac:dyDescent="0.3"/>
    <row r="40771" s="160" customFormat="1" x14ac:dyDescent="0.3"/>
    <row r="40772" s="160" customFormat="1" x14ac:dyDescent="0.3"/>
    <row r="40773" s="160" customFormat="1" x14ac:dyDescent="0.3"/>
    <row r="40774" s="160" customFormat="1" x14ac:dyDescent="0.3"/>
    <row r="40775" s="160" customFormat="1" x14ac:dyDescent="0.3"/>
    <row r="40776" s="160" customFormat="1" x14ac:dyDescent="0.3"/>
    <row r="40777" s="160" customFormat="1" x14ac:dyDescent="0.3"/>
    <row r="40778" s="160" customFormat="1" x14ac:dyDescent="0.3"/>
    <row r="40779" s="160" customFormat="1" x14ac:dyDescent="0.3"/>
    <row r="40780" s="160" customFormat="1" x14ac:dyDescent="0.3"/>
    <row r="40781" s="160" customFormat="1" x14ac:dyDescent="0.3"/>
    <row r="40782" s="160" customFormat="1" x14ac:dyDescent="0.3"/>
    <row r="40783" s="160" customFormat="1" x14ac:dyDescent="0.3"/>
    <row r="40784" s="160" customFormat="1" x14ac:dyDescent="0.3"/>
    <row r="40785" s="160" customFormat="1" x14ac:dyDescent="0.3"/>
    <row r="40786" s="160" customFormat="1" x14ac:dyDescent="0.3"/>
    <row r="40787" s="160" customFormat="1" x14ac:dyDescent="0.3"/>
    <row r="40788" s="160" customFormat="1" x14ac:dyDescent="0.3"/>
    <row r="40789" s="160" customFormat="1" x14ac:dyDescent="0.3"/>
    <row r="40790" s="160" customFormat="1" x14ac:dyDescent="0.3"/>
    <row r="40791" s="160" customFormat="1" x14ac:dyDescent="0.3"/>
    <row r="40792" s="160" customFormat="1" x14ac:dyDescent="0.3"/>
    <row r="40793" s="160" customFormat="1" x14ac:dyDescent="0.3"/>
    <row r="40794" s="160" customFormat="1" x14ac:dyDescent="0.3"/>
    <row r="40795" s="160" customFormat="1" x14ac:dyDescent="0.3"/>
    <row r="40796" s="160" customFormat="1" x14ac:dyDescent="0.3"/>
    <row r="40797" s="160" customFormat="1" x14ac:dyDescent="0.3"/>
    <row r="40798" s="160" customFormat="1" x14ac:dyDescent="0.3"/>
    <row r="40799" s="160" customFormat="1" x14ac:dyDescent="0.3"/>
    <row r="40800" s="160" customFormat="1" x14ac:dyDescent="0.3"/>
    <row r="40801" s="160" customFormat="1" x14ac:dyDescent="0.3"/>
    <row r="40802" s="160" customFormat="1" x14ac:dyDescent="0.3"/>
    <row r="40803" s="160" customFormat="1" x14ac:dyDescent="0.3"/>
    <row r="40804" s="160" customFormat="1" x14ac:dyDescent="0.3"/>
    <row r="40805" s="160" customFormat="1" x14ac:dyDescent="0.3"/>
    <row r="40806" s="160" customFormat="1" x14ac:dyDescent="0.3"/>
    <row r="40807" s="160" customFormat="1" x14ac:dyDescent="0.3"/>
    <row r="40808" s="160" customFormat="1" x14ac:dyDescent="0.3"/>
    <row r="40809" s="160" customFormat="1" x14ac:dyDescent="0.3"/>
    <row r="40810" s="160" customFormat="1" x14ac:dyDescent="0.3"/>
    <row r="40811" s="160" customFormat="1" x14ac:dyDescent="0.3"/>
    <row r="40812" s="160" customFormat="1" x14ac:dyDescent="0.3"/>
    <row r="40813" s="160" customFormat="1" x14ac:dyDescent="0.3"/>
    <row r="40814" s="160" customFormat="1" x14ac:dyDescent="0.3"/>
    <row r="40815" s="160" customFormat="1" x14ac:dyDescent="0.3"/>
    <row r="40816" s="160" customFormat="1" x14ac:dyDescent="0.3"/>
    <row r="40817" s="160" customFormat="1" x14ac:dyDescent="0.3"/>
    <row r="40818" s="160" customFormat="1" x14ac:dyDescent="0.3"/>
    <row r="40819" s="160" customFormat="1" x14ac:dyDescent="0.3"/>
    <row r="40820" s="160" customFormat="1" x14ac:dyDescent="0.3"/>
    <row r="40821" s="160" customFormat="1" x14ac:dyDescent="0.3"/>
    <row r="40822" s="160" customFormat="1" x14ac:dyDescent="0.3"/>
    <row r="40823" s="160" customFormat="1" x14ac:dyDescent="0.3"/>
    <row r="40824" s="160" customFormat="1" x14ac:dyDescent="0.3"/>
    <row r="40825" s="160" customFormat="1" x14ac:dyDescent="0.3"/>
    <row r="40826" s="160" customFormat="1" x14ac:dyDescent="0.3"/>
    <row r="40827" s="160" customFormat="1" x14ac:dyDescent="0.3"/>
    <row r="40828" s="160" customFormat="1" x14ac:dyDescent="0.3"/>
    <row r="40829" s="160" customFormat="1" x14ac:dyDescent="0.3"/>
    <row r="40830" s="160" customFormat="1" x14ac:dyDescent="0.3"/>
    <row r="40831" s="160" customFormat="1" x14ac:dyDescent="0.3"/>
    <row r="40832" s="160" customFormat="1" x14ac:dyDescent="0.3"/>
    <row r="40833" s="160" customFormat="1" x14ac:dyDescent="0.3"/>
    <row r="40834" s="160" customFormat="1" x14ac:dyDescent="0.3"/>
    <row r="40835" s="160" customFormat="1" x14ac:dyDescent="0.3"/>
    <row r="40836" s="160" customFormat="1" x14ac:dyDescent="0.3"/>
    <row r="40837" s="160" customFormat="1" x14ac:dyDescent="0.3"/>
    <row r="40838" s="160" customFormat="1" x14ac:dyDescent="0.3"/>
    <row r="40839" s="160" customFormat="1" x14ac:dyDescent="0.3"/>
    <row r="40840" s="160" customFormat="1" x14ac:dyDescent="0.3"/>
    <row r="40841" s="160" customFormat="1" x14ac:dyDescent="0.3"/>
    <row r="40842" s="160" customFormat="1" x14ac:dyDescent="0.3"/>
    <row r="40843" s="160" customFormat="1" x14ac:dyDescent="0.3"/>
    <row r="40844" s="160" customFormat="1" x14ac:dyDescent="0.3"/>
    <row r="40845" s="160" customFormat="1" x14ac:dyDescent="0.3"/>
    <row r="40846" s="160" customFormat="1" x14ac:dyDescent="0.3"/>
    <row r="40847" s="160" customFormat="1" x14ac:dyDescent="0.3"/>
    <row r="40848" s="160" customFormat="1" x14ac:dyDescent="0.3"/>
    <row r="40849" s="160" customFormat="1" x14ac:dyDescent="0.3"/>
    <row r="40850" s="160" customFormat="1" x14ac:dyDescent="0.3"/>
    <row r="40851" s="160" customFormat="1" x14ac:dyDescent="0.3"/>
    <row r="40852" s="160" customFormat="1" x14ac:dyDescent="0.3"/>
    <row r="40853" s="160" customFormat="1" x14ac:dyDescent="0.3"/>
    <row r="40854" s="160" customFormat="1" x14ac:dyDescent="0.3"/>
    <row r="40855" s="160" customFormat="1" x14ac:dyDescent="0.3"/>
    <row r="40856" s="160" customFormat="1" x14ac:dyDescent="0.3"/>
    <row r="40857" s="160" customFormat="1" x14ac:dyDescent="0.3"/>
    <row r="40858" s="160" customFormat="1" x14ac:dyDescent="0.3"/>
    <row r="40859" s="160" customFormat="1" x14ac:dyDescent="0.3"/>
    <row r="40860" s="160" customFormat="1" x14ac:dyDescent="0.3"/>
    <row r="40861" s="160" customFormat="1" x14ac:dyDescent="0.3"/>
    <row r="40862" s="160" customFormat="1" x14ac:dyDescent="0.3"/>
    <row r="40863" s="160" customFormat="1" x14ac:dyDescent="0.3"/>
    <row r="40864" s="160" customFormat="1" x14ac:dyDescent="0.3"/>
    <row r="40865" s="160" customFormat="1" x14ac:dyDescent="0.3"/>
    <row r="40866" s="160" customFormat="1" x14ac:dyDescent="0.3"/>
    <row r="40867" s="160" customFormat="1" x14ac:dyDescent="0.3"/>
    <row r="40868" s="160" customFormat="1" x14ac:dyDescent="0.3"/>
    <row r="40869" s="160" customFormat="1" x14ac:dyDescent="0.3"/>
    <row r="40870" s="160" customFormat="1" x14ac:dyDescent="0.3"/>
    <row r="40871" s="160" customFormat="1" x14ac:dyDescent="0.3"/>
    <row r="40872" s="160" customFormat="1" x14ac:dyDescent="0.3"/>
    <row r="40873" s="160" customFormat="1" x14ac:dyDescent="0.3"/>
    <row r="40874" s="160" customFormat="1" x14ac:dyDescent="0.3"/>
    <row r="40875" s="160" customFormat="1" x14ac:dyDescent="0.3"/>
    <row r="40876" s="160" customFormat="1" x14ac:dyDescent="0.3"/>
    <row r="40877" s="160" customFormat="1" x14ac:dyDescent="0.3"/>
    <row r="40878" s="160" customFormat="1" x14ac:dyDescent="0.3"/>
    <row r="40879" s="160" customFormat="1" x14ac:dyDescent="0.3"/>
    <row r="40880" s="160" customFormat="1" x14ac:dyDescent="0.3"/>
    <row r="40881" s="160" customFormat="1" x14ac:dyDescent="0.3"/>
    <row r="40882" s="160" customFormat="1" x14ac:dyDescent="0.3"/>
    <row r="40883" s="160" customFormat="1" x14ac:dyDescent="0.3"/>
    <row r="40884" s="160" customFormat="1" x14ac:dyDescent="0.3"/>
    <row r="40885" s="160" customFormat="1" x14ac:dyDescent="0.3"/>
    <row r="40886" s="160" customFormat="1" x14ac:dyDescent="0.3"/>
    <row r="40887" s="160" customFormat="1" x14ac:dyDescent="0.3"/>
    <row r="40888" s="160" customFormat="1" x14ac:dyDescent="0.3"/>
    <row r="40889" s="160" customFormat="1" x14ac:dyDescent="0.3"/>
    <row r="40890" s="160" customFormat="1" x14ac:dyDescent="0.3"/>
    <row r="40891" s="160" customFormat="1" x14ac:dyDescent="0.3"/>
    <row r="40892" s="160" customFormat="1" x14ac:dyDescent="0.3"/>
    <row r="40893" s="160" customFormat="1" x14ac:dyDescent="0.3"/>
    <row r="40894" s="160" customFormat="1" x14ac:dyDescent="0.3"/>
    <row r="40895" s="160" customFormat="1" x14ac:dyDescent="0.3"/>
    <row r="40896" s="160" customFormat="1" x14ac:dyDescent="0.3"/>
    <row r="40897" s="160" customFormat="1" x14ac:dyDescent="0.3"/>
    <row r="40898" s="160" customFormat="1" x14ac:dyDescent="0.3"/>
    <row r="40899" s="160" customFormat="1" x14ac:dyDescent="0.3"/>
    <row r="40900" s="160" customFormat="1" x14ac:dyDescent="0.3"/>
    <row r="40901" s="160" customFormat="1" x14ac:dyDescent="0.3"/>
    <row r="40902" s="160" customFormat="1" x14ac:dyDescent="0.3"/>
    <row r="40903" s="160" customFormat="1" x14ac:dyDescent="0.3"/>
    <row r="40904" s="160" customFormat="1" x14ac:dyDescent="0.3"/>
    <row r="40905" s="160" customFormat="1" x14ac:dyDescent="0.3"/>
    <row r="40906" s="160" customFormat="1" x14ac:dyDescent="0.3"/>
    <row r="40907" s="160" customFormat="1" x14ac:dyDescent="0.3"/>
    <row r="40908" s="160" customFormat="1" x14ac:dyDescent="0.3"/>
    <row r="40909" s="160" customFormat="1" x14ac:dyDescent="0.3"/>
    <row r="40910" s="160" customFormat="1" x14ac:dyDescent="0.3"/>
    <row r="40911" s="160" customFormat="1" x14ac:dyDescent="0.3"/>
    <row r="40912" s="160" customFormat="1" x14ac:dyDescent="0.3"/>
    <row r="40913" s="160" customFormat="1" x14ac:dyDescent="0.3"/>
    <row r="40914" s="160" customFormat="1" x14ac:dyDescent="0.3"/>
    <row r="40915" s="160" customFormat="1" x14ac:dyDescent="0.3"/>
    <row r="40916" s="160" customFormat="1" x14ac:dyDescent="0.3"/>
    <row r="40917" s="160" customFormat="1" x14ac:dyDescent="0.3"/>
    <row r="40918" s="160" customFormat="1" x14ac:dyDescent="0.3"/>
    <row r="40919" s="160" customFormat="1" x14ac:dyDescent="0.3"/>
    <row r="40920" s="160" customFormat="1" x14ac:dyDescent="0.3"/>
    <row r="40921" s="160" customFormat="1" x14ac:dyDescent="0.3"/>
    <row r="40922" s="160" customFormat="1" x14ac:dyDescent="0.3"/>
    <row r="40923" s="160" customFormat="1" x14ac:dyDescent="0.3"/>
    <row r="40924" s="160" customFormat="1" x14ac:dyDescent="0.3"/>
    <row r="40925" s="160" customFormat="1" x14ac:dyDescent="0.3"/>
    <row r="40926" s="160" customFormat="1" x14ac:dyDescent="0.3"/>
    <row r="40927" s="160" customFormat="1" x14ac:dyDescent="0.3"/>
    <row r="40928" s="160" customFormat="1" x14ac:dyDescent="0.3"/>
    <row r="40929" s="160" customFormat="1" x14ac:dyDescent="0.3"/>
    <row r="40930" s="160" customFormat="1" x14ac:dyDescent="0.3"/>
    <row r="40931" s="160" customFormat="1" x14ac:dyDescent="0.3"/>
    <row r="40932" s="160" customFormat="1" x14ac:dyDescent="0.3"/>
    <row r="40933" s="160" customFormat="1" x14ac:dyDescent="0.3"/>
    <row r="40934" s="160" customFormat="1" x14ac:dyDescent="0.3"/>
    <row r="40935" s="160" customFormat="1" x14ac:dyDescent="0.3"/>
    <row r="40936" s="160" customFormat="1" x14ac:dyDescent="0.3"/>
    <row r="40937" s="160" customFormat="1" x14ac:dyDescent="0.3"/>
    <row r="40938" s="160" customFormat="1" x14ac:dyDescent="0.3"/>
    <row r="40939" s="160" customFormat="1" x14ac:dyDescent="0.3"/>
    <row r="40940" s="160" customFormat="1" x14ac:dyDescent="0.3"/>
    <row r="40941" s="160" customFormat="1" x14ac:dyDescent="0.3"/>
    <row r="40942" s="160" customFormat="1" x14ac:dyDescent="0.3"/>
    <row r="40943" s="160" customFormat="1" x14ac:dyDescent="0.3"/>
    <row r="40944" s="160" customFormat="1" x14ac:dyDescent="0.3"/>
    <row r="40945" s="160" customFormat="1" x14ac:dyDescent="0.3"/>
    <row r="40946" s="160" customFormat="1" x14ac:dyDescent="0.3"/>
    <row r="40947" s="160" customFormat="1" x14ac:dyDescent="0.3"/>
    <row r="40948" s="160" customFormat="1" x14ac:dyDescent="0.3"/>
    <row r="40949" s="160" customFormat="1" x14ac:dyDescent="0.3"/>
    <row r="40950" s="160" customFormat="1" x14ac:dyDescent="0.3"/>
    <row r="40951" s="160" customFormat="1" x14ac:dyDescent="0.3"/>
    <row r="40952" s="160" customFormat="1" x14ac:dyDescent="0.3"/>
    <row r="40953" s="160" customFormat="1" x14ac:dyDescent="0.3"/>
    <row r="40954" s="160" customFormat="1" x14ac:dyDescent="0.3"/>
    <row r="40955" s="160" customFormat="1" x14ac:dyDescent="0.3"/>
    <row r="40956" s="160" customFormat="1" x14ac:dyDescent="0.3"/>
    <row r="40957" s="160" customFormat="1" x14ac:dyDescent="0.3"/>
    <row r="40958" s="160" customFormat="1" x14ac:dyDescent="0.3"/>
    <row r="40959" s="160" customFormat="1" x14ac:dyDescent="0.3"/>
    <row r="40960" s="160" customFormat="1" x14ac:dyDescent="0.3"/>
    <row r="40961" s="160" customFormat="1" x14ac:dyDescent="0.3"/>
    <row r="40962" s="160" customFormat="1" x14ac:dyDescent="0.3"/>
    <row r="40963" s="160" customFormat="1" x14ac:dyDescent="0.3"/>
    <row r="40964" s="160" customFormat="1" x14ac:dyDescent="0.3"/>
    <row r="40965" s="160" customFormat="1" x14ac:dyDescent="0.3"/>
    <row r="40966" s="160" customFormat="1" x14ac:dyDescent="0.3"/>
    <row r="40967" s="160" customFormat="1" x14ac:dyDescent="0.3"/>
    <row r="40968" s="160" customFormat="1" x14ac:dyDescent="0.3"/>
    <row r="40969" s="160" customFormat="1" x14ac:dyDescent="0.3"/>
    <row r="40970" s="160" customFormat="1" x14ac:dyDescent="0.3"/>
    <row r="40971" s="160" customFormat="1" x14ac:dyDescent="0.3"/>
    <row r="40972" s="160" customFormat="1" x14ac:dyDescent="0.3"/>
    <row r="40973" s="160" customFormat="1" x14ac:dyDescent="0.3"/>
    <row r="40974" s="160" customFormat="1" x14ac:dyDescent="0.3"/>
    <row r="40975" s="160" customFormat="1" x14ac:dyDescent="0.3"/>
    <row r="40976" s="160" customFormat="1" x14ac:dyDescent="0.3"/>
    <row r="40977" s="160" customFormat="1" x14ac:dyDescent="0.3"/>
    <row r="40978" s="160" customFormat="1" x14ac:dyDescent="0.3"/>
    <row r="40979" s="160" customFormat="1" x14ac:dyDescent="0.3"/>
    <row r="40980" s="160" customFormat="1" x14ac:dyDescent="0.3"/>
    <row r="40981" s="160" customFormat="1" x14ac:dyDescent="0.3"/>
    <row r="40982" s="160" customFormat="1" x14ac:dyDescent="0.3"/>
    <row r="40983" s="160" customFormat="1" x14ac:dyDescent="0.3"/>
    <row r="40984" s="160" customFormat="1" x14ac:dyDescent="0.3"/>
    <row r="40985" s="160" customFormat="1" x14ac:dyDescent="0.3"/>
    <row r="40986" s="160" customFormat="1" x14ac:dyDescent="0.3"/>
    <row r="40987" s="160" customFormat="1" x14ac:dyDescent="0.3"/>
    <row r="40988" s="160" customFormat="1" x14ac:dyDescent="0.3"/>
    <row r="40989" s="160" customFormat="1" x14ac:dyDescent="0.3"/>
    <row r="40990" s="160" customFormat="1" x14ac:dyDescent="0.3"/>
    <row r="40991" s="160" customFormat="1" x14ac:dyDescent="0.3"/>
    <row r="40992" s="160" customFormat="1" x14ac:dyDescent="0.3"/>
    <row r="40993" s="160" customFormat="1" x14ac:dyDescent="0.3"/>
    <row r="40994" s="160" customFormat="1" x14ac:dyDescent="0.3"/>
    <row r="40995" s="160" customFormat="1" x14ac:dyDescent="0.3"/>
    <row r="40996" s="160" customFormat="1" x14ac:dyDescent="0.3"/>
    <row r="40997" s="160" customFormat="1" x14ac:dyDescent="0.3"/>
    <row r="40998" s="160" customFormat="1" x14ac:dyDescent="0.3"/>
    <row r="40999" s="160" customFormat="1" x14ac:dyDescent="0.3"/>
    <row r="41000" s="160" customFormat="1" x14ac:dyDescent="0.3"/>
    <row r="41001" s="160" customFormat="1" x14ac:dyDescent="0.3"/>
    <row r="41002" s="160" customFormat="1" x14ac:dyDescent="0.3"/>
    <row r="41003" s="160" customFormat="1" x14ac:dyDescent="0.3"/>
    <row r="41004" s="160" customFormat="1" x14ac:dyDescent="0.3"/>
    <row r="41005" s="160" customFormat="1" x14ac:dyDescent="0.3"/>
    <row r="41006" s="160" customFormat="1" x14ac:dyDescent="0.3"/>
    <row r="41007" s="160" customFormat="1" x14ac:dyDescent="0.3"/>
    <row r="41008" s="160" customFormat="1" x14ac:dyDescent="0.3"/>
    <row r="41009" s="160" customFormat="1" x14ac:dyDescent="0.3"/>
    <row r="41010" s="160" customFormat="1" x14ac:dyDescent="0.3"/>
    <row r="41011" s="160" customFormat="1" x14ac:dyDescent="0.3"/>
    <row r="41012" s="160" customFormat="1" x14ac:dyDescent="0.3"/>
    <row r="41013" s="160" customFormat="1" x14ac:dyDescent="0.3"/>
    <row r="41014" s="160" customFormat="1" x14ac:dyDescent="0.3"/>
    <row r="41015" s="160" customFormat="1" x14ac:dyDescent="0.3"/>
    <row r="41016" s="160" customFormat="1" x14ac:dyDescent="0.3"/>
    <row r="41017" s="160" customFormat="1" x14ac:dyDescent="0.3"/>
    <row r="41018" s="160" customFormat="1" x14ac:dyDescent="0.3"/>
    <row r="41019" s="160" customFormat="1" x14ac:dyDescent="0.3"/>
    <row r="41020" s="160" customFormat="1" x14ac:dyDescent="0.3"/>
    <row r="41021" s="160" customFormat="1" x14ac:dyDescent="0.3"/>
    <row r="41022" s="160" customFormat="1" x14ac:dyDescent="0.3"/>
    <row r="41023" s="160" customFormat="1" x14ac:dyDescent="0.3"/>
    <row r="41024" s="160" customFormat="1" x14ac:dyDescent="0.3"/>
    <row r="41025" s="160" customFormat="1" x14ac:dyDescent="0.3"/>
    <row r="41026" s="160" customFormat="1" x14ac:dyDescent="0.3"/>
    <row r="41027" s="160" customFormat="1" x14ac:dyDescent="0.3"/>
    <row r="41028" s="160" customFormat="1" x14ac:dyDescent="0.3"/>
    <row r="41029" s="160" customFormat="1" x14ac:dyDescent="0.3"/>
    <row r="41030" s="160" customFormat="1" x14ac:dyDescent="0.3"/>
    <row r="41031" s="160" customFormat="1" x14ac:dyDescent="0.3"/>
    <row r="41032" s="160" customFormat="1" x14ac:dyDescent="0.3"/>
    <row r="41033" s="160" customFormat="1" x14ac:dyDescent="0.3"/>
    <row r="41034" s="160" customFormat="1" x14ac:dyDescent="0.3"/>
    <row r="41035" s="160" customFormat="1" x14ac:dyDescent="0.3"/>
    <row r="41036" s="160" customFormat="1" x14ac:dyDescent="0.3"/>
    <row r="41037" s="160" customFormat="1" x14ac:dyDescent="0.3"/>
    <row r="41038" s="160" customFormat="1" x14ac:dyDescent="0.3"/>
    <row r="41039" s="160" customFormat="1" x14ac:dyDescent="0.3"/>
    <row r="41040" s="160" customFormat="1" x14ac:dyDescent="0.3"/>
    <row r="41041" s="160" customFormat="1" x14ac:dyDescent="0.3"/>
    <row r="41042" s="160" customFormat="1" x14ac:dyDescent="0.3"/>
    <row r="41043" s="160" customFormat="1" x14ac:dyDescent="0.3"/>
    <row r="41044" s="160" customFormat="1" x14ac:dyDescent="0.3"/>
    <row r="41045" s="160" customFormat="1" x14ac:dyDescent="0.3"/>
    <row r="41046" s="160" customFormat="1" x14ac:dyDescent="0.3"/>
    <row r="41047" s="160" customFormat="1" x14ac:dyDescent="0.3"/>
    <row r="41048" s="160" customFormat="1" x14ac:dyDescent="0.3"/>
    <row r="41049" s="160" customFormat="1" x14ac:dyDescent="0.3"/>
    <row r="41050" s="160" customFormat="1" x14ac:dyDescent="0.3"/>
    <row r="41051" s="160" customFormat="1" x14ac:dyDescent="0.3"/>
    <row r="41052" s="160" customFormat="1" x14ac:dyDescent="0.3"/>
    <row r="41053" s="160" customFormat="1" x14ac:dyDescent="0.3"/>
    <row r="41054" s="160" customFormat="1" x14ac:dyDescent="0.3"/>
    <row r="41055" s="160" customFormat="1" x14ac:dyDescent="0.3"/>
    <row r="41056" s="160" customFormat="1" x14ac:dyDescent="0.3"/>
    <row r="41057" s="160" customFormat="1" x14ac:dyDescent="0.3"/>
    <row r="41058" s="160" customFormat="1" x14ac:dyDescent="0.3"/>
    <row r="41059" s="160" customFormat="1" x14ac:dyDescent="0.3"/>
    <row r="41060" s="160" customFormat="1" x14ac:dyDescent="0.3"/>
    <row r="41061" s="160" customFormat="1" x14ac:dyDescent="0.3"/>
    <row r="41062" s="160" customFormat="1" x14ac:dyDescent="0.3"/>
    <row r="41063" s="160" customFormat="1" x14ac:dyDescent="0.3"/>
    <row r="41064" s="160" customFormat="1" x14ac:dyDescent="0.3"/>
    <row r="41065" s="160" customFormat="1" x14ac:dyDescent="0.3"/>
    <row r="41066" s="160" customFormat="1" x14ac:dyDescent="0.3"/>
    <row r="41067" s="160" customFormat="1" x14ac:dyDescent="0.3"/>
    <row r="41068" s="160" customFormat="1" x14ac:dyDescent="0.3"/>
    <row r="41069" s="160" customFormat="1" x14ac:dyDescent="0.3"/>
    <row r="41070" s="160" customFormat="1" x14ac:dyDescent="0.3"/>
    <row r="41071" s="160" customFormat="1" x14ac:dyDescent="0.3"/>
    <row r="41072" s="160" customFormat="1" x14ac:dyDescent="0.3"/>
    <row r="41073" s="160" customFormat="1" x14ac:dyDescent="0.3"/>
    <row r="41074" s="160" customFormat="1" x14ac:dyDescent="0.3"/>
    <row r="41075" s="160" customFormat="1" x14ac:dyDescent="0.3"/>
    <row r="41076" s="160" customFormat="1" x14ac:dyDescent="0.3"/>
    <row r="41077" s="160" customFormat="1" x14ac:dyDescent="0.3"/>
    <row r="41078" s="160" customFormat="1" x14ac:dyDescent="0.3"/>
    <row r="41079" s="160" customFormat="1" x14ac:dyDescent="0.3"/>
    <row r="41080" s="160" customFormat="1" x14ac:dyDescent="0.3"/>
    <row r="41081" s="160" customFormat="1" x14ac:dyDescent="0.3"/>
    <row r="41082" s="160" customFormat="1" x14ac:dyDescent="0.3"/>
    <row r="41083" s="160" customFormat="1" x14ac:dyDescent="0.3"/>
    <row r="41084" s="160" customFormat="1" x14ac:dyDescent="0.3"/>
    <row r="41085" s="160" customFormat="1" x14ac:dyDescent="0.3"/>
    <row r="41086" s="160" customFormat="1" x14ac:dyDescent="0.3"/>
    <row r="41087" s="160" customFormat="1" x14ac:dyDescent="0.3"/>
    <row r="41088" s="160" customFormat="1" x14ac:dyDescent="0.3"/>
    <row r="41089" s="160" customFormat="1" x14ac:dyDescent="0.3"/>
    <row r="41090" s="160" customFormat="1" x14ac:dyDescent="0.3"/>
    <row r="41091" s="160" customFormat="1" x14ac:dyDescent="0.3"/>
    <row r="41092" s="160" customFormat="1" x14ac:dyDescent="0.3"/>
    <row r="41093" s="160" customFormat="1" x14ac:dyDescent="0.3"/>
    <row r="41094" s="160" customFormat="1" x14ac:dyDescent="0.3"/>
    <row r="41095" s="160" customFormat="1" x14ac:dyDescent="0.3"/>
    <row r="41096" s="160" customFormat="1" x14ac:dyDescent="0.3"/>
    <row r="41097" s="160" customFormat="1" x14ac:dyDescent="0.3"/>
    <row r="41098" s="160" customFormat="1" x14ac:dyDescent="0.3"/>
    <row r="41099" s="160" customFormat="1" x14ac:dyDescent="0.3"/>
    <row r="41100" s="160" customFormat="1" x14ac:dyDescent="0.3"/>
    <row r="41101" s="160" customFormat="1" x14ac:dyDescent="0.3"/>
    <row r="41102" s="160" customFormat="1" x14ac:dyDescent="0.3"/>
    <row r="41103" s="160" customFormat="1" x14ac:dyDescent="0.3"/>
    <row r="41104" s="160" customFormat="1" x14ac:dyDescent="0.3"/>
    <row r="41105" s="160" customFormat="1" x14ac:dyDescent="0.3"/>
    <row r="41106" s="160" customFormat="1" x14ac:dyDescent="0.3"/>
    <row r="41107" s="160" customFormat="1" x14ac:dyDescent="0.3"/>
    <row r="41108" s="160" customFormat="1" x14ac:dyDescent="0.3"/>
    <row r="41109" s="160" customFormat="1" x14ac:dyDescent="0.3"/>
    <row r="41110" s="160" customFormat="1" x14ac:dyDescent="0.3"/>
    <row r="41111" s="160" customFormat="1" x14ac:dyDescent="0.3"/>
    <row r="41112" s="160" customFormat="1" x14ac:dyDescent="0.3"/>
    <row r="41113" s="160" customFormat="1" x14ac:dyDescent="0.3"/>
    <row r="41114" s="160" customFormat="1" x14ac:dyDescent="0.3"/>
    <row r="41115" s="160" customFormat="1" x14ac:dyDescent="0.3"/>
    <row r="41116" s="160" customFormat="1" x14ac:dyDescent="0.3"/>
    <row r="41117" s="160" customFormat="1" x14ac:dyDescent="0.3"/>
    <row r="41118" s="160" customFormat="1" x14ac:dyDescent="0.3"/>
    <row r="41119" s="160" customFormat="1" x14ac:dyDescent="0.3"/>
    <row r="41120" s="160" customFormat="1" x14ac:dyDescent="0.3"/>
    <row r="41121" s="160" customFormat="1" x14ac:dyDescent="0.3"/>
    <row r="41122" s="160" customFormat="1" x14ac:dyDescent="0.3"/>
    <row r="41123" s="160" customFormat="1" x14ac:dyDescent="0.3"/>
    <row r="41124" s="160" customFormat="1" x14ac:dyDescent="0.3"/>
    <row r="41125" s="160" customFormat="1" x14ac:dyDescent="0.3"/>
    <row r="41126" s="160" customFormat="1" x14ac:dyDescent="0.3"/>
    <row r="41127" s="160" customFormat="1" x14ac:dyDescent="0.3"/>
    <row r="41128" s="160" customFormat="1" x14ac:dyDescent="0.3"/>
    <row r="41129" s="160" customFormat="1" x14ac:dyDescent="0.3"/>
    <row r="41130" s="160" customFormat="1" x14ac:dyDescent="0.3"/>
    <row r="41131" s="160" customFormat="1" x14ac:dyDescent="0.3"/>
    <row r="41132" s="160" customFormat="1" x14ac:dyDescent="0.3"/>
    <row r="41133" s="160" customFormat="1" x14ac:dyDescent="0.3"/>
    <row r="41134" s="160" customFormat="1" x14ac:dyDescent="0.3"/>
    <row r="41135" s="160" customFormat="1" x14ac:dyDescent="0.3"/>
    <row r="41136" s="160" customFormat="1" x14ac:dyDescent="0.3"/>
    <row r="41137" s="160" customFormat="1" x14ac:dyDescent="0.3"/>
    <row r="41138" s="160" customFormat="1" x14ac:dyDescent="0.3"/>
    <row r="41139" s="160" customFormat="1" x14ac:dyDescent="0.3"/>
    <row r="41140" s="160" customFormat="1" x14ac:dyDescent="0.3"/>
    <row r="41141" s="160" customFormat="1" x14ac:dyDescent="0.3"/>
    <row r="41142" s="160" customFormat="1" x14ac:dyDescent="0.3"/>
    <row r="41143" s="160" customFormat="1" x14ac:dyDescent="0.3"/>
    <row r="41144" s="160" customFormat="1" x14ac:dyDescent="0.3"/>
    <row r="41145" s="160" customFormat="1" x14ac:dyDescent="0.3"/>
    <row r="41146" s="160" customFormat="1" x14ac:dyDescent="0.3"/>
    <row r="41147" s="160" customFormat="1" x14ac:dyDescent="0.3"/>
    <row r="41148" s="160" customFormat="1" x14ac:dyDescent="0.3"/>
    <row r="41149" s="160" customFormat="1" x14ac:dyDescent="0.3"/>
    <row r="41150" s="160" customFormat="1" x14ac:dyDescent="0.3"/>
    <row r="41151" s="160" customFormat="1" x14ac:dyDescent="0.3"/>
    <row r="41152" s="160" customFormat="1" x14ac:dyDescent="0.3"/>
    <row r="41153" s="160" customFormat="1" x14ac:dyDescent="0.3"/>
    <row r="41154" s="160" customFormat="1" x14ac:dyDescent="0.3"/>
    <row r="41155" s="160" customFormat="1" x14ac:dyDescent="0.3"/>
    <row r="41156" s="160" customFormat="1" x14ac:dyDescent="0.3"/>
    <row r="41157" s="160" customFormat="1" x14ac:dyDescent="0.3"/>
    <row r="41158" s="160" customFormat="1" x14ac:dyDescent="0.3"/>
    <row r="41159" s="160" customFormat="1" x14ac:dyDescent="0.3"/>
    <row r="41160" s="160" customFormat="1" x14ac:dyDescent="0.3"/>
    <row r="41161" s="160" customFormat="1" x14ac:dyDescent="0.3"/>
    <row r="41162" s="160" customFormat="1" x14ac:dyDescent="0.3"/>
    <row r="41163" s="160" customFormat="1" x14ac:dyDescent="0.3"/>
    <row r="41164" s="160" customFormat="1" x14ac:dyDescent="0.3"/>
    <row r="41165" s="160" customFormat="1" x14ac:dyDescent="0.3"/>
    <row r="41166" s="160" customFormat="1" x14ac:dyDescent="0.3"/>
    <row r="41167" s="160" customFormat="1" x14ac:dyDescent="0.3"/>
    <row r="41168" s="160" customFormat="1" x14ac:dyDescent="0.3"/>
    <row r="41169" s="160" customFormat="1" x14ac:dyDescent="0.3"/>
    <row r="41170" s="160" customFormat="1" x14ac:dyDescent="0.3"/>
    <row r="41171" s="160" customFormat="1" x14ac:dyDescent="0.3"/>
    <row r="41172" s="160" customFormat="1" x14ac:dyDescent="0.3"/>
    <row r="41173" s="160" customFormat="1" x14ac:dyDescent="0.3"/>
    <row r="41174" s="160" customFormat="1" x14ac:dyDescent="0.3"/>
    <row r="41175" s="160" customFormat="1" x14ac:dyDescent="0.3"/>
    <row r="41176" s="160" customFormat="1" x14ac:dyDescent="0.3"/>
    <row r="41177" s="160" customFormat="1" x14ac:dyDescent="0.3"/>
    <row r="41178" s="160" customFormat="1" x14ac:dyDescent="0.3"/>
    <row r="41179" s="160" customFormat="1" x14ac:dyDescent="0.3"/>
    <row r="41180" s="160" customFormat="1" x14ac:dyDescent="0.3"/>
    <row r="41181" s="160" customFormat="1" x14ac:dyDescent="0.3"/>
    <row r="41182" s="160" customFormat="1" x14ac:dyDescent="0.3"/>
    <row r="41183" s="160" customFormat="1" x14ac:dyDescent="0.3"/>
    <row r="41184" s="160" customFormat="1" x14ac:dyDescent="0.3"/>
    <row r="41185" s="160" customFormat="1" x14ac:dyDescent="0.3"/>
    <row r="41186" s="160" customFormat="1" x14ac:dyDescent="0.3"/>
    <row r="41187" s="160" customFormat="1" x14ac:dyDescent="0.3"/>
    <row r="41188" s="160" customFormat="1" x14ac:dyDescent="0.3"/>
    <row r="41189" s="160" customFormat="1" x14ac:dyDescent="0.3"/>
    <row r="41190" s="160" customFormat="1" x14ac:dyDescent="0.3"/>
    <row r="41191" s="160" customFormat="1" x14ac:dyDescent="0.3"/>
    <row r="41192" s="160" customFormat="1" x14ac:dyDescent="0.3"/>
    <row r="41193" s="160" customFormat="1" x14ac:dyDescent="0.3"/>
    <row r="41194" s="160" customFormat="1" x14ac:dyDescent="0.3"/>
    <row r="41195" s="160" customFormat="1" x14ac:dyDescent="0.3"/>
    <row r="41196" s="160" customFormat="1" x14ac:dyDescent="0.3"/>
    <row r="41197" s="160" customFormat="1" x14ac:dyDescent="0.3"/>
    <row r="41198" s="160" customFormat="1" x14ac:dyDescent="0.3"/>
    <row r="41199" s="160" customFormat="1" x14ac:dyDescent="0.3"/>
    <row r="41200" s="160" customFormat="1" x14ac:dyDescent="0.3"/>
    <row r="41201" s="160" customFormat="1" x14ac:dyDescent="0.3"/>
    <row r="41202" s="160" customFormat="1" x14ac:dyDescent="0.3"/>
    <row r="41203" s="160" customFormat="1" x14ac:dyDescent="0.3"/>
    <row r="41204" s="160" customFormat="1" x14ac:dyDescent="0.3"/>
    <row r="41205" s="160" customFormat="1" x14ac:dyDescent="0.3"/>
    <row r="41206" s="160" customFormat="1" x14ac:dyDescent="0.3"/>
    <row r="41207" s="160" customFormat="1" x14ac:dyDescent="0.3"/>
    <row r="41208" s="160" customFormat="1" x14ac:dyDescent="0.3"/>
    <row r="41209" s="160" customFormat="1" x14ac:dyDescent="0.3"/>
    <row r="41210" s="160" customFormat="1" x14ac:dyDescent="0.3"/>
    <row r="41211" s="160" customFormat="1" x14ac:dyDescent="0.3"/>
    <row r="41212" s="160" customFormat="1" x14ac:dyDescent="0.3"/>
    <row r="41213" s="160" customFormat="1" x14ac:dyDescent="0.3"/>
    <row r="41214" s="160" customFormat="1" x14ac:dyDescent="0.3"/>
    <row r="41215" s="160" customFormat="1" x14ac:dyDescent="0.3"/>
    <row r="41216" s="160" customFormat="1" x14ac:dyDescent="0.3"/>
    <row r="41217" s="160" customFormat="1" x14ac:dyDescent="0.3"/>
    <row r="41218" s="160" customFormat="1" x14ac:dyDescent="0.3"/>
    <row r="41219" s="160" customFormat="1" x14ac:dyDescent="0.3"/>
    <row r="41220" s="160" customFormat="1" x14ac:dyDescent="0.3"/>
    <row r="41221" s="160" customFormat="1" x14ac:dyDescent="0.3"/>
    <row r="41222" s="160" customFormat="1" x14ac:dyDescent="0.3"/>
    <row r="41223" s="160" customFormat="1" x14ac:dyDescent="0.3"/>
    <row r="41224" s="160" customFormat="1" x14ac:dyDescent="0.3"/>
    <row r="41225" s="160" customFormat="1" x14ac:dyDescent="0.3"/>
    <row r="41226" s="160" customFormat="1" x14ac:dyDescent="0.3"/>
    <row r="41227" s="160" customFormat="1" x14ac:dyDescent="0.3"/>
    <row r="41228" s="160" customFormat="1" x14ac:dyDescent="0.3"/>
    <row r="41229" s="160" customFormat="1" x14ac:dyDescent="0.3"/>
    <row r="41230" s="160" customFormat="1" x14ac:dyDescent="0.3"/>
    <row r="41231" s="160" customFormat="1" x14ac:dyDescent="0.3"/>
    <row r="41232" s="160" customFormat="1" x14ac:dyDescent="0.3"/>
    <row r="41233" s="160" customFormat="1" x14ac:dyDescent="0.3"/>
    <row r="41234" s="160" customFormat="1" x14ac:dyDescent="0.3"/>
    <row r="41235" s="160" customFormat="1" x14ac:dyDescent="0.3"/>
    <row r="41236" s="160" customFormat="1" x14ac:dyDescent="0.3"/>
    <row r="41237" s="160" customFormat="1" x14ac:dyDescent="0.3"/>
    <row r="41238" s="160" customFormat="1" x14ac:dyDescent="0.3"/>
    <row r="41239" s="160" customFormat="1" x14ac:dyDescent="0.3"/>
    <row r="41240" s="160" customFormat="1" x14ac:dyDescent="0.3"/>
    <row r="41241" s="160" customFormat="1" x14ac:dyDescent="0.3"/>
    <row r="41242" s="160" customFormat="1" x14ac:dyDescent="0.3"/>
    <row r="41243" s="160" customFormat="1" x14ac:dyDescent="0.3"/>
    <row r="41244" s="160" customFormat="1" x14ac:dyDescent="0.3"/>
    <row r="41245" s="160" customFormat="1" x14ac:dyDescent="0.3"/>
    <row r="41246" s="160" customFormat="1" x14ac:dyDescent="0.3"/>
    <row r="41247" s="160" customFormat="1" x14ac:dyDescent="0.3"/>
    <row r="41248" s="160" customFormat="1" x14ac:dyDescent="0.3"/>
    <row r="41249" s="160" customFormat="1" x14ac:dyDescent="0.3"/>
    <row r="41250" s="160" customFormat="1" x14ac:dyDescent="0.3"/>
    <row r="41251" s="160" customFormat="1" x14ac:dyDescent="0.3"/>
    <row r="41252" s="160" customFormat="1" x14ac:dyDescent="0.3"/>
    <row r="41253" s="160" customFormat="1" x14ac:dyDescent="0.3"/>
    <row r="41254" s="160" customFormat="1" x14ac:dyDescent="0.3"/>
    <row r="41255" s="160" customFormat="1" x14ac:dyDescent="0.3"/>
    <row r="41256" s="160" customFormat="1" x14ac:dyDescent="0.3"/>
    <row r="41257" s="160" customFormat="1" x14ac:dyDescent="0.3"/>
    <row r="41258" s="160" customFormat="1" x14ac:dyDescent="0.3"/>
    <row r="41259" s="160" customFormat="1" x14ac:dyDescent="0.3"/>
    <row r="41260" s="160" customFormat="1" x14ac:dyDescent="0.3"/>
    <row r="41261" s="160" customFormat="1" x14ac:dyDescent="0.3"/>
    <row r="41262" s="160" customFormat="1" x14ac:dyDescent="0.3"/>
    <row r="41263" s="160" customFormat="1" x14ac:dyDescent="0.3"/>
    <row r="41264" s="160" customFormat="1" x14ac:dyDescent="0.3"/>
    <row r="41265" s="160" customFormat="1" x14ac:dyDescent="0.3"/>
    <row r="41266" s="160" customFormat="1" x14ac:dyDescent="0.3"/>
    <row r="41267" s="160" customFormat="1" x14ac:dyDescent="0.3"/>
    <row r="41268" s="160" customFormat="1" x14ac:dyDescent="0.3"/>
    <row r="41269" s="160" customFormat="1" x14ac:dyDescent="0.3"/>
    <row r="41270" s="160" customFormat="1" x14ac:dyDescent="0.3"/>
    <row r="41271" s="160" customFormat="1" x14ac:dyDescent="0.3"/>
    <row r="41272" s="160" customFormat="1" x14ac:dyDescent="0.3"/>
    <row r="41273" s="160" customFormat="1" x14ac:dyDescent="0.3"/>
    <row r="41274" s="160" customFormat="1" x14ac:dyDescent="0.3"/>
    <row r="41275" s="160" customFormat="1" x14ac:dyDescent="0.3"/>
    <row r="41276" s="160" customFormat="1" x14ac:dyDescent="0.3"/>
    <row r="41277" s="160" customFormat="1" x14ac:dyDescent="0.3"/>
    <row r="41278" s="160" customFormat="1" x14ac:dyDescent="0.3"/>
    <row r="41279" s="160" customFormat="1" x14ac:dyDescent="0.3"/>
    <row r="41280" s="160" customFormat="1" x14ac:dyDescent="0.3"/>
    <row r="41281" s="160" customFormat="1" x14ac:dyDescent="0.3"/>
    <row r="41282" s="160" customFormat="1" x14ac:dyDescent="0.3"/>
    <row r="41283" s="160" customFormat="1" x14ac:dyDescent="0.3"/>
    <row r="41284" s="160" customFormat="1" x14ac:dyDescent="0.3"/>
    <row r="41285" s="160" customFormat="1" x14ac:dyDescent="0.3"/>
    <row r="41286" s="160" customFormat="1" x14ac:dyDescent="0.3"/>
    <row r="41287" s="160" customFormat="1" x14ac:dyDescent="0.3"/>
    <row r="41288" s="160" customFormat="1" x14ac:dyDescent="0.3"/>
    <row r="41289" s="160" customFormat="1" x14ac:dyDescent="0.3"/>
    <row r="41290" s="160" customFormat="1" x14ac:dyDescent="0.3"/>
    <row r="41291" s="160" customFormat="1" x14ac:dyDescent="0.3"/>
    <row r="41292" s="160" customFormat="1" x14ac:dyDescent="0.3"/>
    <row r="41293" s="160" customFormat="1" x14ac:dyDescent="0.3"/>
    <row r="41294" s="160" customFormat="1" x14ac:dyDescent="0.3"/>
    <row r="41295" s="160" customFormat="1" x14ac:dyDescent="0.3"/>
    <row r="41296" s="160" customFormat="1" x14ac:dyDescent="0.3"/>
    <row r="41297" s="160" customFormat="1" x14ac:dyDescent="0.3"/>
    <row r="41298" s="160" customFormat="1" x14ac:dyDescent="0.3"/>
    <row r="41299" s="160" customFormat="1" x14ac:dyDescent="0.3"/>
    <row r="41300" s="160" customFormat="1" x14ac:dyDescent="0.3"/>
    <row r="41301" s="160" customFormat="1" x14ac:dyDescent="0.3"/>
    <row r="41302" s="160" customFormat="1" x14ac:dyDescent="0.3"/>
    <row r="41303" s="160" customFormat="1" x14ac:dyDescent="0.3"/>
    <row r="41304" s="160" customFormat="1" x14ac:dyDescent="0.3"/>
    <row r="41305" s="160" customFormat="1" x14ac:dyDescent="0.3"/>
    <row r="41306" s="160" customFormat="1" x14ac:dyDescent="0.3"/>
    <row r="41307" s="160" customFormat="1" x14ac:dyDescent="0.3"/>
    <row r="41308" s="160" customFormat="1" x14ac:dyDescent="0.3"/>
    <row r="41309" s="160" customFormat="1" x14ac:dyDescent="0.3"/>
    <row r="41310" s="160" customFormat="1" x14ac:dyDescent="0.3"/>
    <row r="41311" s="160" customFormat="1" x14ac:dyDescent="0.3"/>
    <row r="41312" s="160" customFormat="1" x14ac:dyDescent="0.3"/>
    <row r="41313" s="160" customFormat="1" x14ac:dyDescent="0.3"/>
    <row r="41314" s="160" customFormat="1" x14ac:dyDescent="0.3"/>
    <row r="41315" s="160" customFormat="1" x14ac:dyDescent="0.3"/>
    <row r="41316" s="160" customFormat="1" x14ac:dyDescent="0.3"/>
    <row r="41317" s="160" customFormat="1" x14ac:dyDescent="0.3"/>
    <row r="41318" s="160" customFormat="1" x14ac:dyDescent="0.3"/>
    <row r="41319" s="160" customFormat="1" x14ac:dyDescent="0.3"/>
    <row r="41320" s="160" customFormat="1" x14ac:dyDescent="0.3"/>
    <row r="41321" s="160" customFormat="1" x14ac:dyDescent="0.3"/>
    <row r="41322" s="160" customFormat="1" x14ac:dyDescent="0.3"/>
    <row r="41323" s="160" customFormat="1" x14ac:dyDescent="0.3"/>
    <row r="41324" s="160" customFormat="1" x14ac:dyDescent="0.3"/>
    <row r="41325" s="160" customFormat="1" x14ac:dyDescent="0.3"/>
    <row r="41326" s="160" customFormat="1" x14ac:dyDescent="0.3"/>
    <row r="41327" s="160" customFormat="1" x14ac:dyDescent="0.3"/>
    <row r="41328" s="160" customFormat="1" x14ac:dyDescent="0.3"/>
    <row r="41329" s="160" customFormat="1" x14ac:dyDescent="0.3"/>
    <row r="41330" s="160" customFormat="1" x14ac:dyDescent="0.3"/>
    <row r="41331" s="160" customFormat="1" x14ac:dyDescent="0.3"/>
    <row r="41332" s="160" customFormat="1" x14ac:dyDescent="0.3"/>
    <row r="41333" s="160" customFormat="1" x14ac:dyDescent="0.3"/>
    <row r="41334" s="160" customFormat="1" x14ac:dyDescent="0.3"/>
    <row r="41335" s="160" customFormat="1" x14ac:dyDescent="0.3"/>
    <row r="41336" s="160" customFormat="1" x14ac:dyDescent="0.3"/>
    <row r="41337" s="160" customFormat="1" x14ac:dyDescent="0.3"/>
    <row r="41338" s="160" customFormat="1" x14ac:dyDescent="0.3"/>
    <row r="41339" s="160" customFormat="1" x14ac:dyDescent="0.3"/>
    <row r="41340" s="160" customFormat="1" x14ac:dyDescent="0.3"/>
    <row r="41341" s="160" customFormat="1" x14ac:dyDescent="0.3"/>
    <row r="41342" s="160" customFormat="1" x14ac:dyDescent="0.3"/>
    <row r="41343" s="160" customFormat="1" x14ac:dyDescent="0.3"/>
    <row r="41344" s="160" customFormat="1" x14ac:dyDescent="0.3"/>
    <row r="41345" s="160" customFormat="1" x14ac:dyDescent="0.3"/>
    <row r="41346" s="160" customFormat="1" x14ac:dyDescent="0.3"/>
    <row r="41347" s="160" customFormat="1" x14ac:dyDescent="0.3"/>
    <row r="41348" s="160" customFormat="1" x14ac:dyDescent="0.3"/>
    <row r="41349" s="160" customFormat="1" x14ac:dyDescent="0.3"/>
    <row r="41350" s="160" customFormat="1" x14ac:dyDescent="0.3"/>
    <row r="41351" s="160" customFormat="1" x14ac:dyDescent="0.3"/>
    <row r="41352" s="160" customFormat="1" x14ac:dyDescent="0.3"/>
    <row r="41353" s="160" customFormat="1" x14ac:dyDescent="0.3"/>
    <row r="41354" s="160" customFormat="1" x14ac:dyDescent="0.3"/>
    <row r="41355" s="160" customFormat="1" x14ac:dyDescent="0.3"/>
    <row r="41356" s="160" customFormat="1" x14ac:dyDescent="0.3"/>
    <row r="41357" s="160" customFormat="1" x14ac:dyDescent="0.3"/>
    <row r="41358" s="160" customFormat="1" x14ac:dyDescent="0.3"/>
    <row r="41359" s="160" customFormat="1" x14ac:dyDescent="0.3"/>
    <row r="41360" s="160" customFormat="1" x14ac:dyDescent="0.3"/>
    <row r="41361" s="160" customFormat="1" x14ac:dyDescent="0.3"/>
    <row r="41362" s="160" customFormat="1" x14ac:dyDescent="0.3"/>
    <row r="41363" s="160" customFormat="1" x14ac:dyDescent="0.3"/>
    <row r="41364" s="160" customFormat="1" x14ac:dyDescent="0.3"/>
    <row r="41365" s="160" customFormat="1" x14ac:dyDescent="0.3"/>
    <row r="41366" s="160" customFormat="1" x14ac:dyDescent="0.3"/>
    <row r="41367" s="160" customFormat="1" x14ac:dyDescent="0.3"/>
    <row r="41368" s="160" customFormat="1" x14ac:dyDescent="0.3"/>
    <row r="41369" s="160" customFormat="1" x14ac:dyDescent="0.3"/>
    <row r="41370" s="160" customFormat="1" x14ac:dyDescent="0.3"/>
    <row r="41371" s="160" customFormat="1" x14ac:dyDescent="0.3"/>
    <row r="41372" s="160" customFormat="1" x14ac:dyDescent="0.3"/>
    <row r="41373" s="160" customFormat="1" x14ac:dyDescent="0.3"/>
    <row r="41374" s="160" customFormat="1" x14ac:dyDescent="0.3"/>
    <row r="41375" s="160" customFormat="1" x14ac:dyDescent="0.3"/>
    <row r="41376" s="160" customFormat="1" x14ac:dyDescent="0.3"/>
    <row r="41377" s="160" customFormat="1" x14ac:dyDescent="0.3"/>
    <row r="41378" s="160" customFormat="1" x14ac:dyDescent="0.3"/>
    <row r="41379" s="160" customFormat="1" x14ac:dyDescent="0.3"/>
    <row r="41380" s="160" customFormat="1" x14ac:dyDescent="0.3"/>
    <row r="41381" s="160" customFormat="1" x14ac:dyDescent="0.3"/>
    <row r="41382" s="160" customFormat="1" x14ac:dyDescent="0.3"/>
    <row r="41383" s="160" customFormat="1" x14ac:dyDescent="0.3"/>
    <row r="41384" s="160" customFormat="1" x14ac:dyDescent="0.3"/>
    <row r="41385" s="160" customFormat="1" x14ac:dyDescent="0.3"/>
    <row r="41386" s="160" customFormat="1" x14ac:dyDescent="0.3"/>
    <row r="41387" s="160" customFormat="1" x14ac:dyDescent="0.3"/>
    <row r="41388" s="160" customFormat="1" x14ac:dyDescent="0.3"/>
    <row r="41389" s="160" customFormat="1" x14ac:dyDescent="0.3"/>
    <row r="41390" s="160" customFormat="1" x14ac:dyDescent="0.3"/>
    <row r="41391" s="160" customFormat="1" x14ac:dyDescent="0.3"/>
    <row r="41392" s="160" customFormat="1" x14ac:dyDescent="0.3"/>
    <row r="41393" s="160" customFormat="1" x14ac:dyDescent="0.3"/>
    <row r="41394" s="160" customFormat="1" x14ac:dyDescent="0.3"/>
    <row r="41395" s="160" customFormat="1" x14ac:dyDescent="0.3"/>
    <row r="41396" s="160" customFormat="1" x14ac:dyDescent="0.3"/>
    <row r="41397" s="160" customFormat="1" x14ac:dyDescent="0.3"/>
    <row r="41398" s="160" customFormat="1" x14ac:dyDescent="0.3"/>
    <row r="41399" s="160" customFormat="1" x14ac:dyDescent="0.3"/>
    <row r="41400" s="160" customFormat="1" x14ac:dyDescent="0.3"/>
    <row r="41401" s="160" customFormat="1" x14ac:dyDescent="0.3"/>
    <row r="41402" s="160" customFormat="1" x14ac:dyDescent="0.3"/>
    <row r="41403" s="160" customFormat="1" x14ac:dyDescent="0.3"/>
    <row r="41404" s="160" customFormat="1" x14ac:dyDescent="0.3"/>
    <row r="41405" s="160" customFormat="1" x14ac:dyDescent="0.3"/>
    <row r="41406" s="160" customFormat="1" x14ac:dyDescent="0.3"/>
    <row r="41407" s="160" customFormat="1" x14ac:dyDescent="0.3"/>
    <row r="41408" s="160" customFormat="1" x14ac:dyDescent="0.3"/>
    <row r="41409" s="160" customFormat="1" x14ac:dyDescent="0.3"/>
    <row r="41410" s="160" customFormat="1" x14ac:dyDescent="0.3"/>
    <row r="41411" s="160" customFormat="1" x14ac:dyDescent="0.3"/>
    <row r="41412" s="160" customFormat="1" x14ac:dyDescent="0.3"/>
    <row r="41413" s="160" customFormat="1" x14ac:dyDescent="0.3"/>
    <row r="41414" s="160" customFormat="1" x14ac:dyDescent="0.3"/>
    <row r="41415" s="160" customFormat="1" x14ac:dyDescent="0.3"/>
    <row r="41416" s="160" customFormat="1" x14ac:dyDescent="0.3"/>
    <row r="41417" s="160" customFormat="1" x14ac:dyDescent="0.3"/>
    <row r="41418" s="160" customFormat="1" x14ac:dyDescent="0.3"/>
    <row r="41419" s="160" customFormat="1" x14ac:dyDescent="0.3"/>
    <row r="41420" s="160" customFormat="1" x14ac:dyDescent="0.3"/>
    <row r="41421" s="160" customFormat="1" x14ac:dyDescent="0.3"/>
    <row r="41422" s="160" customFormat="1" x14ac:dyDescent="0.3"/>
    <row r="41423" s="160" customFormat="1" x14ac:dyDescent="0.3"/>
    <row r="41424" s="160" customFormat="1" x14ac:dyDescent="0.3"/>
    <row r="41425" s="160" customFormat="1" x14ac:dyDescent="0.3"/>
    <row r="41426" s="160" customFormat="1" x14ac:dyDescent="0.3"/>
    <row r="41427" s="160" customFormat="1" x14ac:dyDescent="0.3"/>
    <row r="41428" s="160" customFormat="1" x14ac:dyDescent="0.3"/>
    <row r="41429" s="160" customFormat="1" x14ac:dyDescent="0.3"/>
    <row r="41430" s="160" customFormat="1" x14ac:dyDescent="0.3"/>
    <row r="41431" s="160" customFormat="1" x14ac:dyDescent="0.3"/>
    <row r="41432" s="160" customFormat="1" x14ac:dyDescent="0.3"/>
    <row r="41433" s="160" customFormat="1" x14ac:dyDescent="0.3"/>
    <row r="41434" s="160" customFormat="1" x14ac:dyDescent="0.3"/>
    <row r="41435" s="160" customFormat="1" x14ac:dyDescent="0.3"/>
    <row r="41436" s="160" customFormat="1" x14ac:dyDescent="0.3"/>
    <row r="41437" s="160" customFormat="1" x14ac:dyDescent="0.3"/>
    <row r="41438" s="160" customFormat="1" x14ac:dyDescent="0.3"/>
    <row r="41439" s="160" customFormat="1" x14ac:dyDescent="0.3"/>
    <row r="41440" s="160" customFormat="1" x14ac:dyDescent="0.3"/>
    <row r="41441" s="160" customFormat="1" x14ac:dyDescent="0.3"/>
    <row r="41442" s="160" customFormat="1" x14ac:dyDescent="0.3"/>
    <row r="41443" s="160" customFormat="1" x14ac:dyDescent="0.3"/>
    <row r="41444" s="160" customFormat="1" x14ac:dyDescent="0.3"/>
    <row r="41445" s="160" customFormat="1" x14ac:dyDescent="0.3"/>
    <row r="41446" s="160" customFormat="1" x14ac:dyDescent="0.3"/>
    <row r="41447" s="160" customFormat="1" x14ac:dyDescent="0.3"/>
    <row r="41448" s="160" customFormat="1" x14ac:dyDescent="0.3"/>
    <row r="41449" s="160" customFormat="1" x14ac:dyDescent="0.3"/>
    <row r="41450" s="160" customFormat="1" x14ac:dyDescent="0.3"/>
    <row r="41451" s="160" customFormat="1" x14ac:dyDescent="0.3"/>
    <row r="41452" s="160" customFormat="1" x14ac:dyDescent="0.3"/>
    <row r="41453" s="160" customFormat="1" x14ac:dyDescent="0.3"/>
    <row r="41454" s="160" customFormat="1" x14ac:dyDescent="0.3"/>
    <row r="41455" s="160" customFormat="1" x14ac:dyDescent="0.3"/>
    <row r="41456" s="160" customFormat="1" x14ac:dyDescent="0.3"/>
    <row r="41457" s="160" customFormat="1" x14ac:dyDescent="0.3"/>
    <row r="41458" s="160" customFormat="1" x14ac:dyDescent="0.3"/>
    <row r="41459" s="160" customFormat="1" x14ac:dyDescent="0.3"/>
    <row r="41460" s="160" customFormat="1" x14ac:dyDescent="0.3"/>
    <row r="41461" s="160" customFormat="1" x14ac:dyDescent="0.3"/>
    <row r="41462" s="160" customFormat="1" x14ac:dyDescent="0.3"/>
    <row r="41463" s="160" customFormat="1" x14ac:dyDescent="0.3"/>
    <row r="41464" s="160" customFormat="1" x14ac:dyDescent="0.3"/>
    <row r="41465" s="160" customFormat="1" x14ac:dyDescent="0.3"/>
    <row r="41466" s="160" customFormat="1" x14ac:dyDescent="0.3"/>
    <row r="41467" s="160" customFormat="1" x14ac:dyDescent="0.3"/>
    <row r="41468" s="160" customFormat="1" x14ac:dyDescent="0.3"/>
    <row r="41469" s="160" customFormat="1" x14ac:dyDescent="0.3"/>
    <row r="41470" s="160" customFormat="1" x14ac:dyDescent="0.3"/>
    <row r="41471" s="160" customFormat="1" x14ac:dyDescent="0.3"/>
    <row r="41472" s="160" customFormat="1" x14ac:dyDescent="0.3"/>
    <row r="41473" s="160" customFormat="1" x14ac:dyDescent="0.3"/>
    <row r="41474" s="160" customFormat="1" x14ac:dyDescent="0.3"/>
    <row r="41475" s="160" customFormat="1" x14ac:dyDescent="0.3"/>
    <row r="41476" s="160" customFormat="1" x14ac:dyDescent="0.3"/>
    <row r="41477" s="160" customFormat="1" x14ac:dyDescent="0.3"/>
    <row r="41478" s="160" customFormat="1" x14ac:dyDescent="0.3"/>
    <row r="41479" s="160" customFormat="1" x14ac:dyDescent="0.3"/>
    <row r="41480" s="160" customFormat="1" x14ac:dyDescent="0.3"/>
    <row r="41481" s="160" customFormat="1" x14ac:dyDescent="0.3"/>
    <row r="41482" s="160" customFormat="1" x14ac:dyDescent="0.3"/>
    <row r="41483" s="160" customFormat="1" x14ac:dyDescent="0.3"/>
    <row r="41484" s="160" customFormat="1" x14ac:dyDescent="0.3"/>
    <row r="41485" s="160" customFormat="1" x14ac:dyDescent="0.3"/>
    <row r="41486" s="160" customFormat="1" x14ac:dyDescent="0.3"/>
    <row r="41487" s="160" customFormat="1" x14ac:dyDescent="0.3"/>
    <row r="41488" s="160" customFormat="1" x14ac:dyDescent="0.3"/>
    <row r="41489" s="160" customFormat="1" x14ac:dyDescent="0.3"/>
    <row r="41490" s="160" customFormat="1" x14ac:dyDescent="0.3"/>
    <row r="41491" s="160" customFormat="1" x14ac:dyDescent="0.3"/>
    <row r="41492" s="160" customFormat="1" x14ac:dyDescent="0.3"/>
    <row r="41493" s="160" customFormat="1" x14ac:dyDescent="0.3"/>
    <row r="41494" s="160" customFormat="1" x14ac:dyDescent="0.3"/>
    <row r="41495" s="160" customFormat="1" x14ac:dyDescent="0.3"/>
    <row r="41496" s="160" customFormat="1" x14ac:dyDescent="0.3"/>
    <row r="41497" s="160" customFormat="1" x14ac:dyDescent="0.3"/>
    <row r="41498" s="160" customFormat="1" x14ac:dyDescent="0.3"/>
    <row r="41499" s="160" customFormat="1" x14ac:dyDescent="0.3"/>
    <row r="41500" s="160" customFormat="1" x14ac:dyDescent="0.3"/>
    <row r="41501" s="160" customFormat="1" x14ac:dyDescent="0.3"/>
    <row r="41502" s="160" customFormat="1" x14ac:dyDescent="0.3"/>
    <row r="41503" s="160" customFormat="1" x14ac:dyDescent="0.3"/>
    <row r="41504" s="160" customFormat="1" x14ac:dyDescent="0.3"/>
    <row r="41505" s="160" customFormat="1" x14ac:dyDescent="0.3"/>
    <row r="41506" s="160" customFormat="1" x14ac:dyDescent="0.3"/>
    <row r="41507" s="160" customFormat="1" x14ac:dyDescent="0.3"/>
    <row r="41508" s="160" customFormat="1" x14ac:dyDescent="0.3"/>
    <row r="41509" s="160" customFormat="1" x14ac:dyDescent="0.3"/>
    <row r="41510" s="160" customFormat="1" x14ac:dyDescent="0.3"/>
    <row r="41511" s="160" customFormat="1" x14ac:dyDescent="0.3"/>
    <row r="41512" s="160" customFormat="1" x14ac:dyDescent="0.3"/>
    <row r="41513" s="160" customFormat="1" x14ac:dyDescent="0.3"/>
    <row r="41514" s="160" customFormat="1" x14ac:dyDescent="0.3"/>
    <row r="41515" s="160" customFormat="1" x14ac:dyDescent="0.3"/>
    <row r="41516" s="160" customFormat="1" x14ac:dyDescent="0.3"/>
    <row r="41517" s="160" customFormat="1" x14ac:dyDescent="0.3"/>
    <row r="41518" s="160" customFormat="1" x14ac:dyDescent="0.3"/>
    <row r="41519" s="160" customFormat="1" x14ac:dyDescent="0.3"/>
    <row r="41520" s="160" customFormat="1" x14ac:dyDescent="0.3"/>
    <row r="41521" s="160" customFormat="1" x14ac:dyDescent="0.3"/>
    <row r="41522" s="160" customFormat="1" x14ac:dyDescent="0.3"/>
    <row r="41523" s="160" customFormat="1" x14ac:dyDescent="0.3"/>
    <row r="41524" s="160" customFormat="1" x14ac:dyDescent="0.3"/>
    <row r="41525" s="160" customFormat="1" x14ac:dyDescent="0.3"/>
    <row r="41526" s="160" customFormat="1" x14ac:dyDescent="0.3"/>
    <row r="41527" s="160" customFormat="1" x14ac:dyDescent="0.3"/>
    <row r="41528" s="160" customFormat="1" x14ac:dyDescent="0.3"/>
    <row r="41529" s="160" customFormat="1" x14ac:dyDescent="0.3"/>
    <row r="41530" s="160" customFormat="1" x14ac:dyDescent="0.3"/>
    <row r="41531" s="160" customFormat="1" x14ac:dyDescent="0.3"/>
    <row r="41532" s="160" customFormat="1" x14ac:dyDescent="0.3"/>
    <row r="41533" s="160" customFormat="1" x14ac:dyDescent="0.3"/>
    <row r="41534" s="160" customFormat="1" x14ac:dyDescent="0.3"/>
    <row r="41535" s="160" customFormat="1" x14ac:dyDescent="0.3"/>
    <row r="41536" s="160" customFormat="1" x14ac:dyDescent="0.3"/>
    <row r="41537" s="160" customFormat="1" x14ac:dyDescent="0.3"/>
    <row r="41538" s="160" customFormat="1" x14ac:dyDescent="0.3"/>
    <row r="41539" s="160" customFormat="1" x14ac:dyDescent="0.3"/>
    <row r="41540" s="160" customFormat="1" x14ac:dyDescent="0.3"/>
    <row r="41541" s="160" customFormat="1" x14ac:dyDescent="0.3"/>
    <row r="41542" s="160" customFormat="1" x14ac:dyDescent="0.3"/>
    <row r="41543" s="160" customFormat="1" x14ac:dyDescent="0.3"/>
    <row r="41544" s="160" customFormat="1" x14ac:dyDescent="0.3"/>
    <row r="41545" s="160" customFormat="1" x14ac:dyDescent="0.3"/>
    <row r="41546" s="160" customFormat="1" x14ac:dyDescent="0.3"/>
    <row r="41547" s="160" customFormat="1" x14ac:dyDescent="0.3"/>
    <row r="41548" s="160" customFormat="1" x14ac:dyDescent="0.3"/>
    <row r="41549" s="160" customFormat="1" x14ac:dyDescent="0.3"/>
    <row r="41550" s="160" customFormat="1" x14ac:dyDescent="0.3"/>
    <row r="41551" s="160" customFormat="1" x14ac:dyDescent="0.3"/>
    <row r="41552" s="160" customFormat="1" x14ac:dyDescent="0.3"/>
    <row r="41553" s="160" customFormat="1" x14ac:dyDescent="0.3"/>
    <row r="41554" s="160" customFormat="1" x14ac:dyDescent="0.3"/>
    <row r="41555" s="160" customFormat="1" x14ac:dyDescent="0.3"/>
    <row r="41556" s="160" customFormat="1" x14ac:dyDescent="0.3"/>
    <row r="41557" s="160" customFormat="1" x14ac:dyDescent="0.3"/>
    <row r="41558" s="160" customFormat="1" x14ac:dyDescent="0.3"/>
    <row r="41559" s="160" customFormat="1" x14ac:dyDescent="0.3"/>
    <row r="41560" s="160" customFormat="1" x14ac:dyDescent="0.3"/>
    <row r="41561" s="160" customFormat="1" x14ac:dyDescent="0.3"/>
    <row r="41562" s="160" customFormat="1" x14ac:dyDescent="0.3"/>
    <row r="41563" s="160" customFormat="1" x14ac:dyDescent="0.3"/>
    <row r="41564" s="160" customFormat="1" x14ac:dyDescent="0.3"/>
    <row r="41565" s="160" customFormat="1" x14ac:dyDescent="0.3"/>
    <row r="41566" s="160" customFormat="1" x14ac:dyDescent="0.3"/>
    <row r="41567" s="160" customFormat="1" x14ac:dyDescent="0.3"/>
    <row r="41568" s="160" customFormat="1" x14ac:dyDescent="0.3"/>
    <row r="41569" s="160" customFormat="1" x14ac:dyDescent="0.3"/>
    <row r="41570" s="160" customFormat="1" x14ac:dyDescent="0.3"/>
    <row r="41571" s="160" customFormat="1" x14ac:dyDescent="0.3"/>
    <row r="41572" s="160" customFormat="1" x14ac:dyDescent="0.3"/>
    <row r="41573" s="160" customFormat="1" x14ac:dyDescent="0.3"/>
    <row r="41574" s="160" customFormat="1" x14ac:dyDescent="0.3"/>
    <row r="41575" s="160" customFormat="1" x14ac:dyDescent="0.3"/>
    <row r="41576" s="160" customFormat="1" x14ac:dyDescent="0.3"/>
    <row r="41577" s="160" customFormat="1" x14ac:dyDescent="0.3"/>
    <row r="41578" s="160" customFormat="1" x14ac:dyDescent="0.3"/>
    <row r="41579" s="160" customFormat="1" x14ac:dyDescent="0.3"/>
    <row r="41580" s="160" customFormat="1" x14ac:dyDescent="0.3"/>
    <row r="41581" s="160" customFormat="1" x14ac:dyDescent="0.3"/>
    <row r="41582" s="160" customFormat="1" x14ac:dyDescent="0.3"/>
    <row r="41583" s="160" customFormat="1" x14ac:dyDescent="0.3"/>
    <row r="41584" s="160" customFormat="1" x14ac:dyDescent="0.3"/>
    <row r="41585" s="160" customFormat="1" x14ac:dyDescent="0.3"/>
    <row r="41586" s="160" customFormat="1" x14ac:dyDescent="0.3"/>
    <row r="41587" s="160" customFormat="1" x14ac:dyDescent="0.3"/>
    <row r="41588" s="160" customFormat="1" x14ac:dyDescent="0.3"/>
    <row r="41589" s="160" customFormat="1" x14ac:dyDescent="0.3"/>
    <row r="41590" s="160" customFormat="1" x14ac:dyDescent="0.3"/>
    <row r="41591" s="160" customFormat="1" x14ac:dyDescent="0.3"/>
    <row r="41592" s="160" customFormat="1" x14ac:dyDescent="0.3"/>
    <row r="41593" s="160" customFormat="1" x14ac:dyDescent="0.3"/>
    <row r="41594" s="160" customFormat="1" x14ac:dyDescent="0.3"/>
    <row r="41595" s="160" customFormat="1" x14ac:dyDescent="0.3"/>
    <row r="41596" s="160" customFormat="1" x14ac:dyDescent="0.3"/>
    <row r="41597" s="160" customFormat="1" x14ac:dyDescent="0.3"/>
    <row r="41598" s="160" customFormat="1" x14ac:dyDescent="0.3"/>
    <row r="41599" s="160" customFormat="1" x14ac:dyDescent="0.3"/>
    <row r="41600" s="160" customFormat="1" x14ac:dyDescent="0.3"/>
    <row r="41601" s="160" customFormat="1" x14ac:dyDescent="0.3"/>
    <row r="41602" s="160" customFormat="1" x14ac:dyDescent="0.3"/>
    <row r="41603" s="160" customFormat="1" x14ac:dyDescent="0.3"/>
    <row r="41604" s="160" customFormat="1" x14ac:dyDescent="0.3"/>
    <row r="41605" s="160" customFormat="1" x14ac:dyDescent="0.3"/>
    <row r="41606" s="160" customFormat="1" x14ac:dyDescent="0.3"/>
    <row r="41607" s="160" customFormat="1" x14ac:dyDescent="0.3"/>
    <row r="41608" s="160" customFormat="1" x14ac:dyDescent="0.3"/>
    <row r="41609" s="160" customFormat="1" x14ac:dyDescent="0.3"/>
    <row r="41610" s="160" customFormat="1" x14ac:dyDescent="0.3"/>
    <row r="41611" s="160" customFormat="1" x14ac:dyDescent="0.3"/>
    <row r="41612" s="160" customFormat="1" x14ac:dyDescent="0.3"/>
    <row r="41613" s="160" customFormat="1" x14ac:dyDescent="0.3"/>
    <row r="41614" s="160" customFormat="1" x14ac:dyDescent="0.3"/>
    <row r="41615" s="160" customFormat="1" x14ac:dyDescent="0.3"/>
    <row r="41616" s="160" customFormat="1" x14ac:dyDescent="0.3"/>
    <row r="41617" s="160" customFormat="1" x14ac:dyDescent="0.3"/>
    <row r="41618" s="160" customFormat="1" x14ac:dyDescent="0.3"/>
    <row r="41619" s="160" customFormat="1" x14ac:dyDescent="0.3"/>
    <row r="41620" s="160" customFormat="1" x14ac:dyDescent="0.3"/>
    <row r="41621" s="160" customFormat="1" x14ac:dyDescent="0.3"/>
    <row r="41622" s="160" customFormat="1" x14ac:dyDescent="0.3"/>
    <row r="41623" s="160" customFormat="1" x14ac:dyDescent="0.3"/>
    <row r="41624" s="160" customFormat="1" x14ac:dyDescent="0.3"/>
    <row r="41625" s="160" customFormat="1" x14ac:dyDescent="0.3"/>
    <row r="41626" s="160" customFormat="1" x14ac:dyDescent="0.3"/>
    <row r="41627" s="160" customFormat="1" x14ac:dyDescent="0.3"/>
    <row r="41628" s="160" customFormat="1" x14ac:dyDescent="0.3"/>
    <row r="41629" s="160" customFormat="1" x14ac:dyDescent="0.3"/>
    <row r="41630" s="160" customFormat="1" x14ac:dyDescent="0.3"/>
    <row r="41631" s="160" customFormat="1" x14ac:dyDescent="0.3"/>
    <row r="41632" s="160" customFormat="1" x14ac:dyDescent="0.3"/>
    <row r="41633" s="160" customFormat="1" x14ac:dyDescent="0.3"/>
    <row r="41634" s="160" customFormat="1" x14ac:dyDescent="0.3"/>
    <row r="41635" s="160" customFormat="1" x14ac:dyDescent="0.3"/>
    <row r="41636" s="160" customFormat="1" x14ac:dyDescent="0.3"/>
    <row r="41637" s="160" customFormat="1" x14ac:dyDescent="0.3"/>
    <row r="41638" s="160" customFormat="1" x14ac:dyDescent="0.3"/>
    <row r="41639" s="160" customFormat="1" x14ac:dyDescent="0.3"/>
    <row r="41640" s="160" customFormat="1" x14ac:dyDescent="0.3"/>
    <row r="41641" s="160" customFormat="1" x14ac:dyDescent="0.3"/>
    <row r="41642" s="160" customFormat="1" x14ac:dyDescent="0.3"/>
    <row r="41643" s="160" customFormat="1" x14ac:dyDescent="0.3"/>
    <row r="41644" s="160" customFormat="1" x14ac:dyDescent="0.3"/>
    <row r="41645" s="160" customFormat="1" x14ac:dyDescent="0.3"/>
    <row r="41646" s="160" customFormat="1" x14ac:dyDescent="0.3"/>
    <row r="41647" s="160" customFormat="1" x14ac:dyDescent="0.3"/>
    <row r="41648" s="160" customFormat="1" x14ac:dyDescent="0.3"/>
    <row r="41649" s="160" customFormat="1" x14ac:dyDescent="0.3"/>
    <row r="41650" s="160" customFormat="1" x14ac:dyDescent="0.3"/>
    <row r="41651" s="160" customFormat="1" x14ac:dyDescent="0.3"/>
    <row r="41652" s="160" customFormat="1" x14ac:dyDescent="0.3"/>
    <row r="41653" s="160" customFormat="1" x14ac:dyDescent="0.3"/>
    <row r="41654" s="160" customFormat="1" x14ac:dyDescent="0.3"/>
    <row r="41655" s="160" customFormat="1" x14ac:dyDescent="0.3"/>
    <row r="41656" s="160" customFormat="1" x14ac:dyDescent="0.3"/>
    <row r="41657" s="160" customFormat="1" x14ac:dyDescent="0.3"/>
    <row r="41658" s="160" customFormat="1" x14ac:dyDescent="0.3"/>
    <row r="41659" s="160" customFormat="1" x14ac:dyDescent="0.3"/>
    <row r="41660" s="160" customFormat="1" x14ac:dyDescent="0.3"/>
    <row r="41661" s="160" customFormat="1" x14ac:dyDescent="0.3"/>
    <row r="41662" s="160" customFormat="1" x14ac:dyDescent="0.3"/>
    <row r="41663" s="160" customFormat="1" x14ac:dyDescent="0.3"/>
    <row r="41664" s="160" customFormat="1" x14ac:dyDescent="0.3"/>
    <row r="41665" s="160" customFormat="1" x14ac:dyDescent="0.3"/>
    <row r="41666" s="160" customFormat="1" x14ac:dyDescent="0.3"/>
    <row r="41667" s="160" customFormat="1" x14ac:dyDescent="0.3"/>
    <row r="41668" s="160" customFormat="1" x14ac:dyDescent="0.3"/>
    <row r="41669" s="160" customFormat="1" x14ac:dyDescent="0.3"/>
    <row r="41670" s="160" customFormat="1" x14ac:dyDescent="0.3"/>
    <row r="41671" s="160" customFormat="1" x14ac:dyDescent="0.3"/>
    <row r="41672" s="160" customFormat="1" x14ac:dyDescent="0.3"/>
    <row r="41673" s="160" customFormat="1" x14ac:dyDescent="0.3"/>
    <row r="41674" s="160" customFormat="1" x14ac:dyDescent="0.3"/>
    <row r="41675" s="160" customFormat="1" x14ac:dyDescent="0.3"/>
    <row r="41676" s="160" customFormat="1" x14ac:dyDescent="0.3"/>
    <row r="41677" s="160" customFormat="1" x14ac:dyDescent="0.3"/>
    <row r="41678" s="160" customFormat="1" x14ac:dyDescent="0.3"/>
    <row r="41679" s="160" customFormat="1" x14ac:dyDescent="0.3"/>
    <row r="41680" s="160" customFormat="1" x14ac:dyDescent="0.3"/>
    <row r="41681" s="160" customFormat="1" x14ac:dyDescent="0.3"/>
    <row r="41682" s="160" customFormat="1" x14ac:dyDescent="0.3"/>
    <row r="41683" s="160" customFormat="1" x14ac:dyDescent="0.3"/>
    <row r="41684" s="160" customFormat="1" x14ac:dyDescent="0.3"/>
    <row r="41685" s="160" customFormat="1" x14ac:dyDescent="0.3"/>
    <row r="41686" s="160" customFormat="1" x14ac:dyDescent="0.3"/>
    <row r="41687" s="160" customFormat="1" x14ac:dyDescent="0.3"/>
    <row r="41688" s="160" customFormat="1" x14ac:dyDescent="0.3"/>
    <row r="41689" s="160" customFormat="1" x14ac:dyDescent="0.3"/>
    <row r="41690" s="160" customFormat="1" x14ac:dyDescent="0.3"/>
    <row r="41691" s="160" customFormat="1" x14ac:dyDescent="0.3"/>
    <row r="41692" s="160" customFormat="1" x14ac:dyDescent="0.3"/>
    <row r="41693" s="160" customFormat="1" x14ac:dyDescent="0.3"/>
    <row r="41694" s="160" customFormat="1" x14ac:dyDescent="0.3"/>
    <row r="41695" s="160" customFormat="1" x14ac:dyDescent="0.3"/>
    <row r="41696" s="160" customFormat="1" x14ac:dyDescent="0.3"/>
    <row r="41697" s="160" customFormat="1" x14ac:dyDescent="0.3"/>
    <row r="41698" s="160" customFormat="1" x14ac:dyDescent="0.3"/>
    <row r="41699" s="160" customFormat="1" x14ac:dyDescent="0.3"/>
    <row r="41700" s="160" customFormat="1" x14ac:dyDescent="0.3"/>
    <row r="41701" s="160" customFormat="1" x14ac:dyDescent="0.3"/>
    <row r="41702" s="160" customFormat="1" x14ac:dyDescent="0.3"/>
    <row r="41703" s="160" customFormat="1" x14ac:dyDescent="0.3"/>
    <row r="41704" s="160" customFormat="1" x14ac:dyDescent="0.3"/>
    <row r="41705" s="160" customFormat="1" x14ac:dyDescent="0.3"/>
    <row r="41706" s="160" customFormat="1" x14ac:dyDescent="0.3"/>
    <row r="41707" s="160" customFormat="1" x14ac:dyDescent="0.3"/>
    <row r="41708" s="160" customFormat="1" x14ac:dyDescent="0.3"/>
    <row r="41709" s="160" customFormat="1" x14ac:dyDescent="0.3"/>
    <row r="41710" s="160" customFormat="1" x14ac:dyDescent="0.3"/>
    <row r="41711" s="160" customFormat="1" x14ac:dyDescent="0.3"/>
    <row r="41712" s="160" customFormat="1" x14ac:dyDescent="0.3"/>
    <row r="41713" s="160" customFormat="1" x14ac:dyDescent="0.3"/>
    <row r="41714" s="160" customFormat="1" x14ac:dyDescent="0.3"/>
    <row r="41715" s="160" customFormat="1" x14ac:dyDescent="0.3"/>
    <row r="41716" s="160" customFormat="1" x14ac:dyDescent="0.3"/>
    <row r="41717" s="160" customFormat="1" x14ac:dyDescent="0.3"/>
    <row r="41718" s="160" customFormat="1" x14ac:dyDescent="0.3"/>
    <row r="41719" s="160" customFormat="1" x14ac:dyDescent="0.3"/>
    <row r="41720" s="160" customFormat="1" x14ac:dyDescent="0.3"/>
    <row r="41721" s="160" customFormat="1" x14ac:dyDescent="0.3"/>
    <row r="41722" s="160" customFormat="1" x14ac:dyDescent="0.3"/>
    <row r="41723" s="160" customFormat="1" x14ac:dyDescent="0.3"/>
    <row r="41724" s="160" customFormat="1" x14ac:dyDescent="0.3"/>
    <row r="41725" s="160" customFormat="1" x14ac:dyDescent="0.3"/>
    <row r="41726" s="160" customFormat="1" x14ac:dyDescent="0.3"/>
    <row r="41727" s="160" customFormat="1" x14ac:dyDescent="0.3"/>
    <row r="41728" s="160" customFormat="1" x14ac:dyDescent="0.3"/>
    <row r="41729" s="160" customFormat="1" x14ac:dyDescent="0.3"/>
    <row r="41730" s="160" customFormat="1" x14ac:dyDescent="0.3"/>
    <row r="41731" s="160" customFormat="1" x14ac:dyDescent="0.3"/>
    <row r="41732" s="160" customFormat="1" x14ac:dyDescent="0.3"/>
    <row r="41733" s="160" customFormat="1" x14ac:dyDescent="0.3"/>
    <row r="41734" s="160" customFormat="1" x14ac:dyDescent="0.3"/>
    <row r="41735" s="160" customFormat="1" x14ac:dyDescent="0.3"/>
    <row r="41736" s="160" customFormat="1" x14ac:dyDescent="0.3"/>
    <row r="41737" s="160" customFormat="1" x14ac:dyDescent="0.3"/>
    <row r="41738" s="160" customFormat="1" x14ac:dyDescent="0.3"/>
    <row r="41739" s="160" customFormat="1" x14ac:dyDescent="0.3"/>
    <row r="41740" s="160" customFormat="1" x14ac:dyDescent="0.3"/>
    <row r="41741" s="160" customFormat="1" x14ac:dyDescent="0.3"/>
    <row r="41742" s="160" customFormat="1" x14ac:dyDescent="0.3"/>
    <row r="41743" s="160" customFormat="1" x14ac:dyDescent="0.3"/>
    <row r="41744" s="160" customFormat="1" x14ac:dyDescent="0.3"/>
    <row r="41745" s="160" customFormat="1" x14ac:dyDescent="0.3"/>
    <row r="41746" s="160" customFormat="1" x14ac:dyDescent="0.3"/>
    <row r="41747" s="160" customFormat="1" x14ac:dyDescent="0.3"/>
    <row r="41748" s="160" customFormat="1" x14ac:dyDescent="0.3"/>
    <row r="41749" s="160" customFormat="1" x14ac:dyDescent="0.3"/>
    <row r="41750" s="160" customFormat="1" x14ac:dyDescent="0.3"/>
    <row r="41751" s="160" customFormat="1" x14ac:dyDescent="0.3"/>
    <row r="41752" s="160" customFormat="1" x14ac:dyDescent="0.3"/>
    <row r="41753" s="160" customFormat="1" x14ac:dyDescent="0.3"/>
    <row r="41754" s="160" customFormat="1" x14ac:dyDescent="0.3"/>
    <row r="41755" s="160" customFormat="1" x14ac:dyDescent="0.3"/>
    <row r="41756" s="160" customFormat="1" x14ac:dyDescent="0.3"/>
    <row r="41757" s="160" customFormat="1" x14ac:dyDescent="0.3"/>
    <row r="41758" s="160" customFormat="1" x14ac:dyDescent="0.3"/>
    <row r="41759" s="160" customFormat="1" x14ac:dyDescent="0.3"/>
    <row r="41760" s="160" customFormat="1" x14ac:dyDescent="0.3"/>
    <row r="41761" s="160" customFormat="1" x14ac:dyDescent="0.3"/>
    <row r="41762" s="160" customFormat="1" x14ac:dyDescent="0.3"/>
    <row r="41763" s="160" customFormat="1" x14ac:dyDescent="0.3"/>
    <row r="41764" s="160" customFormat="1" x14ac:dyDescent="0.3"/>
    <row r="41765" s="160" customFormat="1" x14ac:dyDescent="0.3"/>
    <row r="41766" s="160" customFormat="1" x14ac:dyDescent="0.3"/>
    <row r="41767" s="160" customFormat="1" x14ac:dyDescent="0.3"/>
    <row r="41768" s="160" customFormat="1" x14ac:dyDescent="0.3"/>
    <row r="41769" s="160" customFormat="1" x14ac:dyDescent="0.3"/>
    <row r="41770" s="160" customFormat="1" x14ac:dyDescent="0.3"/>
    <row r="41771" s="160" customFormat="1" x14ac:dyDescent="0.3"/>
    <row r="41772" s="160" customFormat="1" x14ac:dyDescent="0.3"/>
    <row r="41773" s="160" customFormat="1" x14ac:dyDescent="0.3"/>
    <row r="41774" s="160" customFormat="1" x14ac:dyDescent="0.3"/>
    <row r="41775" s="160" customFormat="1" x14ac:dyDescent="0.3"/>
    <row r="41776" s="160" customFormat="1" x14ac:dyDescent="0.3"/>
    <row r="41777" s="160" customFormat="1" x14ac:dyDescent="0.3"/>
    <row r="41778" s="160" customFormat="1" x14ac:dyDescent="0.3"/>
    <row r="41779" s="160" customFormat="1" x14ac:dyDescent="0.3"/>
    <row r="41780" s="160" customFormat="1" x14ac:dyDescent="0.3"/>
    <row r="41781" s="160" customFormat="1" x14ac:dyDescent="0.3"/>
    <row r="41782" s="160" customFormat="1" x14ac:dyDescent="0.3"/>
    <row r="41783" s="160" customFormat="1" x14ac:dyDescent="0.3"/>
    <row r="41784" s="160" customFormat="1" x14ac:dyDescent="0.3"/>
    <row r="41785" s="160" customFormat="1" x14ac:dyDescent="0.3"/>
    <row r="41786" s="160" customFormat="1" x14ac:dyDescent="0.3"/>
    <row r="41787" s="160" customFormat="1" x14ac:dyDescent="0.3"/>
    <row r="41788" s="160" customFormat="1" x14ac:dyDescent="0.3"/>
    <row r="41789" s="160" customFormat="1" x14ac:dyDescent="0.3"/>
    <row r="41790" s="160" customFormat="1" x14ac:dyDescent="0.3"/>
    <row r="41791" s="160" customFormat="1" x14ac:dyDescent="0.3"/>
    <row r="41792" s="160" customFormat="1" x14ac:dyDescent="0.3"/>
    <row r="41793" s="160" customFormat="1" x14ac:dyDescent="0.3"/>
    <row r="41794" s="160" customFormat="1" x14ac:dyDescent="0.3"/>
    <row r="41795" s="160" customFormat="1" x14ac:dyDescent="0.3"/>
    <row r="41796" s="160" customFormat="1" x14ac:dyDescent="0.3"/>
    <row r="41797" s="160" customFormat="1" x14ac:dyDescent="0.3"/>
    <row r="41798" s="160" customFormat="1" x14ac:dyDescent="0.3"/>
    <row r="41799" s="160" customFormat="1" x14ac:dyDescent="0.3"/>
    <row r="41800" s="160" customFormat="1" x14ac:dyDescent="0.3"/>
    <row r="41801" s="160" customFormat="1" x14ac:dyDescent="0.3"/>
    <row r="41802" s="160" customFormat="1" x14ac:dyDescent="0.3"/>
    <row r="41803" s="160" customFormat="1" x14ac:dyDescent="0.3"/>
    <row r="41804" s="160" customFormat="1" x14ac:dyDescent="0.3"/>
    <row r="41805" s="160" customFormat="1" x14ac:dyDescent="0.3"/>
    <row r="41806" s="160" customFormat="1" x14ac:dyDescent="0.3"/>
    <row r="41807" s="160" customFormat="1" x14ac:dyDescent="0.3"/>
    <row r="41808" s="160" customFormat="1" x14ac:dyDescent="0.3"/>
    <row r="41809" s="160" customFormat="1" x14ac:dyDescent="0.3"/>
    <row r="41810" s="160" customFormat="1" x14ac:dyDescent="0.3"/>
    <row r="41811" s="160" customFormat="1" x14ac:dyDescent="0.3"/>
    <row r="41812" s="160" customFormat="1" x14ac:dyDescent="0.3"/>
    <row r="41813" s="160" customFormat="1" x14ac:dyDescent="0.3"/>
    <row r="41814" s="160" customFormat="1" x14ac:dyDescent="0.3"/>
    <row r="41815" s="160" customFormat="1" x14ac:dyDescent="0.3"/>
    <row r="41816" s="160" customFormat="1" x14ac:dyDescent="0.3"/>
    <row r="41817" s="160" customFormat="1" x14ac:dyDescent="0.3"/>
    <row r="41818" s="160" customFormat="1" x14ac:dyDescent="0.3"/>
    <row r="41819" s="160" customFormat="1" x14ac:dyDescent="0.3"/>
    <row r="41820" s="160" customFormat="1" x14ac:dyDescent="0.3"/>
    <row r="41821" s="160" customFormat="1" x14ac:dyDescent="0.3"/>
    <row r="41822" s="160" customFormat="1" x14ac:dyDescent="0.3"/>
    <row r="41823" s="160" customFormat="1" x14ac:dyDescent="0.3"/>
    <row r="41824" s="160" customFormat="1" x14ac:dyDescent="0.3"/>
    <row r="41825" s="160" customFormat="1" x14ac:dyDescent="0.3"/>
    <row r="41826" s="160" customFormat="1" x14ac:dyDescent="0.3"/>
    <row r="41827" s="160" customFormat="1" x14ac:dyDescent="0.3"/>
    <row r="41828" s="160" customFormat="1" x14ac:dyDescent="0.3"/>
    <row r="41829" s="160" customFormat="1" x14ac:dyDescent="0.3"/>
    <row r="41830" s="160" customFormat="1" x14ac:dyDescent="0.3"/>
    <row r="41831" s="160" customFormat="1" x14ac:dyDescent="0.3"/>
    <row r="41832" s="160" customFormat="1" x14ac:dyDescent="0.3"/>
    <row r="41833" s="160" customFormat="1" x14ac:dyDescent="0.3"/>
    <row r="41834" s="160" customFormat="1" x14ac:dyDescent="0.3"/>
    <row r="41835" s="160" customFormat="1" x14ac:dyDescent="0.3"/>
    <row r="41836" s="160" customFormat="1" x14ac:dyDescent="0.3"/>
    <row r="41837" s="160" customFormat="1" x14ac:dyDescent="0.3"/>
    <row r="41838" s="160" customFormat="1" x14ac:dyDescent="0.3"/>
    <row r="41839" s="160" customFormat="1" x14ac:dyDescent="0.3"/>
    <row r="41840" s="160" customFormat="1" x14ac:dyDescent="0.3"/>
    <row r="41841" s="160" customFormat="1" x14ac:dyDescent="0.3"/>
    <row r="41842" s="160" customFormat="1" x14ac:dyDescent="0.3"/>
    <row r="41843" s="160" customFormat="1" x14ac:dyDescent="0.3"/>
    <row r="41844" s="160" customFormat="1" x14ac:dyDescent="0.3"/>
    <row r="41845" s="160" customFormat="1" x14ac:dyDescent="0.3"/>
    <row r="41846" s="160" customFormat="1" x14ac:dyDescent="0.3"/>
    <row r="41847" s="160" customFormat="1" x14ac:dyDescent="0.3"/>
    <row r="41848" s="160" customFormat="1" x14ac:dyDescent="0.3"/>
    <row r="41849" s="160" customFormat="1" x14ac:dyDescent="0.3"/>
    <row r="41850" s="160" customFormat="1" x14ac:dyDescent="0.3"/>
    <row r="41851" s="160" customFormat="1" x14ac:dyDescent="0.3"/>
    <row r="41852" s="160" customFormat="1" x14ac:dyDescent="0.3"/>
    <row r="41853" s="160" customFormat="1" x14ac:dyDescent="0.3"/>
    <row r="41854" s="160" customFormat="1" x14ac:dyDescent="0.3"/>
    <row r="41855" s="160" customFormat="1" x14ac:dyDescent="0.3"/>
    <row r="41856" s="160" customFormat="1" x14ac:dyDescent="0.3"/>
    <row r="41857" s="160" customFormat="1" x14ac:dyDescent="0.3"/>
    <row r="41858" s="160" customFormat="1" x14ac:dyDescent="0.3"/>
    <row r="41859" s="160" customFormat="1" x14ac:dyDescent="0.3"/>
    <row r="41860" s="160" customFormat="1" x14ac:dyDescent="0.3"/>
    <row r="41861" s="160" customFormat="1" x14ac:dyDescent="0.3"/>
    <row r="41862" s="160" customFormat="1" x14ac:dyDescent="0.3"/>
    <row r="41863" s="160" customFormat="1" x14ac:dyDescent="0.3"/>
    <row r="41864" s="160" customFormat="1" x14ac:dyDescent="0.3"/>
    <row r="41865" s="160" customFormat="1" x14ac:dyDescent="0.3"/>
    <row r="41866" s="160" customFormat="1" x14ac:dyDescent="0.3"/>
    <row r="41867" s="160" customFormat="1" x14ac:dyDescent="0.3"/>
    <row r="41868" s="160" customFormat="1" x14ac:dyDescent="0.3"/>
    <row r="41869" s="160" customFormat="1" x14ac:dyDescent="0.3"/>
    <row r="41870" s="160" customFormat="1" x14ac:dyDescent="0.3"/>
    <row r="41871" s="160" customFormat="1" x14ac:dyDescent="0.3"/>
    <row r="41872" s="160" customFormat="1" x14ac:dyDescent="0.3"/>
    <row r="41873" s="160" customFormat="1" x14ac:dyDescent="0.3"/>
    <row r="41874" s="160" customFormat="1" x14ac:dyDescent="0.3"/>
    <row r="41875" s="160" customFormat="1" x14ac:dyDescent="0.3"/>
    <row r="41876" s="160" customFormat="1" x14ac:dyDescent="0.3"/>
    <row r="41877" s="160" customFormat="1" x14ac:dyDescent="0.3"/>
    <row r="41878" s="160" customFormat="1" x14ac:dyDescent="0.3"/>
    <row r="41879" s="160" customFormat="1" x14ac:dyDescent="0.3"/>
    <row r="41880" s="160" customFormat="1" x14ac:dyDescent="0.3"/>
    <row r="41881" s="160" customFormat="1" x14ac:dyDescent="0.3"/>
    <row r="41882" s="160" customFormat="1" x14ac:dyDescent="0.3"/>
    <row r="41883" s="160" customFormat="1" x14ac:dyDescent="0.3"/>
    <row r="41884" s="160" customFormat="1" x14ac:dyDescent="0.3"/>
    <row r="41885" s="160" customFormat="1" x14ac:dyDescent="0.3"/>
    <row r="41886" s="160" customFormat="1" x14ac:dyDescent="0.3"/>
    <row r="41887" s="160" customFormat="1" x14ac:dyDescent="0.3"/>
    <row r="41888" s="160" customFormat="1" x14ac:dyDescent="0.3"/>
    <row r="41889" s="160" customFormat="1" x14ac:dyDescent="0.3"/>
    <row r="41890" s="160" customFormat="1" x14ac:dyDescent="0.3"/>
    <row r="41891" s="160" customFormat="1" x14ac:dyDescent="0.3"/>
    <row r="41892" s="160" customFormat="1" x14ac:dyDescent="0.3"/>
    <row r="41893" s="160" customFormat="1" x14ac:dyDescent="0.3"/>
    <row r="41894" s="160" customFormat="1" x14ac:dyDescent="0.3"/>
    <row r="41895" s="160" customFormat="1" x14ac:dyDescent="0.3"/>
    <row r="41896" s="160" customFormat="1" x14ac:dyDescent="0.3"/>
    <row r="41897" s="160" customFormat="1" x14ac:dyDescent="0.3"/>
    <row r="41898" s="160" customFormat="1" x14ac:dyDescent="0.3"/>
    <row r="41899" s="160" customFormat="1" x14ac:dyDescent="0.3"/>
    <row r="41900" s="160" customFormat="1" x14ac:dyDescent="0.3"/>
    <row r="41901" s="160" customFormat="1" x14ac:dyDescent="0.3"/>
    <row r="41902" s="160" customFormat="1" x14ac:dyDescent="0.3"/>
    <row r="41903" s="160" customFormat="1" x14ac:dyDescent="0.3"/>
    <row r="41904" s="160" customFormat="1" x14ac:dyDescent="0.3"/>
    <row r="41905" s="160" customFormat="1" x14ac:dyDescent="0.3"/>
    <row r="41906" s="160" customFormat="1" x14ac:dyDescent="0.3"/>
    <row r="41907" s="160" customFormat="1" x14ac:dyDescent="0.3"/>
    <row r="41908" s="160" customFormat="1" x14ac:dyDescent="0.3"/>
    <row r="41909" s="160" customFormat="1" x14ac:dyDescent="0.3"/>
    <row r="41910" s="160" customFormat="1" x14ac:dyDescent="0.3"/>
    <row r="41911" s="160" customFormat="1" x14ac:dyDescent="0.3"/>
    <row r="41912" s="160" customFormat="1" x14ac:dyDescent="0.3"/>
    <row r="41913" s="160" customFormat="1" x14ac:dyDescent="0.3"/>
    <row r="41914" s="160" customFormat="1" x14ac:dyDescent="0.3"/>
    <row r="41915" s="160" customFormat="1" x14ac:dyDescent="0.3"/>
    <row r="41916" s="160" customFormat="1" x14ac:dyDescent="0.3"/>
    <row r="41917" s="160" customFormat="1" x14ac:dyDescent="0.3"/>
    <row r="41918" s="160" customFormat="1" x14ac:dyDescent="0.3"/>
    <row r="41919" s="160" customFormat="1" x14ac:dyDescent="0.3"/>
    <row r="41920" s="160" customFormat="1" x14ac:dyDescent="0.3"/>
    <row r="41921" s="160" customFormat="1" x14ac:dyDescent="0.3"/>
    <row r="41922" s="160" customFormat="1" x14ac:dyDescent="0.3"/>
    <row r="41923" s="160" customFormat="1" x14ac:dyDescent="0.3"/>
    <row r="41924" s="160" customFormat="1" x14ac:dyDescent="0.3"/>
    <row r="41925" s="160" customFormat="1" x14ac:dyDescent="0.3"/>
    <row r="41926" s="160" customFormat="1" x14ac:dyDescent="0.3"/>
    <row r="41927" s="160" customFormat="1" x14ac:dyDescent="0.3"/>
    <row r="41928" s="160" customFormat="1" x14ac:dyDescent="0.3"/>
    <row r="41929" s="160" customFormat="1" x14ac:dyDescent="0.3"/>
    <row r="41930" s="160" customFormat="1" x14ac:dyDescent="0.3"/>
    <row r="41931" s="160" customFormat="1" x14ac:dyDescent="0.3"/>
    <row r="41932" s="160" customFormat="1" x14ac:dyDescent="0.3"/>
    <row r="41933" s="160" customFormat="1" x14ac:dyDescent="0.3"/>
    <row r="41934" s="160" customFormat="1" x14ac:dyDescent="0.3"/>
    <row r="41935" s="160" customFormat="1" x14ac:dyDescent="0.3"/>
    <row r="41936" s="160" customFormat="1" x14ac:dyDescent="0.3"/>
    <row r="41937" s="160" customFormat="1" x14ac:dyDescent="0.3"/>
    <row r="41938" s="160" customFormat="1" x14ac:dyDescent="0.3"/>
    <row r="41939" s="160" customFormat="1" x14ac:dyDescent="0.3"/>
    <row r="41940" s="160" customFormat="1" x14ac:dyDescent="0.3"/>
    <row r="41941" s="160" customFormat="1" x14ac:dyDescent="0.3"/>
    <row r="41942" s="160" customFormat="1" x14ac:dyDescent="0.3"/>
    <row r="41943" s="160" customFormat="1" x14ac:dyDescent="0.3"/>
    <row r="41944" s="160" customFormat="1" x14ac:dyDescent="0.3"/>
    <row r="41945" s="160" customFormat="1" x14ac:dyDescent="0.3"/>
    <row r="41946" s="160" customFormat="1" x14ac:dyDescent="0.3"/>
    <row r="41947" s="160" customFormat="1" x14ac:dyDescent="0.3"/>
    <row r="41948" s="160" customFormat="1" x14ac:dyDescent="0.3"/>
    <row r="41949" s="160" customFormat="1" x14ac:dyDescent="0.3"/>
    <row r="41950" s="160" customFormat="1" x14ac:dyDescent="0.3"/>
    <row r="41951" s="160" customFormat="1" x14ac:dyDescent="0.3"/>
    <row r="41952" s="160" customFormat="1" x14ac:dyDescent="0.3"/>
    <row r="41953" s="160" customFormat="1" x14ac:dyDescent="0.3"/>
    <row r="41954" s="160" customFormat="1" x14ac:dyDescent="0.3"/>
    <row r="41955" s="160" customFormat="1" x14ac:dyDescent="0.3"/>
    <row r="41956" s="160" customFormat="1" x14ac:dyDescent="0.3"/>
    <row r="41957" s="160" customFormat="1" x14ac:dyDescent="0.3"/>
    <row r="41958" s="160" customFormat="1" x14ac:dyDescent="0.3"/>
    <row r="41959" s="160" customFormat="1" x14ac:dyDescent="0.3"/>
    <row r="41960" s="160" customFormat="1" x14ac:dyDescent="0.3"/>
    <row r="41961" s="160" customFormat="1" x14ac:dyDescent="0.3"/>
    <row r="41962" s="160" customFormat="1" x14ac:dyDescent="0.3"/>
    <row r="41963" s="160" customFormat="1" x14ac:dyDescent="0.3"/>
    <row r="41964" s="160" customFormat="1" x14ac:dyDescent="0.3"/>
    <row r="41965" s="160" customFormat="1" x14ac:dyDescent="0.3"/>
    <row r="41966" s="160" customFormat="1" x14ac:dyDescent="0.3"/>
    <row r="41967" s="160" customFormat="1" x14ac:dyDescent="0.3"/>
    <row r="41968" s="160" customFormat="1" x14ac:dyDescent="0.3"/>
    <row r="41969" s="160" customFormat="1" x14ac:dyDescent="0.3"/>
    <row r="41970" s="160" customFormat="1" x14ac:dyDescent="0.3"/>
    <row r="41971" s="160" customFormat="1" x14ac:dyDescent="0.3"/>
    <row r="41972" s="160" customFormat="1" x14ac:dyDescent="0.3"/>
    <row r="41973" s="160" customFormat="1" x14ac:dyDescent="0.3"/>
    <row r="41974" s="160" customFormat="1" x14ac:dyDescent="0.3"/>
    <row r="41975" s="160" customFormat="1" x14ac:dyDescent="0.3"/>
    <row r="41976" s="160" customFormat="1" x14ac:dyDescent="0.3"/>
    <row r="41977" s="160" customFormat="1" x14ac:dyDescent="0.3"/>
    <row r="41978" s="160" customFormat="1" x14ac:dyDescent="0.3"/>
    <row r="41979" s="160" customFormat="1" x14ac:dyDescent="0.3"/>
    <row r="41980" s="160" customFormat="1" x14ac:dyDescent="0.3"/>
    <row r="41981" s="160" customFormat="1" x14ac:dyDescent="0.3"/>
    <row r="41982" s="160" customFormat="1" x14ac:dyDescent="0.3"/>
    <row r="41983" s="160" customFormat="1" x14ac:dyDescent="0.3"/>
    <row r="41984" s="160" customFormat="1" x14ac:dyDescent="0.3"/>
    <row r="41985" s="160" customFormat="1" x14ac:dyDescent="0.3"/>
    <row r="41986" s="160" customFormat="1" x14ac:dyDescent="0.3"/>
    <row r="41987" s="160" customFormat="1" x14ac:dyDescent="0.3"/>
    <row r="41988" s="160" customFormat="1" x14ac:dyDescent="0.3"/>
    <row r="41989" s="160" customFormat="1" x14ac:dyDescent="0.3"/>
    <row r="41990" s="160" customFormat="1" x14ac:dyDescent="0.3"/>
    <row r="41991" s="160" customFormat="1" x14ac:dyDescent="0.3"/>
    <row r="41992" s="160" customFormat="1" x14ac:dyDescent="0.3"/>
    <row r="41993" s="160" customFormat="1" x14ac:dyDescent="0.3"/>
    <row r="41994" s="160" customFormat="1" x14ac:dyDescent="0.3"/>
    <row r="41995" s="160" customFormat="1" x14ac:dyDescent="0.3"/>
    <row r="41996" s="160" customFormat="1" x14ac:dyDescent="0.3"/>
    <row r="41997" s="160" customFormat="1" x14ac:dyDescent="0.3"/>
    <row r="41998" s="160" customFormat="1" x14ac:dyDescent="0.3"/>
    <row r="41999" s="160" customFormat="1" x14ac:dyDescent="0.3"/>
    <row r="42000" s="160" customFormat="1" x14ac:dyDescent="0.3"/>
    <row r="42001" s="160" customFormat="1" x14ac:dyDescent="0.3"/>
    <row r="42002" s="160" customFormat="1" x14ac:dyDescent="0.3"/>
    <row r="42003" s="160" customFormat="1" x14ac:dyDescent="0.3"/>
    <row r="42004" s="160" customFormat="1" x14ac:dyDescent="0.3"/>
    <row r="42005" s="160" customFormat="1" x14ac:dyDescent="0.3"/>
    <row r="42006" s="160" customFormat="1" x14ac:dyDescent="0.3"/>
    <row r="42007" s="160" customFormat="1" x14ac:dyDescent="0.3"/>
    <row r="42008" s="160" customFormat="1" x14ac:dyDescent="0.3"/>
    <row r="42009" s="160" customFormat="1" x14ac:dyDescent="0.3"/>
    <row r="42010" s="160" customFormat="1" x14ac:dyDescent="0.3"/>
    <row r="42011" s="160" customFormat="1" x14ac:dyDescent="0.3"/>
    <row r="42012" s="160" customFormat="1" x14ac:dyDescent="0.3"/>
    <row r="42013" s="160" customFormat="1" x14ac:dyDescent="0.3"/>
    <row r="42014" s="160" customFormat="1" x14ac:dyDescent="0.3"/>
    <row r="42015" s="160" customFormat="1" x14ac:dyDescent="0.3"/>
    <row r="42016" s="160" customFormat="1" x14ac:dyDescent="0.3"/>
    <row r="42017" s="160" customFormat="1" x14ac:dyDescent="0.3"/>
    <row r="42018" s="160" customFormat="1" x14ac:dyDescent="0.3"/>
    <row r="42019" s="160" customFormat="1" x14ac:dyDescent="0.3"/>
    <row r="42020" s="160" customFormat="1" x14ac:dyDescent="0.3"/>
    <row r="42021" s="160" customFormat="1" x14ac:dyDescent="0.3"/>
    <row r="42022" s="160" customFormat="1" x14ac:dyDescent="0.3"/>
    <row r="42023" s="160" customFormat="1" x14ac:dyDescent="0.3"/>
    <row r="42024" s="160" customFormat="1" x14ac:dyDescent="0.3"/>
    <row r="42025" s="160" customFormat="1" x14ac:dyDescent="0.3"/>
    <row r="42026" s="160" customFormat="1" x14ac:dyDescent="0.3"/>
    <row r="42027" s="160" customFormat="1" x14ac:dyDescent="0.3"/>
    <row r="42028" s="160" customFormat="1" x14ac:dyDescent="0.3"/>
    <row r="42029" s="160" customFormat="1" x14ac:dyDescent="0.3"/>
    <row r="42030" s="160" customFormat="1" x14ac:dyDescent="0.3"/>
    <row r="42031" s="160" customFormat="1" x14ac:dyDescent="0.3"/>
    <row r="42032" s="160" customFormat="1" x14ac:dyDescent="0.3"/>
    <row r="42033" s="160" customFormat="1" x14ac:dyDescent="0.3"/>
    <row r="42034" s="160" customFormat="1" x14ac:dyDescent="0.3"/>
    <row r="42035" s="160" customFormat="1" x14ac:dyDescent="0.3"/>
    <row r="42036" s="160" customFormat="1" x14ac:dyDescent="0.3"/>
    <row r="42037" s="160" customFormat="1" x14ac:dyDescent="0.3"/>
    <row r="42038" s="160" customFormat="1" x14ac:dyDescent="0.3"/>
    <row r="42039" s="160" customFormat="1" x14ac:dyDescent="0.3"/>
    <row r="42040" s="160" customFormat="1" x14ac:dyDescent="0.3"/>
    <row r="42041" s="160" customFormat="1" x14ac:dyDescent="0.3"/>
    <row r="42042" s="160" customFormat="1" x14ac:dyDescent="0.3"/>
    <row r="42043" s="160" customFormat="1" x14ac:dyDescent="0.3"/>
    <row r="42044" s="160" customFormat="1" x14ac:dyDescent="0.3"/>
    <row r="42045" s="160" customFormat="1" x14ac:dyDescent="0.3"/>
    <row r="42046" s="160" customFormat="1" x14ac:dyDescent="0.3"/>
    <row r="42047" s="160" customFormat="1" x14ac:dyDescent="0.3"/>
    <row r="42048" s="160" customFormat="1" x14ac:dyDescent="0.3"/>
    <row r="42049" s="160" customFormat="1" x14ac:dyDescent="0.3"/>
    <row r="42050" s="160" customFormat="1" x14ac:dyDescent="0.3"/>
    <row r="42051" s="160" customFormat="1" x14ac:dyDescent="0.3"/>
    <row r="42052" s="160" customFormat="1" x14ac:dyDescent="0.3"/>
    <row r="42053" s="160" customFormat="1" x14ac:dyDescent="0.3"/>
    <row r="42054" s="160" customFormat="1" x14ac:dyDescent="0.3"/>
    <row r="42055" s="160" customFormat="1" x14ac:dyDescent="0.3"/>
    <row r="42056" s="160" customFormat="1" x14ac:dyDescent="0.3"/>
    <row r="42057" s="160" customFormat="1" x14ac:dyDescent="0.3"/>
    <row r="42058" s="160" customFormat="1" x14ac:dyDescent="0.3"/>
    <row r="42059" s="160" customFormat="1" x14ac:dyDescent="0.3"/>
    <row r="42060" s="160" customFormat="1" x14ac:dyDescent="0.3"/>
    <row r="42061" s="160" customFormat="1" x14ac:dyDescent="0.3"/>
    <row r="42062" s="160" customFormat="1" x14ac:dyDescent="0.3"/>
    <row r="42063" s="160" customFormat="1" x14ac:dyDescent="0.3"/>
    <row r="42064" s="160" customFormat="1" x14ac:dyDescent="0.3"/>
    <row r="42065" s="160" customFormat="1" x14ac:dyDescent="0.3"/>
    <row r="42066" s="160" customFormat="1" x14ac:dyDescent="0.3"/>
    <row r="42067" s="160" customFormat="1" x14ac:dyDescent="0.3"/>
    <row r="42068" s="160" customFormat="1" x14ac:dyDescent="0.3"/>
    <row r="42069" s="160" customFormat="1" x14ac:dyDescent="0.3"/>
    <row r="42070" s="160" customFormat="1" x14ac:dyDescent="0.3"/>
    <row r="42071" s="160" customFormat="1" x14ac:dyDescent="0.3"/>
    <row r="42072" s="160" customFormat="1" x14ac:dyDescent="0.3"/>
    <row r="42073" s="160" customFormat="1" x14ac:dyDescent="0.3"/>
    <row r="42074" s="160" customFormat="1" x14ac:dyDescent="0.3"/>
    <row r="42075" s="160" customFormat="1" x14ac:dyDescent="0.3"/>
    <row r="42076" s="160" customFormat="1" x14ac:dyDescent="0.3"/>
    <row r="42077" s="160" customFormat="1" x14ac:dyDescent="0.3"/>
    <row r="42078" s="160" customFormat="1" x14ac:dyDescent="0.3"/>
    <row r="42079" s="160" customFormat="1" x14ac:dyDescent="0.3"/>
    <row r="42080" s="160" customFormat="1" x14ac:dyDescent="0.3"/>
    <row r="42081" s="160" customFormat="1" x14ac:dyDescent="0.3"/>
    <row r="42082" s="160" customFormat="1" x14ac:dyDescent="0.3"/>
    <row r="42083" s="160" customFormat="1" x14ac:dyDescent="0.3"/>
    <row r="42084" s="160" customFormat="1" x14ac:dyDescent="0.3"/>
    <row r="42085" s="160" customFormat="1" x14ac:dyDescent="0.3"/>
    <row r="42086" s="160" customFormat="1" x14ac:dyDescent="0.3"/>
    <row r="42087" s="160" customFormat="1" x14ac:dyDescent="0.3"/>
    <row r="42088" s="160" customFormat="1" x14ac:dyDescent="0.3"/>
    <row r="42089" s="160" customFormat="1" x14ac:dyDescent="0.3"/>
    <row r="42090" s="160" customFormat="1" x14ac:dyDescent="0.3"/>
    <row r="42091" s="160" customFormat="1" x14ac:dyDescent="0.3"/>
    <row r="42092" s="160" customFormat="1" x14ac:dyDescent="0.3"/>
    <row r="42093" s="160" customFormat="1" x14ac:dyDescent="0.3"/>
    <row r="42094" s="160" customFormat="1" x14ac:dyDescent="0.3"/>
    <row r="42095" s="160" customFormat="1" x14ac:dyDescent="0.3"/>
    <row r="42096" s="160" customFormat="1" x14ac:dyDescent="0.3"/>
    <row r="42097" s="160" customFormat="1" x14ac:dyDescent="0.3"/>
    <row r="42098" s="160" customFormat="1" x14ac:dyDescent="0.3"/>
    <row r="42099" s="160" customFormat="1" x14ac:dyDescent="0.3"/>
    <row r="42100" s="160" customFormat="1" x14ac:dyDescent="0.3"/>
    <row r="42101" s="160" customFormat="1" x14ac:dyDescent="0.3"/>
    <row r="42102" s="160" customFormat="1" x14ac:dyDescent="0.3"/>
    <row r="42103" s="160" customFormat="1" x14ac:dyDescent="0.3"/>
    <row r="42104" s="160" customFormat="1" x14ac:dyDescent="0.3"/>
    <row r="42105" s="160" customFormat="1" x14ac:dyDescent="0.3"/>
    <row r="42106" s="160" customFormat="1" x14ac:dyDescent="0.3"/>
    <row r="42107" s="160" customFormat="1" x14ac:dyDescent="0.3"/>
    <row r="42108" s="160" customFormat="1" x14ac:dyDescent="0.3"/>
    <row r="42109" s="160" customFormat="1" x14ac:dyDescent="0.3"/>
    <row r="42110" s="160" customFormat="1" x14ac:dyDescent="0.3"/>
    <row r="42111" s="160" customFormat="1" x14ac:dyDescent="0.3"/>
    <row r="42112" s="160" customFormat="1" x14ac:dyDescent="0.3"/>
    <row r="42113" s="160" customFormat="1" x14ac:dyDescent="0.3"/>
    <row r="42114" s="160" customFormat="1" x14ac:dyDescent="0.3"/>
    <row r="42115" s="160" customFormat="1" x14ac:dyDescent="0.3"/>
    <row r="42116" s="160" customFormat="1" x14ac:dyDescent="0.3"/>
    <row r="42117" s="160" customFormat="1" x14ac:dyDescent="0.3"/>
    <row r="42118" s="160" customFormat="1" x14ac:dyDescent="0.3"/>
    <row r="42119" s="160" customFormat="1" x14ac:dyDescent="0.3"/>
    <row r="42120" s="160" customFormat="1" x14ac:dyDescent="0.3"/>
    <row r="42121" s="160" customFormat="1" x14ac:dyDescent="0.3"/>
    <row r="42122" s="160" customFormat="1" x14ac:dyDescent="0.3"/>
    <row r="42123" s="160" customFormat="1" x14ac:dyDescent="0.3"/>
    <row r="42124" s="160" customFormat="1" x14ac:dyDescent="0.3"/>
    <row r="42125" s="160" customFormat="1" x14ac:dyDescent="0.3"/>
    <row r="42126" s="160" customFormat="1" x14ac:dyDescent="0.3"/>
    <row r="42127" s="160" customFormat="1" x14ac:dyDescent="0.3"/>
    <row r="42128" s="160" customFormat="1" x14ac:dyDescent="0.3"/>
    <row r="42129" s="160" customFormat="1" x14ac:dyDescent="0.3"/>
    <row r="42130" s="160" customFormat="1" x14ac:dyDescent="0.3"/>
    <row r="42131" s="160" customFormat="1" x14ac:dyDescent="0.3"/>
    <row r="42132" s="160" customFormat="1" x14ac:dyDescent="0.3"/>
    <row r="42133" s="160" customFormat="1" x14ac:dyDescent="0.3"/>
    <row r="42134" s="160" customFormat="1" x14ac:dyDescent="0.3"/>
    <row r="42135" s="160" customFormat="1" x14ac:dyDescent="0.3"/>
    <row r="42136" s="160" customFormat="1" x14ac:dyDescent="0.3"/>
    <row r="42137" s="160" customFormat="1" x14ac:dyDescent="0.3"/>
    <row r="42138" s="160" customFormat="1" x14ac:dyDescent="0.3"/>
    <row r="42139" s="160" customFormat="1" x14ac:dyDescent="0.3"/>
    <row r="42140" s="160" customFormat="1" x14ac:dyDescent="0.3"/>
    <row r="42141" s="160" customFormat="1" x14ac:dyDescent="0.3"/>
    <row r="42142" s="160" customFormat="1" x14ac:dyDescent="0.3"/>
    <row r="42143" s="160" customFormat="1" x14ac:dyDescent="0.3"/>
    <row r="42144" s="160" customFormat="1" x14ac:dyDescent="0.3"/>
    <row r="42145" s="160" customFormat="1" x14ac:dyDescent="0.3"/>
    <row r="42146" s="160" customFormat="1" x14ac:dyDescent="0.3"/>
    <row r="42147" s="160" customFormat="1" x14ac:dyDescent="0.3"/>
    <row r="42148" s="160" customFormat="1" x14ac:dyDescent="0.3"/>
    <row r="42149" s="160" customFormat="1" x14ac:dyDescent="0.3"/>
    <row r="42150" s="160" customFormat="1" x14ac:dyDescent="0.3"/>
    <row r="42151" s="160" customFormat="1" x14ac:dyDescent="0.3"/>
    <row r="42152" s="160" customFormat="1" x14ac:dyDescent="0.3"/>
    <row r="42153" s="160" customFormat="1" x14ac:dyDescent="0.3"/>
    <row r="42154" s="160" customFormat="1" x14ac:dyDescent="0.3"/>
    <row r="42155" s="160" customFormat="1" x14ac:dyDescent="0.3"/>
    <row r="42156" s="160" customFormat="1" x14ac:dyDescent="0.3"/>
    <row r="42157" s="160" customFormat="1" x14ac:dyDescent="0.3"/>
    <row r="42158" s="160" customFormat="1" x14ac:dyDescent="0.3"/>
    <row r="42159" s="160" customFormat="1" x14ac:dyDescent="0.3"/>
    <row r="42160" s="160" customFormat="1" x14ac:dyDescent="0.3"/>
    <row r="42161" s="160" customFormat="1" x14ac:dyDescent="0.3"/>
    <row r="42162" s="160" customFormat="1" x14ac:dyDescent="0.3"/>
    <row r="42163" s="160" customFormat="1" x14ac:dyDescent="0.3"/>
    <row r="42164" s="160" customFormat="1" x14ac:dyDescent="0.3"/>
    <row r="42165" s="160" customFormat="1" x14ac:dyDescent="0.3"/>
    <row r="42166" s="160" customFormat="1" x14ac:dyDescent="0.3"/>
    <row r="42167" s="160" customFormat="1" x14ac:dyDescent="0.3"/>
    <row r="42168" s="160" customFormat="1" x14ac:dyDescent="0.3"/>
    <row r="42169" s="160" customFormat="1" x14ac:dyDescent="0.3"/>
    <row r="42170" s="160" customFormat="1" x14ac:dyDescent="0.3"/>
    <row r="42171" s="160" customFormat="1" x14ac:dyDescent="0.3"/>
    <row r="42172" s="160" customFormat="1" x14ac:dyDescent="0.3"/>
    <row r="42173" s="160" customFormat="1" x14ac:dyDescent="0.3"/>
    <row r="42174" s="160" customFormat="1" x14ac:dyDescent="0.3"/>
    <row r="42175" s="160" customFormat="1" x14ac:dyDescent="0.3"/>
    <row r="42176" s="160" customFormat="1" x14ac:dyDescent="0.3"/>
    <row r="42177" s="160" customFormat="1" x14ac:dyDescent="0.3"/>
    <row r="42178" s="160" customFormat="1" x14ac:dyDescent="0.3"/>
    <row r="42179" s="160" customFormat="1" x14ac:dyDescent="0.3"/>
    <row r="42180" s="160" customFormat="1" x14ac:dyDescent="0.3"/>
    <row r="42181" s="160" customFormat="1" x14ac:dyDescent="0.3"/>
    <row r="42182" s="160" customFormat="1" x14ac:dyDescent="0.3"/>
    <row r="42183" s="160" customFormat="1" x14ac:dyDescent="0.3"/>
    <row r="42184" s="160" customFormat="1" x14ac:dyDescent="0.3"/>
    <row r="42185" s="160" customFormat="1" x14ac:dyDescent="0.3"/>
    <row r="42186" s="160" customFormat="1" x14ac:dyDescent="0.3"/>
    <row r="42187" s="160" customFormat="1" x14ac:dyDescent="0.3"/>
    <row r="42188" s="160" customFormat="1" x14ac:dyDescent="0.3"/>
    <row r="42189" s="160" customFormat="1" x14ac:dyDescent="0.3"/>
    <row r="42190" s="160" customFormat="1" x14ac:dyDescent="0.3"/>
    <row r="42191" s="160" customFormat="1" x14ac:dyDescent="0.3"/>
    <row r="42192" s="160" customFormat="1" x14ac:dyDescent="0.3"/>
    <row r="42193" s="160" customFormat="1" x14ac:dyDescent="0.3"/>
    <row r="42194" s="160" customFormat="1" x14ac:dyDescent="0.3"/>
    <row r="42195" s="160" customFormat="1" x14ac:dyDescent="0.3"/>
    <row r="42196" s="160" customFormat="1" x14ac:dyDescent="0.3"/>
    <row r="42197" s="160" customFormat="1" x14ac:dyDescent="0.3"/>
    <row r="42198" s="160" customFormat="1" x14ac:dyDescent="0.3"/>
    <row r="42199" s="160" customFormat="1" x14ac:dyDescent="0.3"/>
    <row r="42200" s="160" customFormat="1" x14ac:dyDescent="0.3"/>
    <row r="42201" s="160" customFormat="1" x14ac:dyDescent="0.3"/>
    <row r="42202" s="160" customFormat="1" x14ac:dyDescent="0.3"/>
    <row r="42203" s="160" customFormat="1" x14ac:dyDescent="0.3"/>
    <row r="42204" s="160" customFormat="1" x14ac:dyDescent="0.3"/>
    <row r="42205" s="160" customFormat="1" x14ac:dyDescent="0.3"/>
    <row r="42206" s="160" customFormat="1" x14ac:dyDescent="0.3"/>
    <row r="42207" s="160" customFormat="1" x14ac:dyDescent="0.3"/>
    <row r="42208" s="160" customFormat="1" x14ac:dyDescent="0.3"/>
    <row r="42209" s="160" customFormat="1" x14ac:dyDescent="0.3"/>
    <row r="42210" s="160" customFormat="1" x14ac:dyDescent="0.3"/>
    <row r="42211" s="160" customFormat="1" x14ac:dyDescent="0.3"/>
    <row r="42212" s="160" customFormat="1" x14ac:dyDescent="0.3"/>
    <row r="42213" s="160" customFormat="1" x14ac:dyDescent="0.3"/>
    <row r="42214" s="160" customFormat="1" x14ac:dyDescent="0.3"/>
    <row r="42215" s="160" customFormat="1" x14ac:dyDescent="0.3"/>
    <row r="42216" s="160" customFormat="1" x14ac:dyDescent="0.3"/>
    <row r="42217" s="160" customFormat="1" x14ac:dyDescent="0.3"/>
    <row r="42218" s="160" customFormat="1" x14ac:dyDescent="0.3"/>
    <row r="42219" s="160" customFormat="1" x14ac:dyDescent="0.3"/>
    <row r="42220" s="160" customFormat="1" x14ac:dyDescent="0.3"/>
    <row r="42221" s="160" customFormat="1" x14ac:dyDescent="0.3"/>
    <row r="42222" s="160" customFormat="1" x14ac:dyDescent="0.3"/>
    <row r="42223" s="160" customFormat="1" x14ac:dyDescent="0.3"/>
    <row r="42224" s="160" customFormat="1" x14ac:dyDescent="0.3"/>
    <row r="42225" s="160" customFormat="1" x14ac:dyDescent="0.3"/>
    <row r="42226" s="160" customFormat="1" x14ac:dyDescent="0.3"/>
    <row r="42227" s="160" customFormat="1" x14ac:dyDescent="0.3"/>
    <row r="42228" s="160" customFormat="1" x14ac:dyDescent="0.3"/>
    <row r="42229" s="160" customFormat="1" x14ac:dyDescent="0.3"/>
    <row r="42230" s="160" customFormat="1" x14ac:dyDescent="0.3"/>
    <row r="42231" s="160" customFormat="1" x14ac:dyDescent="0.3"/>
    <row r="42232" s="160" customFormat="1" x14ac:dyDescent="0.3"/>
    <row r="42233" s="160" customFormat="1" x14ac:dyDescent="0.3"/>
    <row r="42234" s="160" customFormat="1" x14ac:dyDescent="0.3"/>
    <row r="42235" s="160" customFormat="1" x14ac:dyDescent="0.3"/>
    <row r="42236" s="160" customFormat="1" x14ac:dyDescent="0.3"/>
    <row r="42237" s="160" customFormat="1" x14ac:dyDescent="0.3"/>
    <row r="42238" s="160" customFormat="1" x14ac:dyDescent="0.3"/>
    <row r="42239" s="160" customFormat="1" x14ac:dyDescent="0.3"/>
    <row r="42240" s="160" customFormat="1" x14ac:dyDescent="0.3"/>
    <row r="42241" s="160" customFormat="1" x14ac:dyDescent="0.3"/>
    <row r="42242" s="160" customFormat="1" x14ac:dyDescent="0.3"/>
    <row r="42243" s="160" customFormat="1" x14ac:dyDescent="0.3"/>
    <row r="42244" s="160" customFormat="1" x14ac:dyDescent="0.3"/>
    <row r="42245" s="160" customFormat="1" x14ac:dyDescent="0.3"/>
    <row r="42246" s="160" customFormat="1" x14ac:dyDescent="0.3"/>
    <row r="42247" s="160" customFormat="1" x14ac:dyDescent="0.3"/>
    <row r="42248" s="160" customFormat="1" x14ac:dyDescent="0.3"/>
    <row r="42249" s="160" customFormat="1" x14ac:dyDescent="0.3"/>
    <row r="42250" s="160" customFormat="1" x14ac:dyDescent="0.3"/>
    <row r="42251" s="160" customFormat="1" x14ac:dyDescent="0.3"/>
    <row r="42252" s="160" customFormat="1" x14ac:dyDescent="0.3"/>
    <row r="42253" s="160" customFormat="1" x14ac:dyDescent="0.3"/>
    <row r="42254" s="160" customFormat="1" x14ac:dyDescent="0.3"/>
    <row r="42255" s="160" customFormat="1" x14ac:dyDescent="0.3"/>
    <row r="42256" s="160" customFormat="1" x14ac:dyDescent="0.3"/>
    <row r="42257" s="160" customFormat="1" x14ac:dyDescent="0.3"/>
    <row r="42258" s="160" customFormat="1" x14ac:dyDescent="0.3"/>
    <row r="42259" s="160" customFormat="1" x14ac:dyDescent="0.3"/>
    <row r="42260" s="160" customFormat="1" x14ac:dyDescent="0.3"/>
    <row r="42261" s="160" customFormat="1" x14ac:dyDescent="0.3"/>
    <row r="42262" s="160" customFormat="1" x14ac:dyDescent="0.3"/>
    <row r="42263" s="160" customFormat="1" x14ac:dyDescent="0.3"/>
    <row r="42264" s="160" customFormat="1" x14ac:dyDescent="0.3"/>
    <row r="42265" s="160" customFormat="1" x14ac:dyDescent="0.3"/>
    <row r="42266" s="160" customFormat="1" x14ac:dyDescent="0.3"/>
    <row r="42267" s="160" customFormat="1" x14ac:dyDescent="0.3"/>
    <row r="42268" s="160" customFormat="1" x14ac:dyDescent="0.3"/>
    <row r="42269" s="160" customFormat="1" x14ac:dyDescent="0.3"/>
    <row r="42270" s="160" customFormat="1" x14ac:dyDescent="0.3"/>
    <row r="42271" s="160" customFormat="1" x14ac:dyDescent="0.3"/>
    <row r="42272" s="160" customFormat="1" x14ac:dyDescent="0.3"/>
    <row r="42273" s="160" customFormat="1" x14ac:dyDescent="0.3"/>
    <row r="42274" s="160" customFormat="1" x14ac:dyDescent="0.3"/>
    <row r="42275" s="160" customFormat="1" x14ac:dyDescent="0.3"/>
    <row r="42276" s="160" customFormat="1" x14ac:dyDescent="0.3"/>
    <row r="42277" s="160" customFormat="1" x14ac:dyDescent="0.3"/>
    <row r="42278" s="160" customFormat="1" x14ac:dyDescent="0.3"/>
    <row r="42279" s="160" customFormat="1" x14ac:dyDescent="0.3"/>
    <row r="42280" s="160" customFormat="1" x14ac:dyDescent="0.3"/>
    <row r="42281" s="160" customFormat="1" x14ac:dyDescent="0.3"/>
    <row r="42282" s="160" customFormat="1" x14ac:dyDescent="0.3"/>
    <row r="42283" s="160" customFormat="1" x14ac:dyDescent="0.3"/>
    <row r="42284" s="160" customFormat="1" x14ac:dyDescent="0.3"/>
    <row r="42285" s="160" customFormat="1" x14ac:dyDescent="0.3"/>
    <row r="42286" s="160" customFormat="1" x14ac:dyDescent="0.3"/>
    <row r="42287" s="160" customFormat="1" x14ac:dyDescent="0.3"/>
    <row r="42288" s="160" customFormat="1" x14ac:dyDescent="0.3"/>
    <row r="42289" s="160" customFormat="1" x14ac:dyDescent="0.3"/>
    <row r="42290" s="160" customFormat="1" x14ac:dyDescent="0.3"/>
    <row r="42291" s="160" customFormat="1" x14ac:dyDescent="0.3"/>
    <row r="42292" s="160" customFormat="1" x14ac:dyDescent="0.3"/>
    <row r="42293" s="160" customFormat="1" x14ac:dyDescent="0.3"/>
    <row r="42294" s="160" customFormat="1" x14ac:dyDescent="0.3"/>
    <row r="42295" s="160" customFormat="1" x14ac:dyDescent="0.3"/>
    <row r="42296" s="160" customFormat="1" x14ac:dyDescent="0.3"/>
    <row r="42297" s="160" customFormat="1" x14ac:dyDescent="0.3"/>
    <row r="42298" s="160" customFormat="1" x14ac:dyDescent="0.3"/>
    <row r="42299" s="160" customFormat="1" x14ac:dyDescent="0.3"/>
    <row r="42300" s="160" customFormat="1" x14ac:dyDescent="0.3"/>
    <row r="42301" s="160" customFormat="1" x14ac:dyDescent="0.3"/>
    <row r="42302" s="160" customFormat="1" x14ac:dyDescent="0.3"/>
    <row r="42303" s="160" customFormat="1" x14ac:dyDescent="0.3"/>
    <row r="42304" s="160" customFormat="1" x14ac:dyDescent="0.3"/>
    <row r="42305" s="160" customFormat="1" x14ac:dyDescent="0.3"/>
    <row r="42306" s="160" customFormat="1" x14ac:dyDescent="0.3"/>
    <row r="42307" s="160" customFormat="1" x14ac:dyDescent="0.3"/>
    <row r="42308" s="160" customFormat="1" x14ac:dyDescent="0.3"/>
    <row r="42309" s="160" customFormat="1" x14ac:dyDescent="0.3"/>
    <row r="42310" s="160" customFormat="1" x14ac:dyDescent="0.3"/>
    <row r="42311" s="160" customFormat="1" x14ac:dyDescent="0.3"/>
    <row r="42312" s="160" customFormat="1" x14ac:dyDescent="0.3"/>
    <row r="42313" s="160" customFormat="1" x14ac:dyDescent="0.3"/>
    <row r="42314" s="160" customFormat="1" x14ac:dyDescent="0.3"/>
    <row r="42315" s="160" customFormat="1" x14ac:dyDescent="0.3"/>
    <row r="42316" s="160" customFormat="1" x14ac:dyDescent="0.3"/>
    <row r="42317" s="160" customFormat="1" x14ac:dyDescent="0.3"/>
    <row r="42318" s="160" customFormat="1" x14ac:dyDescent="0.3"/>
    <row r="42319" s="160" customFormat="1" x14ac:dyDescent="0.3"/>
    <row r="42320" s="160" customFormat="1" x14ac:dyDescent="0.3"/>
    <row r="42321" s="160" customFormat="1" x14ac:dyDescent="0.3"/>
    <row r="42322" s="160" customFormat="1" x14ac:dyDescent="0.3"/>
    <row r="42323" s="160" customFormat="1" x14ac:dyDescent="0.3"/>
    <row r="42324" s="160" customFormat="1" x14ac:dyDescent="0.3"/>
    <row r="42325" s="160" customFormat="1" x14ac:dyDescent="0.3"/>
    <row r="42326" s="160" customFormat="1" x14ac:dyDescent="0.3"/>
    <row r="42327" s="160" customFormat="1" x14ac:dyDescent="0.3"/>
    <row r="42328" s="160" customFormat="1" x14ac:dyDescent="0.3"/>
    <row r="42329" s="160" customFormat="1" x14ac:dyDescent="0.3"/>
    <row r="42330" s="160" customFormat="1" x14ac:dyDescent="0.3"/>
    <row r="42331" s="160" customFormat="1" x14ac:dyDescent="0.3"/>
    <row r="42332" s="160" customFormat="1" x14ac:dyDescent="0.3"/>
    <row r="42333" s="160" customFormat="1" x14ac:dyDescent="0.3"/>
    <row r="42334" s="160" customFormat="1" x14ac:dyDescent="0.3"/>
    <row r="42335" s="160" customFormat="1" x14ac:dyDescent="0.3"/>
    <row r="42336" s="160" customFormat="1" x14ac:dyDescent="0.3"/>
    <row r="42337" s="160" customFormat="1" x14ac:dyDescent="0.3"/>
    <row r="42338" s="160" customFormat="1" x14ac:dyDescent="0.3"/>
    <row r="42339" s="160" customFormat="1" x14ac:dyDescent="0.3"/>
    <row r="42340" s="160" customFormat="1" x14ac:dyDescent="0.3"/>
    <row r="42341" s="160" customFormat="1" x14ac:dyDescent="0.3"/>
    <row r="42342" s="160" customFormat="1" x14ac:dyDescent="0.3"/>
    <row r="42343" s="160" customFormat="1" x14ac:dyDescent="0.3"/>
    <row r="42344" s="160" customFormat="1" x14ac:dyDescent="0.3"/>
    <row r="42345" s="160" customFormat="1" x14ac:dyDescent="0.3"/>
    <row r="42346" s="160" customFormat="1" x14ac:dyDescent="0.3"/>
    <row r="42347" s="160" customFormat="1" x14ac:dyDescent="0.3"/>
    <row r="42348" s="160" customFormat="1" x14ac:dyDescent="0.3"/>
    <row r="42349" s="160" customFormat="1" x14ac:dyDescent="0.3"/>
    <row r="42350" s="160" customFormat="1" x14ac:dyDescent="0.3"/>
    <row r="42351" s="160" customFormat="1" x14ac:dyDescent="0.3"/>
    <row r="42352" s="160" customFormat="1" x14ac:dyDescent="0.3"/>
    <row r="42353" s="160" customFormat="1" x14ac:dyDescent="0.3"/>
    <row r="42354" s="160" customFormat="1" x14ac:dyDescent="0.3"/>
    <row r="42355" s="160" customFormat="1" x14ac:dyDescent="0.3"/>
    <row r="42356" s="160" customFormat="1" x14ac:dyDescent="0.3"/>
    <row r="42357" s="160" customFormat="1" x14ac:dyDescent="0.3"/>
    <row r="42358" s="160" customFormat="1" x14ac:dyDescent="0.3"/>
    <row r="42359" s="160" customFormat="1" x14ac:dyDescent="0.3"/>
    <row r="42360" s="160" customFormat="1" x14ac:dyDescent="0.3"/>
    <row r="42361" s="160" customFormat="1" x14ac:dyDescent="0.3"/>
    <row r="42362" s="160" customFormat="1" x14ac:dyDescent="0.3"/>
    <row r="42363" s="160" customFormat="1" x14ac:dyDescent="0.3"/>
    <row r="42364" s="160" customFormat="1" x14ac:dyDescent="0.3"/>
    <row r="42365" s="160" customFormat="1" x14ac:dyDescent="0.3"/>
    <row r="42366" s="160" customFormat="1" x14ac:dyDescent="0.3"/>
    <row r="42367" s="160" customFormat="1" x14ac:dyDescent="0.3"/>
    <row r="42368" s="160" customFormat="1" x14ac:dyDescent="0.3"/>
    <row r="42369" s="160" customFormat="1" x14ac:dyDescent="0.3"/>
    <row r="42370" s="160" customFormat="1" x14ac:dyDescent="0.3"/>
    <row r="42371" s="160" customFormat="1" x14ac:dyDescent="0.3"/>
    <row r="42372" s="160" customFormat="1" x14ac:dyDescent="0.3"/>
    <row r="42373" s="160" customFormat="1" x14ac:dyDescent="0.3"/>
    <row r="42374" s="160" customFormat="1" x14ac:dyDescent="0.3"/>
    <row r="42375" s="160" customFormat="1" x14ac:dyDescent="0.3"/>
    <row r="42376" s="160" customFormat="1" x14ac:dyDescent="0.3"/>
    <row r="42377" s="160" customFormat="1" x14ac:dyDescent="0.3"/>
    <row r="42378" s="160" customFormat="1" x14ac:dyDescent="0.3"/>
    <row r="42379" s="160" customFormat="1" x14ac:dyDescent="0.3"/>
    <row r="42380" s="160" customFormat="1" x14ac:dyDescent="0.3"/>
    <row r="42381" s="160" customFormat="1" x14ac:dyDescent="0.3"/>
    <row r="42382" s="160" customFormat="1" x14ac:dyDescent="0.3"/>
    <row r="42383" s="160" customFormat="1" x14ac:dyDescent="0.3"/>
    <row r="42384" s="160" customFormat="1" x14ac:dyDescent="0.3"/>
    <row r="42385" s="160" customFormat="1" x14ac:dyDescent="0.3"/>
    <row r="42386" s="160" customFormat="1" x14ac:dyDescent="0.3"/>
    <row r="42387" s="160" customFormat="1" x14ac:dyDescent="0.3"/>
    <row r="42388" s="160" customFormat="1" x14ac:dyDescent="0.3"/>
    <row r="42389" s="160" customFormat="1" x14ac:dyDescent="0.3"/>
    <row r="42390" s="160" customFormat="1" x14ac:dyDescent="0.3"/>
    <row r="42391" s="160" customFormat="1" x14ac:dyDescent="0.3"/>
    <row r="42392" s="160" customFormat="1" x14ac:dyDescent="0.3"/>
    <row r="42393" s="160" customFormat="1" x14ac:dyDescent="0.3"/>
    <row r="42394" s="160" customFormat="1" x14ac:dyDescent="0.3"/>
    <row r="42395" s="160" customFormat="1" x14ac:dyDescent="0.3"/>
    <row r="42396" s="160" customFormat="1" x14ac:dyDescent="0.3"/>
    <row r="42397" s="160" customFormat="1" x14ac:dyDescent="0.3"/>
    <row r="42398" s="160" customFormat="1" x14ac:dyDescent="0.3"/>
    <row r="42399" s="160" customFormat="1" x14ac:dyDescent="0.3"/>
    <row r="42400" s="160" customFormat="1" x14ac:dyDescent="0.3"/>
    <row r="42401" s="160" customFormat="1" x14ac:dyDescent="0.3"/>
    <row r="42402" s="160" customFormat="1" x14ac:dyDescent="0.3"/>
    <row r="42403" s="160" customFormat="1" x14ac:dyDescent="0.3"/>
    <row r="42404" s="160" customFormat="1" x14ac:dyDescent="0.3"/>
    <row r="42405" s="160" customFormat="1" x14ac:dyDescent="0.3"/>
    <row r="42406" s="160" customFormat="1" x14ac:dyDescent="0.3"/>
    <row r="42407" s="160" customFormat="1" x14ac:dyDescent="0.3"/>
    <row r="42408" s="160" customFormat="1" x14ac:dyDescent="0.3"/>
    <row r="42409" s="160" customFormat="1" x14ac:dyDescent="0.3"/>
    <row r="42410" s="160" customFormat="1" x14ac:dyDescent="0.3"/>
    <row r="42411" s="160" customFormat="1" x14ac:dyDescent="0.3"/>
    <row r="42412" s="160" customFormat="1" x14ac:dyDescent="0.3"/>
    <row r="42413" s="160" customFormat="1" x14ac:dyDescent="0.3"/>
    <row r="42414" s="160" customFormat="1" x14ac:dyDescent="0.3"/>
    <row r="42415" s="160" customFormat="1" x14ac:dyDescent="0.3"/>
    <row r="42416" s="160" customFormat="1" x14ac:dyDescent="0.3"/>
    <row r="42417" s="160" customFormat="1" x14ac:dyDescent="0.3"/>
    <row r="42418" s="160" customFormat="1" x14ac:dyDescent="0.3"/>
    <row r="42419" s="160" customFormat="1" x14ac:dyDescent="0.3"/>
    <row r="42420" s="160" customFormat="1" x14ac:dyDescent="0.3"/>
    <row r="42421" s="160" customFormat="1" x14ac:dyDescent="0.3"/>
    <row r="42422" s="160" customFormat="1" x14ac:dyDescent="0.3"/>
    <row r="42423" s="160" customFormat="1" x14ac:dyDescent="0.3"/>
    <row r="42424" s="160" customFormat="1" x14ac:dyDescent="0.3"/>
    <row r="42425" s="160" customFormat="1" x14ac:dyDescent="0.3"/>
    <row r="42426" s="160" customFormat="1" x14ac:dyDescent="0.3"/>
    <row r="42427" s="160" customFormat="1" x14ac:dyDescent="0.3"/>
    <row r="42428" s="160" customFormat="1" x14ac:dyDescent="0.3"/>
    <row r="42429" s="160" customFormat="1" x14ac:dyDescent="0.3"/>
    <row r="42430" s="160" customFormat="1" x14ac:dyDescent="0.3"/>
    <row r="42431" s="160" customFormat="1" x14ac:dyDescent="0.3"/>
    <row r="42432" s="160" customFormat="1" x14ac:dyDescent="0.3"/>
    <row r="42433" s="160" customFormat="1" x14ac:dyDescent="0.3"/>
    <row r="42434" s="160" customFormat="1" x14ac:dyDescent="0.3"/>
    <row r="42435" s="160" customFormat="1" x14ac:dyDescent="0.3"/>
    <row r="42436" s="160" customFormat="1" x14ac:dyDescent="0.3"/>
    <row r="42437" s="160" customFormat="1" x14ac:dyDescent="0.3"/>
    <row r="42438" s="160" customFormat="1" x14ac:dyDescent="0.3"/>
    <row r="42439" s="160" customFormat="1" x14ac:dyDescent="0.3"/>
    <row r="42440" s="160" customFormat="1" x14ac:dyDescent="0.3"/>
    <row r="42441" s="160" customFormat="1" x14ac:dyDescent="0.3"/>
    <row r="42442" s="160" customFormat="1" x14ac:dyDescent="0.3"/>
    <row r="42443" s="160" customFormat="1" x14ac:dyDescent="0.3"/>
    <row r="42444" s="160" customFormat="1" x14ac:dyDescent="0.3"/>
    <row r="42445" s="160" customFormat="1" x14ac:dyDescent="0.3"/>
    <row r="42446" s="160" customFormat="1" x14ac:dyDescent="0.3"/>
    <row r="42447" s="160" customFormat="1" x14ac:dyDescent="0.3"/>
    <row r="42448" s="160" customFormat="1" x14ac:dyDescent="0.3"/>
    <row r="42449" s="160" customFormat="1" x14ac:dyDescent="0.3"/>
    <row r="42450" s="160" customFormat="1" x14ac:dyDescent="0.3"/>
    <row r="42451" s="160" customFormat="1" x14ac:dyDescent="0.3"/>
    <row r="42452" s="160" customFormat="1" x14ac:dyDescent="0.3"/>
    <row r="42453" s="160" customFormat="1" x14ac:dyDescent="0.3"/>
    <row r="42454" s="160" customFormat="1" x14ac:dyDescent="0.3"/>
    <row r="42455" s="160" customFormat="1" x14ac:dyDescent="0.3"/>
    <row r="42456" s="160" customFormat="1" x14ac:dyDescent="0.3"/>
    <row r="42457" s="160" customFormat="1" x14ac:dyDescent="0.3"/>
    <row r="42458" s="160" customFormat="1" x14ac:dyDescent="0.3"/>
    <row r="42459" s="160" customFormat="1" x14ac:dyDescent="0.3"/>
    <row r="42460" s="160" customFormat="1" x14ac:dyDescent="0.3"/>
    <row r="42461" s="160" customFormat="1" x14ac:dyDescent="0.3"/>
    <row r="42462" s="160" customFormat="1" x14ac:dyDescent="0.3"/>
    <row r="42463" s="160" customFormat="1" x14ac:dyDescent="0.3"/>
    <row r="42464" s="160" customFormat="1" x14ac:dyDescent="0.3"/>
    <row r="42465" s="160" customFormat="1" x14ac:dyDescent="0.3"/>
    <row r="42466" s="160" customFormat="1" x14ac:dyDescent="0.3"/>
    <row r="42467" s="160" customFormat="1" x14ac:dyDescent="0.3"/>
    <row r="42468" s="160" customFormat="1" x14ac:dyDescent="0.3"/>
    <row r="42469" s="160" customFormat="1" x14ac:dyDescent="0.3"/>
    <row r="42470" s="160" customFormat="1" x14ac:dyDescent="0.3"/>
    <row r="42471" s="160" customFormat="1" x14ac:dyDescent="0.3"/>
    <row r="42472" s="160" customFormat="1" x14ac:dyDescent="0.3"/>
    <row r="42473" s="160" customFormat="1" x14ac:dyDescent="0.3"/>
    <row r="42474" s="160" customFormat="1" x14ac:dyDescent="0.3"/>
    <row r="42475" s="160" customFormat="1" x14ac:dyDescent="0.3"/>
    <row r="42476" s="160" customFormat="1" x14ac:dyDescent="0.3"/>
    <row r="42477" s="160" customFormat="1" x14ac:dyDescent="0.3"/>
    <row r="42478" s="160" customFormat="1" x14ac:dyDescent="0.3"/>
    <row r="42479" s="160" customFormat="1" x14ac:dyDescent="0.3"/>
    <row r="42480" s="160" customFormat="1" x14ac:dyDescent="0.3"/>
    <row r="42481" s="160" customFormat="1" x14ac:dyDescent="0.3"/>
    <row r="42482" s="160" customFormat="1" x14ac:dyDescent="0.3"/>
    <row r="42483" s="160" customFormat="1" x14ac:dyDescent="0.3"/>
    <row r="42484" s="160" customFormat="1" x14ac:dyDescent="0.3"/>
    <row r="42485" s="160" customFormat="1" x14ac:dyDescent="0.3"/>
    <row r="42486" s="160" customFormat="1" x14ac:dyDescent="0.3"/>
    <row r="42487" s="160" customFormat="1" x14ac:dyDescent="0.3"/>
    <row r="42488" s="160" customFormat="1" x14ac:dyDescent="0.3"/>
    <row r="42489" s="160" customFormat="1" x14ac:dyDescent="0.3"/>
    <row r="42490" s="160" customFormat="1" x14ac:dyDescent="0.3"/>
    <row r="42491" s="160" customFormat="1" x14ac:dyDescent="0.3"/>
    <row r="42492" s="160" customFormat="1" x14ac:dyDescent="0.3"/>
    <row r="42493" s="160" customFormat="1" x14ac:dyDescent="0.3"/>
    <row r="42494" s="160" customFormat="1" x14ac:dyDescent="0.3"/>
    <row r="42495" s="160" customFormat="1" x14ac:dyDescent="0.3"/>
    <row r="42496" s="160" customFormat="1" x14ac:dyDescent="0.3"/>
    <row r="42497" s="160" customFormat="1" x14ac:dyDescent="0.3"/>
    <row r="42498" s="160" customFormat="1" x14ac:dyDescent="0.3"/>
    <row r="42499" s="160" customFormat="1" x14ac:dyDescent="0.3"/>
    <row r="42500" s="160" customFormat="1" x14ac:dyDescent="0.3"/>
    <row r="42501" s="160" customFormat="1" x14ac:dyDescent="0.3"/>
    <row r="42502" s="160" customFormat="1" x14ac:dyDescent="0.3"/>
    <row r="42503" s="160" customFormat="1" x14ac:dyDescent="0.3"/>
    <row r="42504" s="160" customFormat="1" x14ac:dyDescent="0.3"/>
    <row r="42505" s="160" customFormat="1" x14ac:dyDescent="0.3"/>
    <row r="42506" s="160" customFormat="1" x14ac:dyDescent="0.3"/>
    <row r="42507" s="160" customFormat="1" x14ac:dyDescent="0.3"/>
    <row r="42508" s="160" customFormat="1" x14ac:dyDescent="0.3"/>
    <row r="42509" s="160" customFormat="1" x14ac:dyDescent="0.3"/>
    <row r="42510" s="160" customFormat="1" x14ac:dyDescent="0.3"/>
    <row r="42511" s="160" customFormat="1" x14ac:dyDescent="0.3"/>
    <row r="42512" s="160" customFormat="1" x14ac:dyDescent="0.3"/>
    <row r="42513" s="160" customFormat="1" x14ac:dyDescent="0.3"/>
    <row r="42514" s="160" customFormat="1" x14ac:dyDescent="0.3"/>
    <row r="42515" s="160" customFormat="1" x14ac:dyDescent="0.3"/>
    <row r="42516" s="160" customFormat="1" x14ac:dyDescent="0.3"/>
    <row r="42517" s="160" customFormat="1" x14ac:dyDescent="0.3"/>
    <row r="42518" s="160" customFormat="1" x14ac:dyDescent="0.3"/>
    <row r="42519" s="160" customFormat="1" x14ac:dyDescent="0.3"/>
    <row r="42520" s="160" customFormat="1" x14ac:dyDescent="0.3"/>
    <row r="42521" s="160" customFormat="1" x14ac:dyDescent="0.3"/>
    <row r="42522" s="160" customFormat="1" x14ac:dyDescent="0.3"/>
    <row r="42523" s="160" customFormat="1" x14ac:dyDescent="0.3"/>
    <row r="42524" s="160" customFormat="1" x14ac:dyDescent="0.3"/>
    <row r="42525" s="160" customFormat="1" x14ac:dyDescent="0.3"/>
    <row r="42526" s="160" customFormat="1" x14ac:dyDescent="0.3"/>
    <row r="42527" s="160" customFormat="1" x14ac:dyDescent="0.3"/>
    <row r="42528" s="160" customFormat="1" x14ac:dyDescent="0.3"/>
    <row r="42529" s="160" customFormat="1" x14ac:dyDescent="0.3"/>
    <row r="42530" s="160" customFormat="1" x14ac:dyDescent="0.3"/>
    <row r="42531" s="160" customFormat="1" x14ac:dyDescent="0.3"/>
    <row r="42532" s="160" customFormat="1" x14ac:dyDescent="0.3"/>
    <row r="42533" s="160" customFormat="1" x14ac:dyDescent="0.3"/>
    <row r="42534" s="160" customFormat="1" x14ac:dyDescent="0.3"/>
    <row r="42535" s="160" customFormat="1" x14ac:dyDescent="0.3"/>
    <row r="42536" s="160" customFormat="1" x14ac:dyDescent="0.3"/>
    <row r="42537" s="160" customFormat="1" x14ac:dyDescent="0.3"/>
    <row r="42538" s="160" customFormat="1" x14ac:dyDescent="0.3"/>
    <row r="42539" s="160" customFormat="1" x14ac:dyDescent="0.3"/>
    <row r="42540" s="160" customFormat="1" x14ac:dyDescent="0.3"/>
    <row r="42541" s="160" customFormat="1" x14ac:dyDescent="0.3"/>
    <row r="42542" s="160" customFormat="1" x14ac:dyDescent="0.3"/>
    <row r="42543" s="160" customFormat="1" x14ac:dyDescent="0.3"/>
    <row r="42544" s="160" customFormat="1" x14ac:dyDescent="0.3"/>
    <row r="42545" s="160" customFormat="1" x14ac:dyDescent="0.3"/>
    <row r="42546" s="160" customFormat="1" x14ac:dyDescent="0.3"/>
    <row r="42547" s="160" customFormat="1" x14ac:dyDescent="0.3"/>
    <row r="42548" s="160" customFormat="1" x14ac:dyDescent="0.3"/>
    <row r="42549" s="160" customFormat="1" x14ac:dyDescent="0.3"/>
    <row r="42550" s="160" customFormat="1" x14ac:dyDescent="0.3"/>
    <row r="42551" s="160" customFormat="1" x14ac:dyDescent="0.3"/>
    <row r="42552" s="160" customFormat="1" x14ac:dyDescent="0.3"/>
    <row r="42553" s="160" customFormat="1" x14ac:dyDescent="0.3"/>
    <row r="42554" s="160" customFormat="1" x14ac:dyDescent="0.3"/>
    <row r="42555" s="160" customFormat="1" x14ac:dyDescent="0.3"/>
    <row r="42556" s="160" customFormat="1" x14ac:dyDescent="0.3"/>
    <row r="42557" s="160" customFormat="1" x14ac:dyDescent="0.3"/>
    <row r="42558" s="160" customFormat="1" x14ac:dyDescent="0.3"/>
    <row r="42559" s="160" customFormat="1" x14ac:dyDescent="0.3"/>
    <row r="42560" s="160" customFormat="1" x14ac:dyDescent="0.3"/>
    <row r="42561" s="160" customFormat="1" x14ac:dyDescent="0.3"/>
    <row r="42562" s="160" customFormat="1" x14ac:dyDescent="0.3"/>
    <row r="42563" s="160" customFormat="1" x14ac:dyDescent="0.3"/>
    <row r="42564" s="160" customFormat="1" x14ac:dyDescent="0.3"/>
    <row r="42565" s="160" customFormat="1" x14ac:dyDescent="0.3"/>
    <row r="42566" s="160" customFormat="1" x14ac:dyDescent="0.3"/>
    <row r="42567" s="160" customFormat="1" x14ac:dyDescent="0.3"/>
    <row r="42568" s="160" customFormat="1" x14ac:dyDescent="0.3"/>
    <row r="42569" s="160" customFormat="1" x14ac:dyDescent="0.3"/>
    <row r="42570" s="160" customFormat="1" x14ac:dyDescent="0.3"/>
    <row r="42571" s="160" customFormat="1" x14ac:dyDescent="0.3"/>
    <row r="42572" s="160" customFormat="1" x14ac:dyDescent="0.3"/>
    <row r="42573" s="160" customFormat="1" x14ac:dyDescent="0.3"/>
    <row r="42574" s="160" customFormat="1" x14ac:dyDescent="0.3"/>
    <row r="42575" s="160" customFormat="1" x14ac:dyDescent="0.3"/>
    <row r="42576" s="160" customFormat="1" x14ac:dyDescent="0.3"/>
    <row r="42577" s="160" customFormat="1" x14ac:dyDescent="0.3"/>
    <row r="42578" s="160" customFormat="1" x14ac:dyDescent="0.3"/>
    <row r="42579" s="160" customFormat="1" x14ac:dyDescent="0.3"/>
    <row r="42580" s="160" customFormat="1" x14ac:dyDescent="0.3"/>
    <row r="42581" s="160" customFormat="1" x14ac:dyDescent="0.3"/>
    <row r="42582" s="160" customFormat="1" x14ac:dyDescent="0.3"/>
    <row r="42583" s="160" customFormat="1" x14ac:dyDescent="0.3"/>
    <row r="42584" s="160" customFormat="1" x14ac:dyDescent="0.3"/>
    <row r="42585" s="160" customFormat="1" x14ac:dyDescent="0.3"/>
    <row r="42586" s="160" customFormat="1" x14ac:dyDescent="0.3"/>
    <row r="42587" s="160" customFormat="1" x14ac:dyDescent="0.3"/>
    <row r="42588" s="160" customFormat="1" x14ac:dyDescent="0.3"/>
    <row r="42589" s="160" customFormat="1" x14ac:dyDescent="0.3"/>
    <row r="42590" s="160" customFormat="1" x14ac:dyDescent="0.3"/>
    <row r="42591" s="160" customFormat="1" x14ac:dyDescent="0.3"/>
    <row r="42592" s="160" customFormat="1" x14ac:dyDescent="0.3"/>
    <row r="42593" s="160" customFormat="1" x14ac:dyDescent="0.3"/>
    <row r="42594" s="160" customFormat="1" x14ac:dyDescent="0.3"/>
    <row r="42595" s="160" customFormat="1" x14ac:dyDescent="0.3"/>
    <row r="42596" s="160" customFormat="1" x14ac:dyDescent="0.3"/>
    <row r="42597" s="160" customFormat="1" x14ac:dyDescent="0.3"/>
    <row r="42598" s="160" customFormat="1" x14ac:dyDescent="0.3"/>
    <row r="42599" s="160" customFormat="1" x14ac:dyDescent="0.3"/>
    <row r="42600" s="160" customFormat="1" x14ac:dyDescent="0.3"/>
    <row r="42601" s="160" customFormat="1" x14ac:dyDescent="0.3"/>
    <row r="42602" s="160" customFormat="1" x14ac:dyDescent="0.3"/>
    <row r="42603" s="160" customFormat="1" x14ac:dyDescent="0.3"/>
    <row r="42604" s="160" customFormat="1" x14ac:dyDescent="0.3"/>
    <row r="42605" s="160" customFormat="1" x14ac:dyDescent="0.3"/>
    <row r="42606" s="160" customFormat="1" x14ac:dyDescent="0.3"/>
    <row r="42607" s="160" customFormat="1" x14ac:dyDescent="0.3"/>
    <row r="42608" s="160" customFormat="1" x14ac:dyDescent="0.3"/>
    <row r="42609" s="160" customFormat="1" x14ac:dyDescent="0.3"/>
    <row r="42610" s="160" customFormat="1" x14ac:dyDescent="0.3"/>
    <row r="42611" s="160" customFormat="1" x14ac:dyDescent="0.3"/>
    <row r="42612" s="160" customFormat="1" x14ac:dyDescent="0.3"/>
    <row r="42613" s="160" customFormat="1" x14ac:dyDescent="0.3"/>
    <row r="42614" s="160" customFormat="1" x14ac:dyDescent="0.3"/>
    <row r="42615" s="160" customFormat="1" x14ac:dyDescent="0.3"/>
    <row r="42616" s="160" customFormat="1" x14ac:dyDescent="0.3"/>
    <row r="42617" s="160" customFormat="1" x14ac:dyDescent="0.3"/>
    <row r="42618" s="160" customFormat="1" x14ac:dyDescent="0.3"/>
    <row r="42619" s="160" customFormat="1" x14ac:dyDescent="0.3"/>
    <row r="42620" s="160" customFormat="1" x14ac:dyDescent="0.3"/>
    <row r="42621" s="160" customFormat="1" x14ac:dyDescent="0.3"/>
    <row r="42622" s="160" customFormat="1" x14ac:dyDescent="0.3"/>
    <row r="42623" s="160" customFormat="1" x14ac:dyDescent="0.3"/>
    <row r="42624" s="160" customFormat="1" x14ac:dyDescent="0.3"/>
    <row r="42625" s="160" customFormat="1" x14ac:dyDescent="0.3"/>
    <row r="42626" s="160" customFormat="1" x14ac:dyDescent="0.3"/>
    <row r="42627" s="160" customFormat="1" x14ac:dyDescent="0.3"/>
    <row r="42628" s="160" customFormat="1" x14ac:dyDescent="0.3"/>
    <row r="42629" s="160" customFormat="1" x14ac:dyDescent="0.3"/>
    <row r="42630" s="160" customFormat="1" x14ac:dyDescent="0.3"/>
    <row r="42631" s="160" customFormat="1" x14ac:dyDescent="0.3"/>
    <row r="42632" s="160" customFormat="1" x14ac:dyDescent="0.3"/>
    <row r="42633" s="160" customFormat="1" x14ac:dyDescent="0.3"/>
    <row r="42634" s="160" customFormat="1" x14ac:dyDescent="0.3"/>
    <row r="42635" s="160" customFormat="1" x14ac:dyDescent="0.3"/>
    <row r="42636" s="160" customFormat="1" x14ac:dyDescent="0.3"/>
    <row r="42637" s="160" customFormat="1" x14ac:dyDescent="0.3"/>
    <row r="42638" s="160" customFormat="1" x14ac:dyDescent="0.3"/>
    <row r="42639" s="160" customFormat="1" x14ac:dyDescent="0.3"/>
    <row r="42640" s="160" customFormat="1" x14ac:dyDescent="0.3"/>
    <row r="42641" s="160" customFormat="1" x14ac:dyDescent="0.3"/>
    <row r="42642" s="160" customFormat="1" x14ac:dyDescent="0.3"/>
    <row r="42643" s="160" customFormat="1" x14ac:dyDescent="0.3"/>
    <row r="42644" s="160" customFormat="1" x14ac:dyDescent="0.3"/>
    <row r="42645" s="160" customFormat="1" x14ac:dyDescent="0.3"/>
    <row r="42646" s="160" customFormat="1" x14ac:dyDescent="0.3"/>
    <row r="42647" s="160" customFormat="1" x14ac:dyDescent="0.3"/>
    <row r="42648" s="160" customFormat="1" x14ac:dyDescent="0.3"/>
    <row r="42649" s="160" customFormat="1" x14ac:dyDescent="0.3"/>
    <row r="42650" s="160" customFormat="1" x14ac:dyDescent="0.3"/>
    <row r="42651" s="160" customFormat="1" x14ac:dyDescent="0.3"/>
    <row r="42652" s="160" customFormat="1" x14ac:dyDescent="0.3"/>
    <row r="42653" s="160" customFormat="1" x14ac:dyDescent="0.3"/>
    <row r="42654" s="160" customFormat="1" x14ac:dyDescent="0.3"/>
    <row r="42655" s="160" customFormat="1" x14ac:dyDescent="0.3"/>
    <row r="42656" s="160" customFormat="1" x14ac:dyDescent="0.3"/>
    <row r="42657" s="160" customFormat="1" x14ac:dyDescent="0.3"/>
    <row r="42658" s="160" customFormat="1" x14ac:dyDescent="0.3"/>
    <row r="42659" s="160" customFormat="1" x14ac:dyDescent="0.3"/>
    <row r="42660" s="160" customFormat="1" x14ac:dyDescent="0.3"/>
    <row r="42661" s="160" customFormat="1" x14ac:dyDescent="0.3"/>
    <row r="42662" s="160" customFormat="1" x14ac:dyDescent="0.3"/>
    <row r="42663" s="160" customFormat="1" x14ac:dyDescent="0.3"/>
    <row r="42664" s="160" customFormat="1" x14ac:dyDescent="0.3"/>
    <row r="42665" s="160" customFormat="1" x14ac:dyDescent="0.3"/>
    <row r="42666" s="160" customFormat="1" x14ac:dyDescent="0.3"/>
    <row r="42667" s="160" customFormat="1" x14ac:dyDescent="0.3"/>
    <row r="42668" s="160" customFormat="1" x14ac:dyDescent="0.3"/>
    <row r="42669" s="160" customFormat="1" x14ac:dyDescent="0.3"/>
    <row r="42670" s="160" customFormat="1" x14ac:dyDescent="0.3"/>
    <row r="42671" s="160" customFormat="1" x14ac:dyDescent="0.3"/>
    <row r="42672" s="160" customFormat="1" x14ac:dyDescent="0.3"/>
    <row r="42673" s="160" customFormat="1" x14ac:dyDescent="0.3"/>
    <row r="42674" s="160" customFormat="1" x14ac:dyDescent="0.3"/>
    <row r="42675" s="160" customFormat="1" x14ac:dyDescent="0.3"/>
    <row r="42676" s="160" customFormat="1" x14ac:dyDescent="0.3"/>
    <row r="42677" s="160" customFormat="1" x14ac:dyDescent="0.3"/>
    <row r="42678" s="160" customFormat="1" x14ac:dyDescent="0.3"/>
    <row r="42679" s="160" customFormat="1" x14ac:dyDescent="0.3"/>
    <row r="42680" s="160" customFormat="1" x14ac:dyDescent="0.3"/>
    <row r="42681" s="160" customFormat="1" x14ac:dyDescent="0.3"/>
    <row r="42682" s="160" customFormat="1" x14ac:dyDescent="0.3"/>
    <row r="42683" s="160" customFormat="1" x14ac:dyDescent="0.3"/>
    <row r="42684" s="160" customFormat="1" x14ac:dyDescent="0.3"/>
    <row r="42685" s="160" customFormat="1" x14ac:dyDescent="0.3"/>
    <row r="42686" s="160" customFormat="1" x14ac:dyDescent="0.3"/>
    <row r="42687" s="160" customFormat="1" x14ac:dyDescent="0.3"/>
    <row r="42688" s="160" customFormat="1" x14ac:dyDescent="0.3"/>
    <row r="42689" s="160" customFormat="1" x14ac:dyDescent="0.3"/>
    <row r="42690" s="160" customFormat="1" x14ac:dyDescent="0.3"/>
    <row r="42691" s="160" customFormat="1" x14ac:dyDescent="0.3"/>
    <row r="42692" s="160" customFormat="1" x14ac:dyDescent="0.3"/>
    <row r="42693" s="160" customFormat="1" x14ac:dyDescent="0.3"/>
    <row r="42694" s="160" customFormat="1" x14ac:dyDescent="0.3"/>
    <row r="42695" s="160" customFormat="1" x14ac:dyDescent="0.3"/>
    <row r="42696" s="160" customFormat="1" x14ac:dyDescent="0.3"/>
    <row r="42697" s="160" customFormat="1" x14ac:dyDescent="0.3"/>
    <row r="42698" s="160" customFormat="1" x14ac:dyDescent="0.3"/>
    <row r="42699" s="160" customFormat="1" x14ac:dyDescent="0.3"/>
    <row r="42700" s="160" customFormat="1" x14ac:dyDescent="0.3"/>
    <row r="42701" s="160" customFormat="1" x14ac:dyDescent="0.3"/>
    <row r="42702" s="160" customFormat="1" x14ac:dyDescent="0.3"/>
    <row r="42703" s="160" customFormat="1" x14ac:dyDescent="0.3"/>
    <row r="42704" s="160" customFormat="1" x14ac:dyDescent="0.3"/>
    <row r="42705" s="160" customFormat="1" x14ac:dyDescent="0.3"/>
    <row r="42706" s="160" customFormat="1" x14ac:dyDescent="0.3"/>
    <row r="42707" s="160" customFormat="1" x14ac:dyDescent="0.3"/>
    <row r="42708" s="160" customFormat="1" x14ac:dyDescent="0.3"/>
    <row r="42709" s="160" customFormat="1" x14ac:dyDescent="0.3"/>
    <row r="42710" s="160" customFormat="1" x14ac:dyDescent="0.3"/>
    <row r="42711" s="160" customFormat="1" x14ac:dyDescent="0.3"/>
    <row r="42712" s="160" customFormat="1" x14ac:dyDescent="0.3"/>
    <row r="42713" s="160" customFormat="1" x14ac:dyDescent="0.3"/>
    <row r="42714" s="160" customFormat="1" x14ac:dyDescent="0.3"/>
    <row r="42715" s="160" customFormat="1" x14ac:dyDescent="0.3"/>
    <row r="42716" s="160" customFormat="1" x14ac:dyDescent="0.3"/>
    <row r="42717" s="160" customFormat="1" x14ac:dyDescent="0.3"/>
    <row r="42718" s="160" customFormat="1" x14ac:dyDescent="0.3"/>
    <row r="42719" s="160" customFormat="1" x14ac:dyDescent="0.3"/>
    <row r="42720" s="160" customFormat="1" x14ac:dyDescent="0.3"/>
    <row r="42721" s="160" customFormat="1" x14ac:dyDescent="0.3"/>
    <row r="42722" s="160" customFormat="1" x14ac:dyDescent="0.3"/>
    <row r="42723" s="160" customFormat="1" x14ac:dyDescent="0.3"/>
    <row r="42724" s="160" customFormat="1" x14ac:dyDescent="0.3"/>
    <row r="42725" s="160" customFormat="1" x14ac:dyDescent="0.3"/>
    <row r="42726" s="160" customFormat="1" x14ac:dyDescent="0.3"/>
    <row r="42727" s="160" customFormat="1" x14ac:dyDescent="0.3"/>
    <row r="42728" s="160" customFormat="1" x14ac:dyDescent="0.3"/>
    <row r="42729" s="160" customFormat="1" x14ac:dyDescent="0.3"/>
    <row r="42730" s="160" customFormat="1" x14ac:dyDescent="0.3"/>
    <row r="42731" s="160" customFormat="1" x14ac:dyDescent="0.3"/>
    <row r="42732" s="160" customFormat="1" x14ac:dyDescent="0.3"/>
    <row r="42733" s="160" customFormat="1" x14ac:dyDescent="0.3"/>
    <row r="42734" s="160" customFormat="1" x14ac:dyDescent="0.3"/>
    <row r="42735" s="160" customFormat="1" x14ac:dyDescent="0.3"/>
    <row r="42736" s="160" customFormat="1" x14ac:dyDescent="0.3"/>
    <row r="42737" s="160" customFormat="1" x14ac:dyDescent="0.3"/>
    <row r="42738" s="160" customFormat="1" x14ac:dyDescent="0.3"/>
    <row r="42739" s="160" customFormat="1" x14ac:dyDescent="0.3"/>
    <row r="42740" s="160" customFormat="1" x14ac:dyDescent="0.3"/>
    <row r="42741" s="160" customFormat="1" x14ac:dyDescent="0.3"/>
    <row r="42742" s="160" customFormat="1" x14ac:dyDescent="0.3"/>
    <row r="42743" s="160" customFormat="1" x14ac:dyDescent="0.3"/>
    <row r="42744" s="160" customFormat="1" x14ac:dyDescent="0.3"/>
    <row r="42745" s="160" customFormat="1" x14ac:dyDescent="0.3"/>
    <row r="42746" s="160" customFormat="1" x14ac:dyDescent="0.3"/>
    <row r="42747" s="160" customFormat="1" x14ac:dyDescent="0.3"/>
    <row r="42748" s="160" customFormat="1" x14ac:dyDescent="0.3"/>
    <row r="42749" s="160" customFormat="1" x14ac:dyDescent="0.3"/>
    <row r="42750" s="160" customFormat="1" x14ac:dyDescent="0.3"/>
    <row r="42751" s="160" customFormat="1" x14ac:dyDescent="0.3"/>
    <row r="42752" s="160" customFormat="1" x14ac:dyDescent="0.3"/>
    <row r="42753" s="160" customFormat="1" x14ac:dyDescent="0.3"/>
    <row r="42754" s="160" customFormat="1" x14ac:dyDescent="0.3"/>
    <row r="42755" s="160" customFormat="1" x14ac:dyDescent="0.3"/>
    <row r="42756" s="160" customFormat="1" x14ac:dyDescent="0.3"/>
    <row r="42757" s="160" customFormat="1" x14ac:dyDescent="0.3"/>
    <row r="42758" s="160" customFormat="1" x14ac:dyDescent="0.3"/>
    <row r="42759" s="160" customFormat="1" x14ac:dyDescent="0.3"/>
    <row r="42760" s="160" customFormat="1" x14ac:dyDescent="0.3"/>
    <row r="42761" s="160" customFormat="1" x14ac:dyDescent="0.3"/>
    <row r="42762" s="160" customFormat="1" x14ac:dyDescent="0.3"/>
    <row r="42763" s="160" customFormat="1" x14ac:dyDescent="0.3"/>
    <row r="42764" s="160" customFormat="1" x14ac:dyDescent="0.3"/>
    <row r="42765" s="160" customFormat="1" x14ac:dyDescent="0.3"/>
    <row r="42766" s="160" customFormat="1" x14ac:dyDescent="0.3"/>
    <row r="42767" s="160" customFormat="1" x14ac:dyDescent="0.3"/>
    <row r="42768" s="160" customFormat="1" x14ac:dyDescent="0.3"/>
    <row r="42769" s="160" customFormat="1" x14ac:dyDescent="0.3"/>
    <row r="42770" s="160" customFormat="1" x14ac:dyDescent="0.3"/>
    <row r="42771" s="160" customFormat="1" x14ac:dyDescent="0.3"/>
    <row r="42772" s="160" customFormat="1" x14ac:dyDescent="0.3"/>
    <row r="42773" s="160" customFormat="1" x14ac:dyDescent="0.3"/>
    <row r="42774" s="160" customFormat="1" x14ac:dyDescent="0.3"/>
    <row r="42775" s="160" customFormat="1" x14ac:dyDescent="0.3"/>
    <row r="42776" s="160" customFormat="1" x14ac:dyDescent="0.3"/>
    <row r="42777" s="160" customFormat="1" x14ac:dyDescent="0.3"/>
    <row r="42778" s="160" customFormat="1" x14ac:dyDescent="0.3"/>
    <row r="42779" s="160" customFormat="1" x14ac:dyDescent="0.3"/>
    <row r="42780" s="160" customFormat="1" x14ac:dyDescent="0.3"/>
    <row r="42781" s="160" customFormat="1" x14ac:dyDescent="0.3"/>
    <row r="42782" s="160" customFormat="1" x14ac:dyDescent="0.3"/>
    <row r="42783" s="160" customFormat="1" x14ac:dyDescent="0.3"/>
    <row r="42784" s="160" customFormat="1" x14ac:dyDescent="0.3"/>
    <row r="42785" s="160" customFormat="1" x14ac:dyDescent="0.3"/>
    <row r="42786" s="160" customFormat="1" x14ac:dyDescent="0.3"/>
    <row r="42787" s="160" customFormat="1" x14ac:dyDescent="0.3"/>
    <row r="42788" s="160" customFormat="1" x14ac:dyDescent="0.3"/>
    <row r="42789" s="160" customFormat="1" x14ac:dyDescent="0.3"/>
    <row r="42790" s="160" customFormat="1" x14ac:dyDescent="0.3"/>
    <row r="42791" s="160" customFormat="1" x14ac:dyDescent="0.3"/>
    <row r="42792" s="160" customFormat="1" x14ac:dyDescent="0.3"/>
    <row r="42793" s="160" customFormat="1" x14ac:dyDescent="0.3"/>
    <row r="42794" s="160" customFormat="1" x14ac:dyDescent="0.3"/>
    <row r="42795" s="160" customFormat="1" x14ac:dyDescent="0.3"/>
    <row r="42796" s="160" customFormat="1" x14ac:dyDescent="0.3"/>
    <row r="42797" s="160" customFormat="1" x14ac:dyDescent="0.3"/>
    <row r="42798" s="160" customFormat="1" x14ac:dyDescent="0.3"/>
    <row r="42799" s="160" customFormat="1" x14ac:dyDescent="0.3"/>
    <row r="42800" s="160" customFormat="1" x14ac:dyDescent="0.3"/>
    <row r="42801" s="160" customFormat="1" x14ac:dyDescent="0.3"/>
    <row r="42802" s="160" customFormat="1" x14ac:dyDescent="0.3"/>
    <row r="42803" s="160" customFormat="1" x14ac:dyDescent="0.3"/>
    <row r="42804" s="160" customFormat="1" x14ac:dyDescent="0.3"/>
    <row r="42805" s="160" customFormat="1" x14ac:dyDescent="0.3"/>
    <row r="42806" s="160" customFormat="1" x14ac:dyDescent="0.3"/>
    <row r="42807" s="160" customFormat="1" x14ac:dyDescent="0.3"/>
    <row r="42808" s="160" customFormat="1" x14ac:dyDescent="0.3"/>
    <row r="42809" s="160" customFormat="1" x14ac:dyDescent="0.3"/>
    <row r="42810" s="160" customFormat="1" x14ac:dyDescent="0.3"/>
    <row r="42811" s="160" customFormat="1" x14ac:dyDescent="0.3"/>
    <row r="42812" s="160" customFormat="1" x14ac:dyDescent="0.3"/>
    <row r="42813" s="160" customFormat="1" x14ac:dyDescent="0.3"/>
    <row r="42814" s="160" customFormat="1" x14ac:dyDescent="0.3"/>
    <row r="42815" s="160" customFormat="1" x14ac:dyDescent="0.3"/>
    <row r="42816" s="160" customFormat="1" x14ac:dyDescent="0.3"/>
    <row r="42817" s="160" customFormat="1" x14ac:dyDescent="0.3"/>
    <row r="42818" s="160" customFormat="1" x14ac:dyDescent="0.3"/>
    <row r="42819" s="160" customFormat="1" x14ac:dyDescent="0.3"/>
    <row r="42820" s="160" customFormat="1" x14ac:dyDescent="0.3"/>
    <row r="42821" s="160" customFormat="1" x14ac:dyDescent="0.3"/>
    <row r="42822" s="160" customFormat="1" x14ac:dyDescent="0.3"/>
    <row r="42823" s="160" customFormat="1" x14ac:dyDescent="0.3"/>
    <row r="42824" s="160" customFormat="1" x14ac:dyDescent="0.3"/>
    <row r="42825" s="160" customFormat="1" x14ac:dyDescent="0.3"/>
    <row r="42826" s="160" customFormat="1" x14ac:dyDescent="0.3"/>
    <row r="42827" s="160" customFormat="1" x14ac:dyDescent="0.3"/>
    <row r="42828" s="160" customFormat="1" x14ac:dyDescent="0.3"/>
    <row r="42829" s="160" customFormat="1" x14ac:dyDescent="0.3"/>
    <row r="42830" s="160" customFormat="1" x14ac:dyDescent="0.3"/>
    <row r="42831" s="160" customFormat="1" x14ac:dyDescent="0.3"/>
    <row r="42832" s="160" customFormat="1" x14ac:dyDescent="0.3"/>
    <row r="42833" s="160" customFormat="1" x14ac:dyDescent="0.3"/>
    <row r="42834" s="160" customFormat="1" x14ac:dyDescent="0.3"/>
    <row r="42835" s="160" customFormat="1" x14ac:dyDescent="0.3"/>
    <row r="42836" s="160" customFormat="1" x14ac:dyDescent="0.3"/>
    <row r="42837" s="160" customFormat="1" x14ac:dyDescent="0.3"/>
    <row r="42838" s="160" customFormat="1" x14ac:dyDescent="0.3"/>
    <row r="42839" s="160" customFormat="1" x14ac:dyDescent="0.3"/>
    <row r="42840" s="160" customFormat="1" x14ac:dyDescent="0.3"/>
    <row r="42841" s="160" customFormat="1" x14ac:dyDescent="0.3"/>
    <row r="42842" s="160" customFormat="1" x14ac:dyDescent="0.3"/>
    <row r="42843" s="160" customFormat="1" x14ac:dyDescent="0.3"/>
    <row r="42844" s="160" customFormat="1" x14ac:dyDescent="0.3"/>
    <row r="42845" s="160" customFormat="1" x14ac:dyDescent="0.3"/>
    <row r="42846" s="160" customFormat="1" x14ac:dyDescent="0.3"/>
    <row r="42847" s="160" customFormat="1" x14ac:dyDescent="0.3"/>
    <row r="42848" s="160" customFormat="1" x14ac:dyDescent="0.3"/>
    <row r="42849" s="160" customFormat="1" x14ac:dyDescent="0.3"/>
    <row r="42850" s="160" customFormat="1" x14ac:dyDescent="0.3"/>
    <row r="42851" s="160" customFormat="1" x14ac:dyDescent="0.3"/>
    <row r="42852" s="160" customFormat="1" x14ac:dyDescent="0.3"/>
    <row r="42853" s="160" customFormat="1" x14ac:dyDescent="0.3"/>
    <row r="42854" s="160" customFormat="1" x14ac:dyDescent="0.3"/>
    <row r="42855" s="160" customFormat="1" x14ac:dyDescent="0.3"/>
    <row r="42856" s="160" customFormat="1" x14ac:dyDescent="0.3"/>
    <row r="42857" s="160" customFormat="1" x14ac:dyDescent="0.3"/>
    <row r="42858" s="160" customFormat="1" x14ac:dyDescent="0.3"/>
    <row r="42859" s="160" customFormat="1" x14ac:dyDescent="0.3"/>
    <row r="42860" s="160" customFormat="1" x14ac:dyDescent="0.3"/>
    <row r="42861" s="160" customFormat="1" x14ac:dyDescent="0.3"/>
    <row r="42862" s="160" customFormat="1" x14ac:dyDescent="0.3"/>
    <row r="42863" s="160" customFormat="1" x14ac:dyDescent="0.3"/>
    <row r="42864" s="160" customFormat="1" x14ac:dyDescent="0.3"/>
    <row r="42865" s="160" customFormat="1" x14ac:dyDescent="0.3"/>
    <row r="42866" s="160" customFormat="1" x14ac:dyDescent="0.3"/>
    <row r="42867" s="160" customFormat="1" x14ac:dyDescent="0.3"/>
    <row r="42868" s="160" customFormat="1" x14ac:dyDescent="0.3"/>
    <row r="42869" s="160" customFormat="1" x14ac:dyDescent="0.3"/>
    <row r="42870" s="160" customFormat="1" x14ac:dyDescent="0.3"/>
    <row r="42871" s="160" customFormat="1" x14ac:dyDescent="0.3"/>
    <row r="42872" s="160" customFormat="1" x14ac:dyDescent="0.3"/>
    <row r="42873" s="160" customFormat="1" x14ac:dyDescent="0.3"/>
    <row r="42874" s="160" customFormat="1" x14ac:dyDescent="0.3"/>
    <row r="42875" s="160" customFormat="1" x14ac:dyDescent="0.3"/>
    <row r="42876" s="160" customFormat="1" x14ac:dyDescent="0.3"/>
    <row r="42877" s="160" customFormat="1" x14ac:dyDescent="0.3"/>
    <row r="42878" s="160" customFormat="1" x14ac:dyDescent="0.3"/>
    <row r="42879" s="160" customFormat="1" x14ac:dyDescent="0.3"/>
    <row r="42880" s="160" customFormat="1" x14ac:dyDescent="0.3"/>
    <row r="42881" s="160" customFormat="1" x14ac:dyDescent="0.3"/>
    <row r="42882" s="160" customFormat="1" x14ac:dyDescent="0.3"/>
    <row r="42883" s="160" customFormat="1" x14ac:dyDescent="0.3"/>
    <row r="42884" s="160" customFormat="1" x14ac:dyDescent="0.3"/>
    <row r="42885" s="160" customFormat="1" x14ac:dyDescent="0.3"/>
    <row r="42886" s="160" customFormat="1" x14ac:dyDescent="0.3"/>
    <row r="42887" s="160" customFormat="1" x14ac:dyDescent="0.3"/>
    <row r="42888" s="160" customFormat="1" x14ac:dyDescent="0.3"/>
    <row r="42889" s="160" customFormat="1" x14ac:dyDescent="0.3"/>
    <row r="42890" s="160" customFormat="1" x14ac:dyDescent="0.3"/>
    <row r="42891" s="160" customFormat="1" x14ac:dyDescent="0.3"/>
    <row r="42892" s="160" customFormat="1" x14ac:dyDescent="0.3"/>
    <row r="42893" s="160" customFormat="1" x14ac:dyDescent="0.3"/>
    <row r="42894" s="160" customFormat="1" x14ac:dyDescent="0.3"/>
    <row r="42895" s="160" customFormat="1" x14ac:dyDescent="0.3"/>
    <row r="42896" s="160" customFormat="1" x14ac:dyDescent="0.3"/>
    <row r="42897" s="160" customFormat="1" x14ac:dyDescent="0.3"/>
    <row r="42898" s="160" customFormat="1" x14ac:dyDescent="0.3"/>
    <row r="42899" s="160" customFormat="1" x14ac:dyDescent="0.3"/>
    <row r="42900" s="160" customFormat="1" x14ac:dyDescent="0.3"/>
    <row r="42901" s="160" customFormat="1" x14ac:dyDescent="0.3"/>
    <row r="42902" s="160" customFormat="1" x14ac:dyDescent="0.3"/>
    <row r="42903" s="160" customFormat="1" x14ac:dyDescent="0.3"/>
    <row r="42904" s="160" customFormat="1" x14ac:dyDescent="0.3"/>
    <row r="42905" s="160" customFormat="1" x14ac:dyDescent="0.3"/>
    <row r="42906" s="160" customFormat="1" x14ac:dyDescent="0.3"/>
    <row r="42907" s="160" customFormat="1" x14ac:dyDescent="0.3"/>
    <row r="42908" s="160" customFormat="1" x14ac:dyDescent="0.3"/>
    <row r="42909" s="160" customFormat="1" x14ac:dyDescent="0.3"/>
    <row r="42910" s="160" customFormat="1" x14ac:dyDescent="0.3"/>
    <row r="42911" s="160" customFormat="1" x14ac:dyDescent="0.3"/>
    <row r="42912" s="160" customFormat="1" x14ac:dyDescent="0.3"/>
    <row r="42913" s="160" customFormat="1" x14ac:dyDescent="0.3"/>
    <row r="42914" s="160" customFormat="1" x14ac:dyDescent="0.3"/>
    <row r="42915" s="160" customFormat="1" x14ac:dyDescent="0.3"/>
    <row r="42916" s="160" customFormat="1" x14ac:dyDescent="0.3"/>
    <row r="42917" s="160" customFormat="1" x14ac:dyDescent="0.3"/>
    <row r="42918" s="160" customFormat="1" x14ac:dyDescent="0.3"/>
    <row r="42919" s="160" customFormat="1" x14ac:dyDescent="0.3"/>
    <row r="42920" s="160" customFormat="1" x14ac:dyDescent="0.3"/>
    <row r="42921" s="160" customFormat="1" x14ac:dyDescent="0.3"/>
    <row r="42922" s="160" customFormat="1" x14ac:dyDescent="0.3"/>
    <row r="42923" s="160" customFormat="1" x14ac:dyDescent="0.3"/>
    <row r="42924" s="160" customFormat="1" x14ac:dyDescent="0.3"/>
    <row r="42925" s="160" customFormat="1" x14ac:dyDescent="0.3"/>
    <row r="42926" s="160" customFormat="1" x14ac:dyDescent="0.3"/>
    <row r="42927" s="160" customFormat="1" x14ac:dyDescent="0.3"/>
    <row r="42928" s="160" customFormat="1" x14ac:dyDescent="0.3"/>
    <row r="42929" s="160" customFormat="1" x14ac:dyDescent="0.3"/>
    <row r="42930" s="160" customFormat="1" x14ac:dyDescent="0.3"/>
    <row r="42931" s="160" customFormat="1" x14ac:dyDescent="0.3"/>
    <row r="42932" s="160" customFormat="1" x14ac:dyDescent="0.3"/>
    <row r="42933" s="160" customFormat="1" x14ac:dyDescent="0.3"/>
    <row r="42934" s="160" customFormat="1" x14ac:dyDescent="0.3"/>
    <row r="42935" s="160" customFormat="1" x14ac:dyDescent="0.3"/>
    <row r="42936" s="160" customFormat="1" x14ac:dyDescent="0.3"/>
    <row r="42937" s="160" customFormat="1" x14ac:dyDescent="0.3"/>
    <row r="42938" s="160" customFormat="1" x14ac:dyDescent="0.3"/>
    <row r="42939" s="160" customFormat="1" x14ac:dyDescent="0.3"/>
    <row r="42940" s="160" customFormat="1" x14ac:dyDescent="0.3"/>
    <row r="42941" s="160" customFormat="1" x14ac:dyDescent="0.3"/>
    <row r="42942" s="160" customFormat="1" x14ac:dyDescent="0.3"/>
    <row r="42943" s="160" customFormat="1" x14ac:dyDescent="0.3"/>
    <row r="42944" s="160" customFormat="1" x14ac:dyDescent="0.3"/>
    <row r="42945" s="160" customFormat="1" x14ac:dyDescent="0.3"/>
    <row r="42946" s="160" customFormat="1" x14ac:dyDescent="0.3"/>
    <row r="42947" s="160" customFormat="1" x14ac:dyDescent="0.3"/>
    <row r="42948" s="160" customFormat="1" x14ac:dyDescent="0.3"/>
    <row r="42949" s="160" customFormat="1" x14ac:dyDescent="0.3"/>
    <row r="42950" s="160" customFormat="1" x14ac:dyDescent="0.3"/>
    <row r="42951" s="160" customFormat="1" x14ac:dyDescent="0.3"/>
    <row r="42952" s="160" customFormat="1" x14ac:dyDescent="0.3"/>
    <row r="42953" s="160" customFormat="1" x14ac:dyDescent="0.3"/>
    <row r="42954" s="160" customFormat="1" x14ac:dyDescent="0.3"/>
    <row r="42955" s="160" customFormat="1" x14ac:dyDescent="0.3"/>
    <row r="42956" s="160" customFormat="1" x14ac:dyDescent="0.3"/>
    <row r="42957" s="160" customFormat="1" x14ac:dyDescent="0.3"/>
    <row r="42958" s="160" customFormat="1" x14ac:dyDescent="0.3"/>
    <row r="42959" s="160" customFormat="1" x14ac:dyDescent="0.3"/>
    <row r="42960" s="160" customFormat="1" x14ac:dyDescent="0.3"/>
    <row r="42961" s="160" customFormat="1" x14ac:dyDescent="0.3"/>
    <row r="42962" s="160" customFormat="1" x14ac:dyDescent="0.3"/>
    <row r="42963" s="160" customFormat="1" x14ac:dyDescent="0.3"/>
    <row r="42964" s="160" customFormat="1" x14ac:dyDescent="0.3"/>
    <row r="42965" s="160" customFormat="1" x14ac:dyDescent="0.3"/>
    <row r="42966" s="160" customFormat="1" x14ac:dyDescent="0.3"/>
    <row r="42967" s="160" customFormat="1" x14ac:dyDescent="0.3"/>
    <row r="42968" s="160" customFormat="1" x14ac:dyDescent="0.3"/>
    <row r="42969" s="160" customFormat="1" x14ac:dyDescent="0.3"/>
    <row r="42970" s="160" customFormat="1" x14ac:dyDescent="0.3"/>
    <row r="42971" s="160" customFormat="1" x14ac:dyDescent="0.3"/>
    <row r="42972" s="160" customFormat="1" x14ac:dyDescent="0.3"/>
    <row r="42973" s="160" customFormat="1" x14ac:dyDescent="0.3"/>
    <row r="42974" s="160" customFormat="1" x14ac:dyDescent="0.3"/>
    <row r="42975" s="160" customFormat="1" x14ac:dyDescent="0.3"/>
    <row r="42976" s="160" customFormat="1" x14ac:dyDescent="0.3"/>
    <row r="42977" s="160" customFormat="1" x14ac:dyDescent="0.3"/>
    <row r="42978" s="160" customFormat="1" x14ac:dyDescent="0.3"/>
    <row r="42979" s="160" customFormat="1" x14ac:dyDescent="0.3"/>
    <row r="42980" s="160" customFormat="1" x14ac:dyDescent="0.3"/>
    <row r="42981" s="160" customFormat="1" x14ac:dyDescent="0.3"/>
    <row r="42982" s="160" customFormat="1" x14ac:dyDescent="0.3"/>
    <row r="42983" s="160" customFormat="1" x14ac:dyDescent="0.3"/>
    <row r="42984" s="160" customFormat="1" x14ac:dyDescent="0.3"/>
    <row r="42985" s="160" customFormat="1" x14ac:dyDescent="0.3"/>
    <row r="42986" s="160" customFormat="1" x14ac:dyDescent="0.3"/>
    <row r="42987" s="160" customFormat="1" x14ac:dyDescent="0.3"/>
    <row r="42988" s="160" customFormat="1" x14ac:dyDescent="0.3"/>
    <row r="42989" s="160" customFormat="1" x14ac:dyDescent="0.3"/>
    <row r="42990" s="160" customFormat="1" x14ac:dyDescent="0.3"/>
    <row r="42991" s="160" customFormat="1" x14ac:dyDescent="0.3"/>
    <row r="42992" s="160" customFormat="1" x14ac:dyDescent="0.3"/>
    <row r="42993" s="160" customFormat="1" x14ac:dyDescent="0.3"/>
    <row r="42994" s="160" customFormat="1" x14ac:dyDescent="0.3"/>
    <row r="42995" s="160" customFormat="1" x14ac:dyDescent="0.3"/>
    <row r="42996" s="160" customFormat="1" x14ac:dyDescent="0.3"/>
    <row r="42997" s="160" customFormat="1" x14ac:dyDescent="0.3"/>
    <row r="42998" s="160" customFormat="1" x14ac:dyDescent="0.3"/>
    <row r="42999" s="160" customFormat="1" x14ac:dyDescent="0.3"/>
    <row r="43000" s="160" customFormat="1" x14ac:dyDescent="0.3"/>
    <row r="43001" s="160" customFormat="1" x14ac:dyDescent="0.3"/>
    <row r="43002" s="160" customFormat="1" x14ac:dyDescent="0.3"/>
    <row r="43003" s="160" customFormat="1" x14ac:dyDescent="0.3"/>
    <row r="43004" s="160" customFormat="1" x14ac:dyDescent="0.3"/>
    <row r="43005" s="160" customFormat="1" x14ac:dyDescent="0.3"/>
    <row r="43006" s="160" customFormat="1" x14ac:dyDescent="0.3"/>
    <row r="43007" s="160" customFormat="1" x14ac:dyDescent="0.3"/>
    <row r="43008" s="160" customFormat="1" x14ac:dyDescent="0.3"/>
    <row r="43009" s="160" customFormat="1" x14ac:dyDescent="0.3"/>
    <row r="43010" s="160" customFormat="1" x14ac:dyDescent="0.3"/>
    <row r="43011" s="160" customFormat="1" x14ac:dyDescent="0.3"/>
    <row r="43012" s="160" customFormat="1" x14ac:dyDescent="0.3"/>
    <row r="43013" s="160" customFormat="1" x14ac:dyDescent="0.3"/>
    <row r="43014" s="160" customFormat="1" x14ac:dyDescent="0.3"/>
    <row r="43015" s="160" customFormat="1" x14ac:dyDescent="0.3"/>
    <row r="43016" s="160" customFormat="1" x14ac:dyDescent="0.3"/>
    <row r="43017" s="160" customFormat="1" x14ac:dyDescent="0.3"/>
    <row r="43018" s="160" customFormat="1" x14ac:dyDescent="0.3"/>
    <row r="43019" s="160" customFormat="1" x14ac:dyDescent="0.3"/>
    <row r="43020" s="160" customFormat="1" x14ac:dyDescent="0.3"/>
    <row r="43021" s="160" customFormat="1" x14ac:dyDescent="0.3"/>
    <row r="43022" s="160" customFormat="1" x14ac:dyDescent="0.3"/>
    <row r="43023" s="160" customFormat="1" x14ac:dyDescent="0.3"/>
    <row r="43024" s="160" customFormat="1" x14ac:dyDescent="0.3"/>
    <row r="43025" s="160" customFormat="1" x14ac:dyDescent="0.3"/>
    <row r="43026" s="160" customFormat="1" x14ac:dyDescent="0.3"/>
    <row r="43027" s="160" customFormat="1" x14ac:dyDescent="0.3"/>
    <row r="43028" s="160" customFormat="1" x14ac:dyDescent="0.3"/>
    <row r="43029" s="160" customFormat="1" x14ac:dyDescent="0.3"/>
    <row r="43030" s="160" customFormat="1" x14ac:dyDescent="0.3"/>
    <row r="43031" s="160" customFormat="1" x14ac:dyDescent="0.3"/>
    <row r="43032" s="160" customFormat="1" x14ac:dyDescent="0.3"/>
    <row r="43033" s="160" customFormat="1" x14ac:dyDescent="0.3"/>
    <row r="43034" s="160" customFormat="1" x14ac:dyDescent="0.3"/>
    <row r="43035" s="160" customFormat="1" x14ac:dyDescent="0.3"/>
    <row r="43036" s="160" customFormat="1" x14ac:dyDescent="0.3"/>
    <row r="43037" s="160" customFormat="1" x14ac:dyDescent="0.3"/>
    <row r="43038" s="160" customFormat="1" x14ac:dyDescent="0.3"/>
    <row r="43039" s="160" customFormat="1" x14ac:dyDescent="0.3"/>
    <row r="43040" s="160" customFormat="1" x14ac:dyDescent="0.3"/>
    <row r="43041" s="160" customFormat="1" x14ac:dyDescent="0.3"/>
    <row r="43042" s="160" customFormat="1" x14ac:dyDescent="0.3"/>
    <row r="43043" s="160" customFormat="1" x14ac:dyDescent="0.3"/>
    <row r="43044" s="160" customFormat="1" x14ac:dyDescent="0.3"/>
    <row r="43045" s="160" customFormat="1" x14ac:dyDescent="0.3"/>
    <row r="43046" s="160" customFormat="1" x14ac:dyDescent="0.3"/>
    <row r="43047" s="160" customFormat="1" x14ac:dyDescent="0.3"/>
    <row r="43048" s="160" customFormat="1" x14ac:dyDescent="0.3"/>
    <row r="43049" s="160" customFormat="1" x14ac:dyDescent="0.3"/>
    <row r="43050" s="160" customFormat="1" x14ac:dyDescent="0.3"/>
    <row r="43051" s="160" customFormat="1" x14ac:dyDescent="0.3"/>
    <row r="43052" s="160" customFormat="1" x14ac:dyDescent="0.3"/>
    <row r="43053" s="160" customFormat="1" x14ac:dyDescent="0.3"/>
    <row r="43054" s="160" customFormat="1" x14ac:dyDescent="0.3"/>
    <row r="43055" s="160" customFormat="1" x14ac:dyDescent="0.3"/>
    <row r="43056" s="160" customFormat="1" x14ac:dyDescent="0.3"/>
    <row r="43057" s="160" customFormat="1" x14ac:dyDescent="0.3"/>
    <row r="43058" s="160" customFormat="1" x14ac:dyDescent="0.3"/>
    <row r="43059" s="160" customFormat="1" x14ac:dyDescent="0.3"/>
    <row r="43060" s="160" customFormat="1" x14ac:dyDescent="0.3"/>
    <row r="43061" s="160" customFormat="1" x14ac:dyDescent="0.3"/>
    <row r="43062" s="160" customFormat="1" x14ac:dyDescent="0.3"/>
    <row r="43063" s="160" customFormat="1" x14ac:dyDescent="0.3"/>
    <row r="43064" s="160" customFormat="1" x14ac:dyDescent="0.3"/>
    <row r="43065" s="160" customFormat="1" x14ac:dyDescent="0.3"/>
    <row r="43066" s="160" customFormat="1" x14ac:dyDescent="0.3"/>
    <row r="43067" s="160" customFormat="1" x14ac:dyDescent="0.3"/>
    <row r="43068" s="160" customFormat="1" x14ac:dyDescent="0.3"/>
    <row r="43069" s="160" customFormat="1" x14ac:dyDescent="0.3"/>
    <row r="43070" s="160" customFormat="1" x14ac:dyDescent="0.3"/>
    <row r="43071" s="160" customFormat="1" x14ac:dyDescent="0.3"/>
    <row r="43072" s="160" customFormat="1" x14ac:dyDescent="0.3"/>
    <row r="43073" s="160" customFormat="1" x14ac:dyDescent="0.3"/>
    <row r="43074" s="160" customFormat="1" x14ac:dyDescent="0.3"/>
    <row r="43075" s="160" customFormat="1" x14ac:dyDescent="0.3"/>
    <row r="43076" s="160" customFormat="1" x14ac:dyDescent="0.3"/>
    <row r="43077" s="160" customFormat="1" x14ac:dyDescent="0.3"/>
    <row r="43078" s="160" customFormat="1" x14ac:dyDescent="0.3"/>
    <row r="43079" s="160" customFormat="1" x14ac:dyDescent="0.3"/>
    <row r="43080" s="160" customFormat="1" x14ac:dyDescent="0.3"/>
    <row r="43081" s="160" customFormat="1" x14ac:dyDescent="0.3"/>
    <row r="43082" s="160" customFormat="1" x14ac:dyDescent="0.3"/>
    <row r="43083" s="160" customFormat="1" x14ac:dyDescent="0.3"/>
    <row r="43084" s="160" customFormat="1" x14ac:dyDescent="0.3"/>
    <row r="43085" s="160" customFormat="1" x14ac:dyDescent="0.3"/>
    <row r="43086" s="160" customFormat="1" x14ac:dyDescent="0.3"/>
    <row r="43087" s="160" customFormat="1" x14ac:dyDescent="0.3"/>
    <row r="43088" s="160" customFormat="1" x14ac:dyDescent="0.3"/>
    <row r="43089" s="160" customFormat="1" x14ac:dyDescent="0.3"/>
    <row r="43090" s="160" customFormat="1" x14ac:dyDescent="0.3"/>
    <row r="43091" s="160" customFormat="1" x14ac:dyDescent="0.3"/>
    <row r="43092" s="160" customFormat="1" x14ac:dyDescent="0.3"/>
    <row r="43093" s="160" customFormat="1" x14ac:dyDescent="0.3"/>
    <row r="43094" s="160" customFormat="1" x14ac:dyDescent="0.3"/>
    <row r="43095" s="160" customFormat="1" x14ac:dyDescent="0.3"/>
    <row r="43096" s="160" customFormat="1" x14ac:dyDescent="0.3"/>
    <row r="43097" s="160" customFormat="1" x14ac:dyDescent="0.3"/>
    <row r="43098" s="160" customFormat="1" x14ac:dyDescent="0.3"/>
    <row r="43099" s="160" customFormat="1" x14ac:dyDescent="0.3"/>
    <row r="43100" s="160" customFormat="1" x14ac:dyDescent="0.3"/>
    <row r="43101" s="160" customFormat="1" x14ac:dyDescent="0.3"/>
    <row r="43102" s="160" customFormat="1" x14ac:dyDescent="0.3"/>
    <row r="43103" s="160" customFormat="1" x14ac:dyDescent="0.3"/>
    <row r="43104" s="160" customFormat="1" x14ac:dyDescent="0.3"/>
    <row r="43105" s="160" customFormat="1" x14ac:dyDescent="0.3"/>
    <row r="43106" s="160" customFormat="1" x14ac:dyDescent="0.3"/>
    <row r="43107" s="160" customFormat="1" x14ac:dyDescent="0.3"/>
    <row r="43108" s="160" customFormat="1" x14ac:dyDescent="0.3"/>
    <row r="43109" s="160" customFormat="1" x14ac:dyDescent="0.3"/>
    <row r="43110" s="160" customFormat="1" x14ac:dyDescent="0.3"/>
    <row r="43111" s="160" customFormat="1" x14ac:dyDescent="0.3"/>
    <row r="43112" s="160" customFormat="1" x14ac:dyDescent="0.3"/>
    <row r="43113" s="160" customFormat="1" x14ac:dyDescent="0.3"/>
    <row r="43114" s="160" customFormat="1" x14ac:dyDescent="0.3"/>
    <row r="43115" s="160" customFormat="1" x14ac:dyDescent="0.3"/>
    <row r="43116" s="160" customFormat="1" x14ac:dyDescent="0.3"/>
    <row r="43117" s="160" customFormat="1" x14ac:dyDescent="0.3"/>
    <row r="43118" s="160" customFormat="1" x14ac:dyDescent="0.3"/>
    <row r="43119" s="160" customFormat="1" x14ac:dyDescent="0.3"/>
    <row r="43120" s="160" customFormat="1" x14ac:dyDescent="0.3"/>
    <row r="43121" s="160" customFormat="1" x14ac:dyDescent="0.3"/>
    <row r="43122" s="160" customFormat="1" x14ac:dyDescent="0.3"/>
    <row r="43123" s="160" customFormat="1" x14ac:dyDescent="0.3"/>
    <row r="43124" s="160" customFormat="1" x14ac:dyDescent="0.3"/>
    <row r="43125" s="160" customFormat="1" x14ac:dyDescent="0.3"/>
    <row r="43126" s="160" customFormat="1" x14ac:dyDescent="0.3"/>
    <row r="43127" s="160" customFormat="1" x14ac:dyDescent="0.3"/>
    <row r="43128" s="160" customFormat="1" x14ac:dyDescent="0.3"/>
    <row r="43129" s="160" customFormat="1" x14ac:dyDescent="0.3"/>
    <row r="43130" s="160" customFormat="1" x14ac:dyDescent="0.3"/>
    <row r="43131" s="160" customFormat="1" x14ac:dyDescent="0.3"/>
    <row r="43132" s="160" customFormat="1" x14ac:dyDescent="0.3"/>
    <row r="43133" s="160" customFormat="1" x14ac:dyDescent="0.3"/>
    <row r="43134" s="160" customFormat="1" x14ac:dyDescent="0.3"/>
    <row r="43135" s="160" customFormat="1" x14ac:dyDescent="0.3"/>
    <row r="43136" s="160" customFormat="1" x14ac:dyDescent="0.3"/>
    <row r="43137" s="160" customFormat="1" x14ac:dyDescent="0.3"/>
    <row r="43138" s="160" customFormat="1" x14ac:dyDescent="0.3"/>
    <row r="43139" s="160" customFormat="1" x14ac:dyDescent="0.3"/>
    <row r="43140" s="160" customFormat="1" x14ac:dyDescent="0.3"/>
    <row r="43141" s="160" customFormat="1" x14ac:dyDescent="0.3"/>
    <row r="43142" s="160" customFormat="1" x14ac:dyDescent="0.3"/>
    <row r="43143" s="160" customFormat="1" x14ac:dyDescent="0.3"/>
    <row r="43144" s="160" customFormat="1" x14ac:dyDescent="0.3"/>
    <row r="43145" s="160" customFormat="1" x14ac:dyDescent="0.3"/>
    <row r="43146" s="160" customFormat="1" x14ac:dyDescent="0.3"/>
    <row r="43147" s="160" customFormat="1" x14ac:dyDescent="0.3"/>
    <row r="43148" s="160" customFormat="1" x14ac:dyDescent="0.3"/>
    <row r="43149" s="160" customFormat="1" x14ac:dyDescent="0.3"/>
    <row r="43150" s="160" customFormat="1" x14ac:dyDescent="0.3"/>
    <row r="43151" s="160" customFormat="1" x14ac:dyDescent="0.3"/>
    <row r="43152" s="160" customFormat="1" x14ac:dyDescent="0.3"/>
    <row r="43153" s="160" customFormat="1" x14ac:dyDescent="0.3"/>
    <row r="43154" s="160" customFormat="1" x14ac:dyDescent="0.3"/>
    <row r="43155" s="160" customFormat="1" x14ac:dyDescent="0.3"/>
    <row r="43156" s="160" customFormat="1" x14ac:dyDescent="0.3"/>
    <row r="43157" s="160" customFormat="1" x14ac:dyDescent="0.3"/>
    <row r="43158" s="160" customFormat="1" x14ac:dyDescent="0.3"/>
    <row r="43159" s="160" customFormat="1" x14ac:dyDescent="0.3"/>
    <row r="43160" s="160" customFormat="1" x14ac:dyDescent="0.3"/>
    <row r="43161" s="160" customFormat="1" x14ac:dyDescent="0.3"/>
    <row r="43162" s="160" customFormat="1" x14ac:dyDescent="0.3"/>
    <row r="43163" s="160" customFormat="1" x14ac:dyDescent="0.3"/>
    <row r="43164" s="160" customFormat="1" x14ac:dyDescent="0.3"/>
    <row r="43165" s="160" customFormat="1" x14ac:dyDescent="0.3"/>
    <row r="43166" s="160" customFormat="1" x14ac:dyDescent="0.3"/>
    <row r="43167" s="160" customFormat="1" x14ac:dyDescent="0.3"/>
    <row r="43168" s="160" customFormat="1" x14ac:dyDescent="0.3"/>
    <row r="43169" s="160" customFormat="1" x14ac:dyDescent="0.3"/>
    <row r="43170" s="160" customFormat="1" x14ac:dyDescent="0.3"/>
    <row r="43171" s="160" customFormat="1" x14ac:dyDescent="0.3"/>
    <row r="43172" s="160" customFormat="1" x14ac:dyDescent="0.3"/>
    <row r="43173" s="160" customFormat="1" x14ac:dyDescent="0.3"/>
    <row r="43174" s="160" customFormat="1" x14ac:dyDescent="0.3"/>
    <row r="43175" s="160" customFormat="1" x14ac:dyDescent="0.3"/>
    <row r="43176" s="160" customFormat="1" x14ac:dyDescent="0.3"/>
    <row r="43177" s="160" customFormat="1" x14ac:dyDescent="0.3"/>
    <row r="43178" s="160" customFormat="1" x14ac:dyDescent="0.3"/>
    <row r="43179" s="160" customFormat="1" x14ac:dyDescent="0.3"/>
    <row r="43180" s="160" customFormat="1" x14ac:dyDescent="0.3"/>
    <row r="43181" s="160" customFormat="1" x14ac:dyDescent="0.3"/>
    <row r="43182" s="160" customFormat="1" x14ac:dyDescent="0.3"/>
    <row r="43183" s="160" customFormat="1" x14ac:dyDescent="0.3"/>
    <row r="43184" s="160" customFormat="1" x14ac:dyDescent="0.3"/>
    <row r="43185" s="160" customFormat="1" x14ac:dyDescent="0.3"/>
    <row r="43186" s="160" customFormat="1" x14ac:dyDescent="0.3"/>
    <row r="43187" s="160" customFormat="1" x14ac:dyDescent="0.3"/>
    <row r="43188" s="160" customFormat="1" x14ac:dyDescent="0.3"/>
    <row r="43189" s="160" customFormat="1" x14ac:dyDescent="0.3"/>
    <row r="43190" s="160" customFormat="1" x14ac:dyDescent="0.3"/>
    <row r="43191" s="160" customFormat="1" x14ac:dyDescent="0.3"/>
    <row r="43192" s="160" customFormat="1" x14ac:dyDescent="0.3"/>
    <row r="43193" s="160" customFormat="1" x14ac:dyDescent="0.3"/>
    <row r="43194" s="160" customFormat="1" x14ac:dyDescent="0.3"/>
    <row r="43195" s="160" customFormat="1" x14ac:dyDescent="0.3"/>
    <row r="43196" s="160" customFormat="1" x14ac:dyDescent="0.3"/>
    <row r="43197" s="160" customFormat="1" x14ac:dyDescent="0.3"/>
    <row r="43198" s="160" customFormat="1" x14ac:dyDescent="0.3"/>
    <row r="43199" s="160" customFormat="1" x14ac:dyDescent="0.3"/>
    <row r="43200" s="160" customFormat="1" x14ac:dyDescent="0.3"/>
    <row r="43201" s="160" customFormat="1" x14ac:dyDescent="0.3"/>
    <row r="43202" s="160" customFormat="1" x14ac:dyDescent="0.3"/>
    <row r="43203" s="160" customFormat="1" x14ac:dyDescent="0.3"/>
    <row r="43204" s="160" customFormat="1" x14ac:dyDescent="0.3"/>
    <row r="43205" s="160" customFormat="1" x14ac:dyDescent="0.3"/>
    <row r="43206" s="160" customFormat="1" x14ac:dyDescent="0.3"/>
    <row r="43207" s="160" customFormat="1" x14ac:dyDescent="0.3"/>
    <row r="43208" s="160" customFormat="1" x14ac:dyDescent="0.3"/>
    <row r="43209" s="160" customFormat="1" x14ac:dyDescent="0.3"/>
    <row r="43210" s="160" customFormat="1" x14ac:dyDescent="0.3"/>
    <row r="43211" s="160" customFormat="1" x14ac:dyDescent="0.3"/>
    <row r="43212" s="160" customFormat="1" x14ac:dyDescent="0.3"/>
    <row r="43213" s="160" customFormat="1" x14ac:dyDescent="0.3"/>
    <row r="43214" s="160" customFormat="1" x14ac:dyDescent="0.3"/>
    <row r="43215" s="160" customFormat="1" x14ac:dyDescent="0.3"/>
    <row r="43216" s="160" customFormat="1" x14ac:dyDescent="0.3"/>
    <row r="43217" s="160" customFormat="1" x14ac:dyDescent="0.3"/>
    <row r="43218" s="160" customFormat="1" x14ac:dyDescent="0.3"/>
    <row r="43219" s="160" customFormat="1" x14ac:dyDescent="0.3"/>
    <row r="43220" s="160" customFormat="1" x14ac:dyDescent="0.3"/>
    <row r="43221" s="160" customFormat="1" x14ac:dyDescent="0.3"/>
    <row r="43222" s="160" customFormat="1" x14ac:dyDescent="0.3"/>
    <row r="43223" s="160" customFormat="1" x14ac:dyDescent="0.3"/>
    <row r="43224" s="160" customFormat="1" x14ac:dyDescent="0.3"/>
    <row r="43225" s="160" customFormat="1" x14ac:dyDescent="0.3"/>
    <row r="43226" s="160" customFormat="1" x14ac:dyDescent="0.3"/>
    <row r="43227" s="160" customFormat="1" x14ac:dyDescent="0.3"/>
    <row r="43228" s="160" customFormat="1" x14ac:dyDescent="0.3"/>
    <row r="43229" s="160" customFormat="1" x14ac:dyDescent="0.3"/>
    <row r="43230" s="160" customFormat="1" x14ac:dyDescent="0.3"/>
    <row r="43231" s="160" customFormat="1" x14ac:dyDescent="0.3"/>
    <row r="43232" s="160" customFormat="1" x14ac:dyDescent="0.3"/>
    <row r="43233" s="160" customFormat="1" x14ac:dyDescent="0.3"/>
    <row r="43234" s="160" customFormat="1" x14ac:dyDescent="0.3"/>
    <row r="43235" s="160" customFormat="1" x14ac:dyDescent="0.3"/>
    <row r="43236" s="160" customFormat="1" x14ac:dyDescent="0.3"/>
    <row r="43237" s="160" customFormat="1" x14ac:dyDescent="0.3"/>
    <row r="43238" s="160" customFormat="1" x14ac:dyDescent="0.3"/>
    <row r="43239" s="160" customFormat="1" x14ac:dyDescent="0.3"/>
    <row r="43240" s="160" customFormat="1" x14ac:dyDescent="0.3"/>
    <row r="43241" s="160" customFormat="1" x14ac:dyDescent="0.3"/>
    <row r="43242" s="160" customFormat="1" x14ac:dyDescent="0.3"/>
    <row r="43243" s="160" customFormat="1" x14ac:dyDescent="0.3"/>
    <row r="43244" s="160" customFormat="1" x14ac:dyDescent="0.3"/>
    <row r="43245" s="160" customFormat="1" x14ac:dyDescent="0.3"/>
    <row r="43246" s="160" customFormat="1" x14ac:dyDescent="0.3"/>
    <row r="43247" s="160" customFormat="1" x14ac:dyDescent="0.3"/>
    <row r="43248" s="160" customFormat="1" x14ac:dyDescent="0.3"/>
    <row r="43249" s="160" customFormat="1" x14ac:dyDescent="0.3"/>
    <row r="43250" s="160" customFormat="1" x14ac:dyDescent="0.3"/>
    <row r="43251" s="160" customFormat="1" x14ac:dyDescent="0.3"/>
    <row r="43252" s="160" customFormat="1" x14ac:dyDescent="0.3"/>
    <row r="43253" s="160" customFormat="1" x14ac:dyDescent="0.3"/>
    <row r="43254" s="160" customFormat="1" x14ac:dyDescent="0.3"/>
    <row r="43255" s="160" customFormat="1" x14ac:dyDescent="0.3"/>
    <row r="43256" s="160" customFormat="1" x14ac:dyDescent="0.3"/>
    <row r="43257" s="160" customFormat="1" x14ac:dyDescent="0.3"/>
    <row r="43258" s="160" customFormat="1" x14ac:dyDescent="0.3"/>
    <row r="43259" s="160" customFormat="1" x14ac:dyDescent="0.3"/>
    <row r="43260" s="160" customFormat="1" x14ac:dyDescent="0.3"/>
    <row r="43261" s="160" customFormat="1" x14ac:dyDescent="0.3"/>
    <row r="43262" s="160" customFormat="1" x14ac:dyDescent="0.3"/>
    <row r="43263" s="160" customFormat="1" x14ac:dyDescent="0.3"/>
    <row r="43264" s="160" customFormat="1" x14ac:dyDescent="0.3"/>
    <row r="43265" s="160" customFormat="1" x14ac:dyDescent="0.3"/>
    <row r="43266" s="160" customFormat="1" x14ac:dyDescent="0.3"/>
    <row r="43267" s="160" customFormat="1" x14ac:dyDescent="0.3"/>
    <row r="43268" s="160" customFormat="1" x14ac:dyDescent="0.3"/>
    <row r="43269" s="160" customFormat="1" x14ac:dyDescent="0.3"/>
    <row r="43270" s="160" customFormat="1" x14ac:dyDescent="0.3"/>
    <row r="43271" s="160" customFormat="1" x14ac:dyDescent="0.3"/>
    <row r="43272" s="160" customFormat="1" x14ac:dyDescent="0.3"/>
    <row r="43273" s="160" customFormat="1" x14ac:dyDescent="0.3"/>
    <row r="43274" s="160" customFormat="1" x14ac:dyDescent="0.3"/>
    <row r="43275" s="160" customFormat="1" x14ac:dyDescent="0.3"/>
    <row r="43276" s="160" customFormat="1" x14ac:dyDescent="0.3"/>
    <row r="43277" s="160" customFormat="1" x14ac:dyDescent="0.3"/>
    <row r="43278" s="160" customFormat="1" x14ac:dyDescent="0.3"/>
    <row r="43279" s="160" customFormat="1" x14ac:dyDescent="0.3"/>
    <row r="43280" s="160" customFormat="1" x14ac:dyDescent="0.3"/>
    <row r="43281" s="160" customFormat="1" x14ac:dyDescent="0.3"/>
    <row r="43282" s="160" customFormat="1" x14ac:dyDescent="0.3"/>
    <row r="43283" s="160" customFormat="1" x14ac:dyDescent="0.3"/>
    <row r="43284" s="160" customFormat="1" x14ac:dyDescent="0.3"/>
    <row r="43285" s="160" customFormat="1" x14ac:dyDescent="0.3"/>
    <row r="43286" s="160" customFormat="1" x14ac:dyDescent="0.3"/>
    <row r="43287" s="160" customFormat="1" x14ac:dyDescent="0.3"/>
    <row r="43288" s="160" customFormat="1" x14ac:dyDescent="0.3"/>
    <row r="43289" s="160" customFormat="1" x14ac:dyDescent="0.3"/>
    <row r="43290" s="160" customFormat="1" x14ac:dyDescent="0.3"/>
    <row r="43291" s="160" customFormat="1" x14ac:dyDescent="0.3"/>
    <row r="43292" s="160" customFormat="1" x14ac:dyDescent="0.3"/>
    <row r="43293" s="160" customFormat="1" x14ac:dyDescent="0.3"/>
    <row r="43294" s="160" customFormat="1" x14ac:dyDescent="0.3"/>
    <row r="43295" s="160" customFormat="1" x14ac:dyDescent="0.3"/>
    <row r="43296" s="160" customFormat="1" x14ac:dyDescent="0.3"/>
    <row r="43297" s="160" customFormat="1" x14ac:dyDescent="0.3"/>
    <row r="43298" s="160" customFormat="1" x14ac:dyDescent="0.3"/>
    <row r="43299" s="160" customFormat="1" x14ac:dyDescent="0.3"/>
    <row r="43300" s="160" customFormat="1" x14ac:dyDescent="0.3"/>
    <row r="43301" s="160" customFormat="1" x14ac:dyDescent="0.3"/>
    <row r="43302" s="160" customFormat="1" x14ac:dyDescent="0.3"/>
    <row r="43303" s="160" customFormat="1" x14ac:dyDescent="0.3"/>
    <row r="43304" s="160" customFormat="1" x14ac:dyDescent="0.3"/>
    <row r="43305" s="160" customFormat="1" x14ac:dyDescent="0.3"/>
    <row r="43306" s="160" customFormat="1" x14ac:dyDescent="0.3"/>
    <row r="43307" s="160" customFormat="1" x14ac:dyDescent="0.3"/>
    <row r="43308" s="160" customFormat="1" x14ac:dyDescent="0.3"/>
    <row r="43309" s="160" customFormat="1" x14ac:dyDescent="0.3"/>
    <row r="43310" s="160" customFormat="1" x14ac:dyDescent="0.3"/>
    <row r="43311" s="160" customFormat="1" x14ac:dyDescent="0.3"/>
    <row r="43312" s="160" customFormat="1" x14ac:dyDescent="0.3"/>
    <row r="43313" s="160" customFormat="1" x14ac:dyDescent="0.3"/>
    <row r="43314" s="160" customFormat="1" x14ac:dyDescent="0.3"/>
    <row r="43315" s="160" customFormat="1" x14ac:dyDescent="0.3"/>
    <row r="43316" s="160" customFormat="1" x14ac:dyDescent="0.3"/>
    <row r="43317" s="160" customFormat="1" x14ac:dyDescent="0.3"/>
    <row r="43318" s="160" customFormat="1" x14ac:dyDescent="0.3"/>
    <row r="43319" s="160" customFormat="1" x14ac:dyDescent="0.3"/>
    <row r="43320" s="160" customFormat="1" x14ac:dyDescent="0.3"/>
    <row r="43321" s="160" customFormat="1" x14ac:dyDescent="0.3"/>
    <row r="43322" s="160" customFormat="1" x14ac:dyDescent="0.3"/>
    <row r="43323" s="160" customFormat="1" x14ac:dyDescent="0.3"/>
    <row r="43324" s="160" customFormat="1" x14ac:dyDescent="0.3"/>
    <row r="43325" s="160" customFormat="1" x14ac:dyDescent="0.3"/>
    <row r="43326" s="160" customFormat="1" x14ac:dyDescent="0.3"/>
    <row r="43327" s="160" customFormat="1" x14ac:dyDescent="0.3"/>
    <row r="43328" s="160" customFormat="1" x14ac:dyDescent="0.3"/>
    <row r="43329" s="160" customFormat="1" x14ac:dyDescent="0.3"/>
    <row r="43330" s="160" customFormat="1" x14ac:dyDescent="0.3"/>
    <row r="43331" s="160" customFormat="1" x14ac:dyDescent="0.3"/>
    <row r="43332" s="160" customFormat="1" x14ac:dyDescent="0.3"/>
    <row r="43333" s="160" customFormat="1" x14ac:dyDescent="0.3"/>
    <row r="43334" s="160" customFormat="1" x14ac:dyDescent="0.3"/>
    <row r="43335" s="160" customFormat="1" x14ac:dyDescent="0.3"/>
    <row r="43336" s="160" customFormat="1" x14ac:dyDescent="0.3"/>
    <row r="43337" s="160" customFormat="1" x14ac:dyDescent="0.3"/>
    <row r="43338" s="160" customFormat="1" x14ac:dyDescent="0.3"/>
    <row r="43339" s="160" customFormat="1" x14ac:dyDescent="0.3"/>
    <row r="43340" s="160" customFormat="1" x14ac:dyDescent="0.3"/>
    <row r="43341" s="160" customFormat="1" x14ac:dyDescent="0.3"/>
    <row r="43342" s="160" customFormat="1" x14ac:dyDescent="0.3"/>
    <row r="43343" s="160" customFormat="1" x14ac:dyDescent="0.3"/>
    <row r="43344" s="160" customFormat="1" x14ac:dyDescent="0.3"/>
    <row r="43345" s="160" customFormat="1" x14ac:dyDescent="0.3"/>
    <row r="43346" s="160" customFormat="1" x14ac:dyDescent="0.3"/>
    <row r="43347" s="160" customFormat="1" x14ac:dyDescent="0.3"/>
    <row r="43348" s="160" customFormat="1" x14ac:dyDescent="0.3"/>
    <row r="43349" s="160" customFormat="1" x14ac:dyDescent="0.3"/>
    <row r="43350" s="160" customFormat="1" x14ac:dyDescent="0.3"/>
    <row r="43351" s="160" customFormat="1" x14ac:dyDescent="0.3"/>
    <row r="43352" s="160" customFormat="1" x14ac:dyDescent="0.3"/>
    <row r="43353" s="160" customFormat="1" x14ac:dyDescent="0.3"/>
    <row r="43354" s="160" customFormat="1" x14ac:dyDescent="0.3"/>
    <row r="43355" s="160" customFormat="1" x14ac:dyDescent="0.3"/>
    <row r="43356" s="160" customFormat="1" x14ac:dyDescent="0.3"/>
    <row r="43357" s="160" customFormat="1" x14ac:dyDescent="0.3"/>
    <row r="43358" s="160" customFormat="1" x14ac:dyDescent="0.3"/>
    <row r="43359" s="160" customFormat="1" x14ac:dyDescent="0.3"/>
    <row r="43360" s="160" customFormat="1" x14ac:dyDescent="0.3"/>
    <row r="43361" s="160" customFormat="1" x14ac:dyDescent="0.3"/>
    <row r="43362" s="160" customFormat="1" x14ac:dyDescent="0.3"/>
    <row r="43363" s="160" customFormat="1" x14ac:dyDescent="0.3"/>
    <row r="43364" s="160" customFormat="1" x14ac:dyDescent="0.3"/>
    <row r="43365" s="160" customFormat="1" x14ac:dyDescent="0.3"/>
    <row r="43366" s="160" customFormat="1" x14ac:dyDescent="0.3"/>
    <row r="43367" s="160" customFormat="1" x14ac:dyDescent="0.3"/>
    <row r="43368" s="160" customFormat="1" x14ac:dyDescent="0.3"/>
    <row r="43369" s="160" customFormat="1" x14ac:dyDescent="0.3"/>
    <row r="43370" s="160" customFormat="1" x14ac:dyDescent="0.3"/>
    <row r="43371" s="160" customFormat="1" x14ac:dyDescent="0.3"/>
    <row r="43372" s="160" customFormat="1" x14ac:dyDescent="0.3"/>
    <row r="43373" s="160" customFormat="1" x14ac:dyDescent="0.3"/>
    <row r="43374" s="160" customFormat="1" x14ac:dyDescent="0.3"/>
    <row r="43375" s="160" customFormat="1" x14ac:dyDescent="0.3"/>
    <row r="43376" s="160" customFormat="1" x14ac:dyDescent="0.3"/>
    <row r="43377" s="160" customFormat="1" x14ac:dyDescent="0.3"/>
    <row r="43378" s="160" customFormat="1" x14ac:dyDescent="0.3"/>
    <row r="43379" s="160" customFormat="1" x14ac:dyDescent="0.3"/>
    <row r="43380" s="160" customFormat="1" x14ac:dyDescent="0.3"/>
    <row r="43381" s="160" customFormat="1" x14ac:dyDescent="0.3"/>
    <row r="43382" s="160" customFormat="1" x14ac:dyDescent="0.3"/>
    <row r="43383" s="160" customFormat="1" x14ac:dyDescent="0.3"/>
    <row r="43384" s="160" customFormat="1" x14ac:dyDescent="0.3"/>
    <row r="43385" s="160" customFormat="1" x14ac:dyDescent="0.3"/>
    <row r="43386" s="160" customFormat="1" x14ac:dyDescent="0.3"/>
    <row r="43387" s="160" customFormat="1" x14ac:dyDescent="0.3"/>
    <row r="43388" s="160" customFormat="1" x14ac:dyDescent="0.3"/>
    <row r="43389" s="160" customFormat="1" x14ac:dyDescent="0.3"/>
    <row r="43390" s="160" customFormat="1" x14ac:dyDescent="0.3"/>
    <row r="43391" s="160" customFormat="1" x14ac:dyDescent="0.3"/>
    <row r="43392" s="160" customFormat="1" x14ac:dyDescent="0.3"/>
    <row r="43393" s="160" customFormat="1" x14ac:dyDescent="0.3"/>
    <row r="43394" s="160" customFormat="1" x14ac:dyDescent="0.3"/>
    <row r="43395" s="160" customFormat="1" x14ac:dyDescent="0.3"/>
    <row r="43396" s="160" customFormat="1" x14ac:dyDescent="0.3"/>
    <row r="43397" s="160" customFormat="1" x14ac:dyDescent="0.3"/>
    <row r="43398" s="160" customFormat="1" x14ac:dyDescent="0.3"/>
    <row r="43399" s="160" customFormat="1" x14ac:dyDescent="0.3"/>
    <row r="43400" s="160" customFormat="1" x14ac:dyDescent="0.3"/>
    <row r="43401" s="160" customFormat="1" x14ac:dyDescent="0.3"/>
    <row r="43402" s="160" customFormat="1" x14ac:dyDescent="0.3"/>
    <row r="43403" s="160" customFormat="1" x14ac:dyDescent="0.3"/>
    <row r="43404" s="160" customFormat="1" x14ac:dyDescent="0.3"/>
    <row r="43405" s="160" customFormat="1" x14ac:dyDescent="0.3"/>
    <row r="43406" s="160" customFormat="1" x14ac:dyDescent="0.3"/>
    <row r="43407" s="160" customFormat="1" x14ac:dyDescent="0.3"/>
    <row r="43408" s="160" customFormat="1" x14ac:dyDescent="0.3"/>
    <row r="43409" s="160" customFormat="1" x14ac:dyDescent="0.3"/>
    <row r="43410" s="160" customFormat="1" x14ac:dyDescent="0.3"/>
    <row r="43411" s="160" customFormat="1" x14ac:dyDescent="0.3"/>
    <row r="43412" s="160" customFormat="1" x14ac:dyDescent="0.3"/>
    <row r="43413" s="160" customFormat="1" x14ac:dyDescent="0.3"/>
    <row r="43414" s="160" customFormat="1" x14ac:dyDescent="0.3"/>
    <row r="43415" s="160" customFormat="1" x14ac:dyDescent="0.3"/>
    <row r="43416" s="160" customFormat="1" x14ac:dyDescent="0.3"/>
    <row r="43417" s="160" customFormat="1" x14ac:dyDescent="0.3"/>
    <row r="43418" s="160" customFormat="1" x14ac:dyDescent="0.3"/>
    <row r="43419" s="160" customFormat="1" x14ac:dyDescent="0.3"/>
    <row r="43420" s="160" customFormat="1" x14ac:dyDescent="0.3"/>
    <row r="43421" s="160" customFormat="1" x14ac:dyDescent="0.3"/>
    <row r="43422" s="160" customFormat="1" x14ac:dyDescent="0.3"/>
    <row r="43423" s="160" customFormat="1" x14ac:dyDescent="0.3"/>
    <row r="43424" s="160" customFormat="1" x14ac:dyDescent="0.3"/>
    <row r="43425" s="160" customFormat="1" x14ac:dyDescent="0.3"/>
    <row r="43426" s="160" customFormat="1" x14ac:dyDescent="0.3"/>
    <row r="43427" s="160" customFormat="1" x14ac:dyDescent="0.3"/>
    <row r="43428" s="160" customFormat="1" x14ac:dyDescent="0.3"/>
    <row r="43429" s="160" customFormat="1" x14ac:dyDescent="0.3"/>
    <row r="43430" s="160" customFormat="1" x14ac:dyDescent="0.3"/>
    <row r="43431" s="160" customFormat="1" x14ac:dyDescent="0.3"/>
    <row r="43432" s="160" customFormat="1" x14ac:dyDescent="0.3"/>
    <row r="43433" s="160" customFormat="1" x14ac:dyDescent="0.3"/>
    <row r="43434" s="160" customFormat="1" x14ac:dyDescent="0.3"/>
    <row r="43435" s="160" customFormat="1" x14ac:dyDescent="0.3"/>
    <row r="43436" s="160" customFormat="1" x14ac:dyDescent="0.3"/>
    <row r="43437" s="160" customFormat="1" x14ac:dyDescent="0.3"/>
    <row r="43438" s="160" customFormat="1" x14ac:dyDescent="0.3"/>
    <row r="43439" s="160" customFormat="1" x14ac:dyDescent="0.3"/>
    <row r="43440" s="160" customFormat="1" x14ac:dyDescent="0.3"/>
    <row r="43441" s="160" customFormat="1" x14ac:dyDescent="0.3"/>
    <row r="43442" s="160" customFormat="1" x14ac:dyDescent="0.3"/>
    <row r="43443" s="160" customFormat="1" x14ac:dyDescent="0.3"/>
    <row r="43444" s="160" customFormat="1" x14ac:dyDescent="0.3"/>
    <row r="43445" s="160" customFormat="1" x14ac:dyDescent="0.3"/>
    <row r="43446" s="160" customFormat="1" x14ac:dyDescent="0.3"/>
    <row r="43447" s="160" customFormat="1" x14ac:dyDescent="0.3"/>
    <row r="43448" s="160" customFormat="1" x14ac:dyDescent="0.3"/>
    <row r="43449" s="160" customFormat="1" x14ac:dyDescent="0.3"/>
    <row r="43450" s="160" customFormat="1" x14ac:dyDescent="0.3"/>
    <row r="43451" s="160" customFormat="1" x14ac:dyDescent="0.3"/>
    <row r="43452" s="160" customFormat="1" x14ac:dyDescent="0.3"/>
    <row r="43453" s="160" customFormat="1" x14ac:dyDescent="0.3"/>
    <row r="43454" s="160" customFormat="1" x14ac:dyDescent="0.3"/>
    <row r="43455" s="160" customFormat="1" x14ac:dyDescent="0.3"/>
    <row r="43456" s="160" customFormat="1" x14ac:dyDescent="0.3"/>
    <row r="43457" s="160" customFormat="1" x14ac:dyDescent="0.3"/>
    <row r="43458" s="160" customFormat="1" x14ac:dyDescent="0.3"/>
    <row r="43459" s="160" customFormat="1" x14ac:dyDescent="0.3"/>
    <row r="43460" s="160" customFormat="1" x14ac:dyDescent="0.3"/>
    <row r="43461" s="160" customFormat="1" x14ac:dyDescent="0.3"/>
    <row r="43462" s="160" customFormat="1" x14ac:dyDescent="0.3"/>
    <row r="43463" s="160" customFormat="1" x14ac:dyDescent="0.3"/>
    <row r="43464" s="160" customFormat="1" x14ac:dyDescent="0.3"/>
    <row r="43465" s="160" customFormat="1" x14ac:dyDescent="0.3"/>
    <row r="43466" s="160" customFormat="1" x14ac:dyDescent="0.3"/>
    <row r="43467" s="160" customFormat="1" x14ac:dyDescent="0.3"/>
    <row r="43468" s="160" customFormat="1" x14ac:dyDescent="0.3"/>
    <row r="43469" s="160" customFormat="1" x14ac:dyDescent="0.3"/>
    <row r="43470" s="160" customFormat="1" x14ac:dyDescent="0.3"/>
    <row r="43471" s="160" customFormat="1" x14ac:dyDescent="0.3"/>
    <row r="43472" s="160" customFormat="1" x14ac:dyDescent="0.3"/>
    <row r="43473" s="160" customFormat="1" x14ac:dyDescent="0.3"/>
    <row r="43474" s="160" customFormat="1" x14ac:dyDescent="0.3"/>
    <row r="43475" s="160" customFormat="1" x14ac:dyDescent="0.3"/>
    <row r="43476" s="160" customFormat="1" x14ac:dyDescent="0.3"/>
    <row r="43477" s="160" customFormat="1" x14ac:dyDescent="0.3"/>
    <row r="43478" s="160" customFormat="1" x14ac:dyDescent="0.3"/>
    <row r="43479" s="160" customFormat="1" x14ac:dyDescent="0.3"/>
    <row r="43480" s="160" customFormat="1" x14ac:dyDescent="0.3"/>
    <row r="43481" s="160" customFormat="1" x14ac:dyDescent="0.3"/>
    <row r="43482" s="160" customFormat="1" x14ac:dyDescent="0.3"/>
    <row r="43483" s="160" customFormat="1" x14ac:dyDescent="0.3"/>
    <row r="43484" s="160" customFormat="1" x14ac:dyDescent="0.3"/>
    <row r="43485" s="160" customFormat="1" x14ac:dyDescent="0.3"/>
    <row r="43486" s="160" customFormat="1" x14ac:dyDescent="0.3"/>
    <row r="43487" s="160" customFormat="1" x14ac:dyDescent="0.3"/>
    <row r="43488" s="160" customFormat="1" x14ac:dyDescent="0.3"/>
    <row r="43489" s="160" customFormat="1" x14ac:dyDescent="0.3"/>
    <row r="43490" s="160" customFormat="1" x14ac:dyDescent="0.3"/>
    <row r="43491" s="160" customFormat="1" x14ac:dyDescent="0.3"/>
    <row r="43492" s="160" customFormat="1" x14ac:dyDescent="0.3"/>
    <row r="43493" s="160" customFormat="1" x14ac:dyDescent="0.3"/>
    <row r="43494" s="160" customFormat="1" x14ac:dyDescent="0.3"/>
    <row r="43495" s="160" customFormat="1" x14ac:dyDescent="0.3"/>
    <row r="43496" s="160" customFormat="1" x14ac:dyDescent="0.3"/>
    <row r="43497" s="160" customFormat="1" x14ac:dyDescent="0.3"/>
    <row r="43498" s="160" customFormat="1" x14ac:dyDescent="0.3"/>
    <row r="43499" s="160" customFormat="1" x14ac:dyDescent="0.3"/>
    <row r="43500" s="160" customFormat="1" x14ac:dyDescent="0.3"/>
    <row r="43501" s="160" customFormat="1" x14ac:dyDescent="0.3"/>
    <row r="43502" s="160" customFormat="1" x14ac:dyDescent="0.3"/>
    <row r="43503" s="160" customFormat="1" x14ac:dyDescent="0.3"/>
    <row r="43504" s="160" customFormat="1" x14ac:dyDescent="0.3"/>
    <row r="43505" s="160" customFormat="1" x14ac:dyDescent="0.3"/>
    <row r="43506" s="160" customFormat="1" x14ac:dyDescent="0.3"/>
    <row r="43507" s="160" customFormat="1" x14ac:dyDescent="0.3"/>
    <row r="43508" s="160" customFormat="1" x14ac:dyDescent="0.3"/>
    <row r="43509" s="160" customFormat="1" x14ac:dyDescent="0.3"/>
    <row r="43510" s="160" customFormat="1" x14ac:dyDescent="0.3"/>
    <row r="43511" s="160" customFormat="1" x14ac:dyDescent="0.3"/>
    <row r="43512" s="160" customFormat="1" x14ac:dyDescent="0.3"/>
    <row r="43513" s="160" customFormat="1" x14ac:dyDescent="0.3"/>
    <row r="43514" s="160" customFormat="1" x14ac:dyDescent="0.3"/>
    <row r="43515" s="160" customFormat="1" x14ac:dyDescent="0.3"/>
    <row r="43516" s="160" customFormat="1" x14ac:dyDescent="0.3"/>
    <row r="43517" s="160" customFormat="1" x14ac:dyDescent="0.3"/>
    <row r="43518" s="160" customFormat="1" x14ac:dyDescent="0.3"/>
    <row r="43519" s="160" customFormat="1" x14ac:dyDescent="0.3"/>
    <row r="43520" s="160" customFormat="1" x14ac:dyDescent="0.3"/>
    <row r="43521" s="160" customFormat="1" x14ac:dyDescent="0.3"/>
    <row r="43522" s="160" customFormat="1" x14ac:dyDescent="0.3"/>
    <row r="43523" s="160" customFormat="1" x14ac:dyDescent="0.3"/>
    <row r="43524" s="160" customFormat="1" x14ac:dyDescent="0.3"/>
    <row r="43525" s="160" customFormat="1" x14ac:dyDescent="0.3"/>
    <row r="43526" s="160" customFormat="1" x14ac:dyDescent="0.3"/>
    <row r="43527" s="160" customFormat="1" x14ac:dyDescent="0.3"/>
    <row r="43528" s="160" customFormat="1" x14ac:dyDescent="0.3"/>
    <row r="43529" s="160" customFormat="1" x14ac:dyDescent="0.3"/>
    <row r="43530" s="160" customFormat="1" x14ac:dyDescent="0.3"/>
    <row r="43531" s="160" customFormat="1" x14ac:dyDescent="0.3"/>
    <row r="43532" s="160" customFormat="1" x14ac:dyDescent="0.3"/>
    <row r="43533" s="160" customFormat="1" x14ac:dyDescent="0.3"/>
    <row r="43534" s="160" customFormat="1" x14ac:dyDescent="0.3"/>
    <row r="43535" s="160" customFormat="1" x14ac:dyDescent="0.3"/>
    <row r="43536" s="160" customFormat="1" x14ac:dyDescent="0.3"/>
    <row r="43537" s="160" customFormat="1" x14ac:dyDescent="0.3"/>
    <row r="43538" s="160" customFormat="1" x14ac:dyDescent="0.3"/>
    <row r="43539" s="160" customFormat="1" x14ac:dyDescent="0.3"/>
    <row r="43540" s="160" customFormat="1" x14ac:dyDescent="0.3"/>
    <row r="43541" s="160" customFormat="1" x14ac:dyDescent="0.3"/>
    <row r="43542" s="160" customFormat="1" x14ac:dyDescent="0.3"/>
    <row r="43543" s="160" customFormat="1" x14ac:dyDescent="0.3"/>
    <row r="43544" s="160" customFormat="1" x14ac:dyDescent="0.3"/>
    <row r="43545" s="160" customFormat="1" x14ac:dyDescent="0.3"/>
    <row r="43546" s="160" customFormat="1" x14ac:dyDescent="0.3"/>
    <row r="43547" s="160" customFormat="1" x14ac:dyDescent="0.3"/>
    <row r="43548" s="160" customFormat="1" x14ac:dyDescent="0.3"/>
    <row r="43549" s="160" customFormat="1" x14ac:dyDescent="0.3"/>
    <row r="43550" s="160" customFormat="1" x14ac:dyDescent="0.3"/>
    <row r="43551" s="160" customFormat="1" x14ac:dyDescent="0.3"/>
    <row r="43552" s="160" customFormat="1" x14ac:dyDescent="0.3"/>
    <row r="43553" s="160" customFormat="1" x14ac:dyDescent="0.3"/>
    <row r="43554" s="160" customFormat="1" x14ac:dyDescent="0.3"/>
    <row r="43555" s="160" customFormat="1" x14ac:dyDescent="0.3"/>
    <row r="43556" s="160" customFormat="1" x14ac:dyDescent="0.3"/>
    <row r="43557" s="160" customFormat="1" x14ac:dyDescent="0.3"/>
    <row r="43558" s="160" customFormat="1" x14ac:dyDescent="0.3"/>
    <row r="43559" s="160" customFormat="1" x14ac:dyDescent="0.3"/>
    <row r="43560" s="160" customFormat="1" x14ac:dyDescent="0.3"/>
    <row r="43561" s="160" customFormat="1" x14ac:dyDescent="0.3"/>
    <row r="43562" s="160" customFormat="1" x14ac:dyDescent="0.3"/>
    <row r="43563" s="160" customFormat="1" x14ac:dyDescent="0.3"/>
    <row r="43564" s="160" customFormat="1" x14ac:dyDescent="0.3"/>
    <row r="43565" s="160" customFormat="1" x14ac:dyDescent="0.3"/>
    <row r="43566" s="160" customFormat="1" x14ac:dyDescent="0.3"/>
    <row r="43567" s="160" customFormat="1" x14ac:dyDescent="0.3"/>
    <row r="43568" s="160" customFormat="1" x14ac:dyDescent="0.3"/>
    <row r="43569" s="160" customFormat="1" x14ac:dyDescent="0.3"/>
    <row r="43570" s="160" customFormat="1" x14ac:dyDescent="0.3"/>
    <row r="43571" s="160" customFormat="1" x14ac:dyDescent="0.3"/>
    <row r="43572" s="160" customFormat="1" x14ac:dyDescent="0.3"/>
    <row r="43573" s="160" customFormat="1" x14ac:dyDescent="0.3"/>
    <row r="43574" s="160" customFormat="1" x14ac:dyDescent="0.3"/>
    <row r="43575" s="160" customFormat="1" x14ac:dyDescent="0.3"/>
    <row r="43576" s="160" customFormat="1" x14ac:dyDescent="0.3"/>
    <row r="43577" s="160" customFormat="1" x14ac:dyDescent="0.3"/>
    <row r="43578" s="160" customFormat="1" x14ac:dyDescent="0.3"/>
    <row r="43579" s="160" customFormat="1" x14ac:dyDescent="0.3"/>
    <row r="43580" s="160" customFormat="1" x14ac:dyDescent="0.3"/>
    <row r="43581" s="160" customFormat="1" x14ac:dyDescent="0.3"/>
    <row r="43582" s="160" customFormat="1" x14ac:dyDescent="0.3"/>
    <row r="43583" s="160" customFormat="1" x14ac:dyDescent="0.3"/>
    <row r="43584" s="160" customFormat="1" x14ac:dyDescent="0.3"/>
    <row r="43585" s="160" customFormat="1" x14ac:dyDescent="0.3"/>
    <row r="43586" s="160" customFormat="1" x14ac:dyDescent="0.3"/>
    <row r="43587" s="160" customFormat="1" x14ac:dyDescent="0.3"/>
    <row r="43588" s="160" customFormat="1" x14ac:dyDescent="0.3"/>
    <row r="43589" s="160" customFormat="1" x14ac:dyDescent="0.3"/>
    <row r="43590" s="160" customFormat="1" x14ac:dyDescent="0.3"/>
    <row r="43591" s="160" customFormat="1" x14ac:dyDescent="0.3"/>
    <row r="43592" s="160" customFormat="1" x14ac:dyDescent="0.3"/>
    <row r="43593" s="160" customFormat="1" x14ac:dyDescent="0.3"/>
    <row r="43594" s="160" customFormat="1" x14ac:dyDescent="0.3"/>
    <row r="43595" s="160" customFormat="1" x14ac:dyDescent="0.3"/>
    <row r="43596" s="160" customFormat="1" x14ac:dyDescent="0.3"/>
    <row r="43597" s="160" customFormat="1" x14ac:dyDescent="0.3"/>
    <row r="43598" s="160" customFormat="1" x14ac:dyDescent="0.3"/>
    <row r="43599" s="160" customFormat="1" x14ac:dyDescent="0.3"/>
    <row r="43600" s="160" customFormat="1" x14ac:dyDescent="0.3"/>
    <row r="43601" s="160" customFormat="1" x14ac:dyDescent="0.3"/>
    <row r="43602" s="160" customFormat="1" x14ac:dyDescent="0.3"/>
    <row r="43603" s="160" customFormat="1" x14ac:dyDescent="0.3"/>
    <row r="43604" s="160" customFormat="1" x14ac:dyDescent="0.3"/>
    <row r="43605" s="160" customFormat="1" x14ac:dyDescent="0.3"/>
    <row r="43606" s="160" customFormat="1" x14ac:dyDescent="0.3"/>
    <row r="43607" s="160" customFormat="1" x14ac:dyDescent="0.3"/>
    <row r="43608" s="160" customFormat="1" x14ac:dyDescent="0.3"/>
    <row r="43609" s="160" customFormat="1" x14ac:dyDescent="0.3"/>
    <row r="43610" s="160" customFormat="1" x14ac:dyDescent="0.3"/>
    <row r="43611" s="160" customFormat="1" x14ac:dyDescent="0.3"/>
    <row r="43612" s="160" customFormat="1" x14ac:dyDescent="0.3"/>
    <row r="43613" s="160" customFormat="1" x14ac:dyDescent="0.3"/>
    <row r="43614" s="160" customFormat="1" x14ac:dyDescent="0.3"/>
    <row r="43615" s="160" customFormat="1" x14ac:dyDescent="0.3"/>
    <row r="43616" s="160" customFormat="1" x14ac:dyDescent="0.3"/>
    <row r="43617" s="160" customFormat="1" x14ac:dyDescent="0.3"/>
    <row r="43618" s="160" customFormat="1" x14ac:dyDescent="0.3"/>
    <row r="43619" s="160" customFormat="1" x14ac:dyDescent="0.3"/>
    <row r="43620" s="160" customFormat="1" x14ac:dyDescent="0.3"/>
    <row r="43621" s="160" customFormat="1" x14ac:dyDescent="0.3"/>
    <row r="43622" s="160" customFormat="1" x14ac:dyDescent="0.3"/>
    <row r="43623" s="160" customFormat="1" x14ac:dyDescent="0.3"/>
    <row r="43624" s="160" customFormat="1" x14ac:dyDescent="0.3"/>
    <row r="43625" s="160" customFormat="1" x14ac:dyDescent="0.3"/>
    <row r="43626" s="160" customFormat="1" x14ac:dyDescent="0.3"/>
    <row r="43627" s="160" customFormat="1" x14ac:dyDescent="0.3"/>
    <row r="43628" s="160" customFormat="1" x14ac:dyDescent="0.3"/>
    <row r="43629" s="160" customFormat="1" x14ac:dyDescent="0.3"/>
    <row r="43630" s="160" customFormat="1" x14ac:dyDescent="0.3"/>
    <row r="43631" s="160" customFormat="1" x14ac:dyDescent="0.3"/>
    <row r="43632" s="160" customFormat="1" x14ac:dyDescent="0.3"/>
    <row r="43633" s="160" customFormat="1" x14ac:dyDescent="0.3"/>
    <row r="43634" s="160" customFormat="1" x14ac:dyDescent="0.3"/>
    <row r="43635" s="160" customFormat="1" x14ac:dyDescent="0.3"/>
    <row r="43636" s="160" customFormat="1" x14ac:dyDescent="0.3"/>
    <row r="43637" s="160" customFormat="1" x14ac:dyDescent="0.3"/>
    <row r="43638" s="160" customFormat="1" x14ac:dyDescent="0.3"/>
    <row r="43639" s="160" customFormat="1" x14ac:dyDescent="0.3"/>
    <row r="43640" s="160" customFormat="1" x14ac:dyDescent="0.3"/>
    <row r="43641" s="160" customFormat="1" x14ac:dyDescent="0.3"/>
    <row r="43642" s="160" customFormat="1" x14ac:dyDescent="0.3"/>
    <row r="43643" s="160" customFormat="1" x14ac:dyDescent="0.3"/>
    <row r="43644" s="160" customFormat="1" x14ac:dyDescent="0.3"/>
    <row r="43645" s="160" customFormat="1" x14ac:dyDescent="0.3"/>
    <row r="43646" s="160" customFormat="1" x14ac:dyDescent="0.3"/>
    <row r="43647" s="160" customFormat="1" x14ac:dyDescent="0.3"/>
    <row r="43648" s="160" customFormat="1" x14ac:dyDescent="0.3"/>
    <row r="43649" s="160" customFormat="1" x14ac:dyDescent="0.3"/>
    <row r="43650" s="160" customFormat="1" x14ac:dyDescent="0.3"/>
    <row r="43651" s="160" customFormat="1" x14ac:dyDescent="0.3"/>
    <row r="43652" s="160" customFormat="1" x14ac:dyDescent="0.3"/>
    <row r="43653" s="160" customFormat="1" x14ac:dyDescent="0.3"/>
    <row r="43654" s="160" customFormat="1" x14ac:dyDescent="0.3"/>
    <row r="43655" s="160" customFormat="1" x14ac:dyDescent="0.3"/>
    <row r="43656" s="160" customFormat="1" x14ac:dyDescent="0.3"/>
    <row r="43657" s="160" customFormat="1" x14ac:dyDescent="0.3"/>
    <row r="43658" s="160" customFormat="1" x14ac:dyDescent="0.3"/>
    <row r="43659" s="160" customFormat="1" x14ac:dyDescent="0.3"/>
    <row r="43660" s="160" customFormat="1" x14ac:dyDescent="0.3"/>
    <row r="43661" s="160" customFormat="1" x14ac:dyDescent="0.3"/>
    <row r="43662" s="160" customFormat="1" x14ac:dyDescent="0.3"/>
    <row r="43663" s="160" customFormat="1" x14ac:dyDescent="0.3"/>
    <row r="43664" s="160" customFormat="1" x14ac:dyDescent="0.3"/>
    <row r="43665" s="160" customFormat="1" x14ac:dyDescent="0.3"/>
    <row r="43666" s="160" customFormat="1" x14ac:dyDescent="0.3"/>
    <row r="43667" s="160" customFormat="1" x14ac:dyDescent="0.3"/>
    <row r="43668" s="160" customFormat="1" x14ac:dyDescent="0.3"/>
    <row r="43669" s="160" customFormat="1" x14ac:dyDescent="0.3"/>
    <row r="43670" s="160" customFormat="1" x14ac:dyDescent="0.3"/>
    <row r="43671" s="160" customFormat="1" x14ac:dyDescent="0.3"/>
    <row r="43672" s="160" customFormat="1" x14ac:dyDescent="0.3"/>
    <row r="43673" s="160" customFormat="1" x14ac:dyDescent="0.3"/>
    <row r="43674" s="160" customFormat="1" x14ac:dyDescent="0.3"/>
    <row r="43675" s="160" customFormat="1" x14ac:dyDescent="0.3"/>
    <row r="43676" s="160" customFormat="1" x14ac:dyDescent="0.3"/>
    <row r="43677" s="160" customFormat="1" x14ac:dyDescent="0.3"/>
    <row r="43678" s="160" customFormat="1" x14ac:dyDescent="0.3"/>
    <row r="43679" s="160" customFormat="1" x14ac:dyDescent="0.3"/>
    <row r="43680" s="160" customFormat="1" x14ac:dyDescent="0.3"/>
    <row r="43681" s="160" customFormat="1" x14ac:dyDescent="0.3"/>
    <row r="43682" s="160" customFormat="1" x14ac:dyDescent="0.3"/>
    <row r="43683" s="160" customFormat="1" x14ac:dyDescent="0.3"/>
    <row r="43684" s="160" customFormat="1" x14ac:dyDescent="0.3"/>
    <row r="43685" s="160" customFormat="1" x14ac:dyDescent="0.3"/>
    <row r="43686" s="160" customFormat="1" x14ac:dyDescent="0.3"/>
    <row r="43687" s="160" customFormat="1" x14ac:dyDescent="0.3"/>
    <row r="43688" s="160" customFormat="1" x14ac:dyDescent="0.3"/>
    <row r="43689" s="160" customFormat="1" x14ac:dyDescent="0.3"/>
    <row r="43690" s="160" customFormat="1" x14ac:dyDescent="0.3"/>
    <row r="43691" s="160" customFormat="1" x14ac:dyDescent="0.3"/>
    <row r="43692" s="160" customFormat="1" x14ac:dyDescent="0.3"/>
    <row r="43693" s="160" customFormat="1" x14ac:dyDescent="0.3"/>
    <row r="43694" s="160" customFormat="1" x14ac:dyDescent="0.3"/>
    <row r="43695" s="160" customFormat="1" x14ac:dyDescent="0.3"/>
    <row r="43696" s="160" customFormat="1" x14ac:dyDescent="0.3"/>
    <row r="43697" s="160" customFormat="1" x14ac:dyDescent="0.3"/>
    <row r="43698" s="160" customFormat="1" x14ac:dyDescent="0.3"/>
    <row r="43699" s="160" customFormat="1" x14ac:dyDescent="0.3"/>
    <row r="43700" s="160" customFormat="1" x14ac:dyDescent="0.3"/>
    <row r="43701" s="160" customFormat="1" x14ac:dyDescent="0.3"/>
    <row r="43702" s="160" customFormat="1" x14ac:dyDescent="0.3"/>
    <row r="43703" s="160" customFormat="1" x14ac:dyDescent="0.3"/>
    <row r="43704" s="160" customFormat="1" x14ac:dyDescent="0.3"/>
    <row r="43705" s="160" customFormat="1" x14ac:dyDescent="0.3"/>
    <row r="43706" s="160" customFormat="1" x14ac:dyDescent="0.3"/>
    <row r="43707" s="160" customFormat="1" x14ac:dyDescent="0.3"/>
    <row r="43708" s="160" customFormat="1" x14ac:dyDescent="0.3"/>
    <row r="43709" s="160" customFormat="1" x14ac:dyDescent="0.3"/>
    <row r="43710" s="160" customFormat="1" x14ac:dyDescent="0.3"/>
    <row r="43711" s="160" customFormat="1" x14ac:dyDescent="0.3"/>
    <row r="43712" s="160" customFormat="1" x14ac:dyDescent="0.3"/>
    <row r="43713" s="160" customFormat="1" x14ac:dyDescent="0.3"/>
    <row r="43714" s="160" customFormat="1" x14ac:dyDescent="0.3"/>
    <row r="43715" s="160" customFormat="1" x14ac:dyDescent="0.3"/>
    <row r="43716" s="160" customFormat="1" x14ac:dyDescent="0.3"/>
    <row r="43717" s="160" customFormat="1" x14ac:dyDescent="0.3"/>
    <row r="43718" s="160" customFormat="1" x14ac:dyDescent="0.3"/>
    <row r="43719" s="160" customFormat="1" x14ac:dyDescent="0.3"/>
    <row r="43720" s="160" customFormat="1" x14ac:dyDescent="0.3"/>
    <row r="43721" s="160" customFormat="1" x14ac:dyDescent="0.3"/>
    <row r="43722" s="160" customFormat="1" x14ac:dyDescent="0.3"/>
    <row r="43723" s="160" customFormat="1" x14ac:dyDescent="0.3"/>
    <row r="43724" s="160" customFormat="1" x14ac:dyDescent="0.3"/>
    <row r="43725" s="160" customFormat="1" x14ac:dyDescent="0.3"/>
    <row r="43726" s="160" customFormat="1" x14ac:dyDescent="0.3"/>
    <row r="43727" s="160" customFormat="1" x14ac:dyDescent="0.3"/>
    <row r="43728" s="160" customFormat="1" x14ac:dyDescent="0.3"/>
    <row r="43729" s="160" customFormat="1" x14ac:dyDescent="0.3"/>
    <row r="43730" s="160" customFormat="1" x14ac:dyDescent="0.3"/>
    <row r="43731" s="160" customFormat="1" x14ac:dyDescent="0.3"/>
    <row r="43732" s="160" customFormat="1" x14ac:dyDescent="0.3"/>
    <row r="43733" s="160" customFormat="1" x14ac:dyDescent="0.3"/>
    <row r="43734" s="160" customFormat="1" x14ac:dyDescent="0.3"/>
    <row r="43735" s="160" customFormat="1" x14ac:dyDescent="0.3"/>
    <row r="43736" s="160" customFormat="1" x14ac:dyDescent="0.3"/>
    <row r="43737" s="160" customFormat="1" x14ac:dyDescent="0.3"/>
    <row r="43738" s="160" customFormat="1" x14ac:dyDescent="0.3"/>
    <row r="43739" s="160" customFormat="1" x14ac:dyDescent="0.3"/>
    <row r="43740" s="160" customFormat="1" x14ac:dyDescent="0.3"/>
    <row r="43741" s="160" customFormat="1" x14ac:dyDescent="0.3"/>
    <row r="43742" s="160" customFormat="1" x14ac:dyDescent="0.3"/>
    <row r="43743" s="160" customFormat="1" x14ac:dyDescent="0.3"/>
    <row r="43744" s="160" customFormat="1" x14ac:dyDescent="0.3"/>
    <row r="43745" s="160" customFormat="1" x14ac:dyDescent="0.3"/>
    <row r="43746" s="160" customFormat="1" x14ac:dyDescent="0.3"/>
    <row r="43747" s="160" customFormat="1" x14ac:dyDescent="0.3"/>
    <row r="43748" s="160" customFormat="1" x14ac:dyDescent="0.3"/>
    <row r="43749" s="160" customFormat="1" x14ac:dyDescent="0.3"/>
    <row r="43750" s="160" customFormat="1" x14ac:dyDescent="0.3"/>
    <row r="43751" s="160" customFormat="1" x14ac:dyDescent="0.3"/>
    <row r="43752" s="160" customFormat="1" x14ac:dyDescent="0.3"/>
    <row r="43753" s="160" customFormat="1" x14ac:dyDescent="0.3"/>
    <row r="43754" s="160" customFormat="1" x14ac:dyDescent="0.3"/>
    <row r="43755" s="160" customFormat="1" x14ac:dyDescent="0.3"/>
    <row r="43756" s="160" customFormat="1" x14ac:dyDescent="0.3"/>
    <row r="43757" s="160" customFormat="1" x14ac:dyDescent="0.3"/>
    <row r="43758" s="160" customFormat="1" x14ac:dyDescent="0.3"/>
    <row r="43759" s="160" customFormat="1" x14ac:dyDescent="0.3"/>
    <row r="43760" s="160" customFormat="1" x14ac:dyDescent="0.3"/>
    <row r="43761" s="160" customFormat="1" x14ac:dyDescent="0.3"/>
    <row r="43762" s="160" customFormat="1" x14ac:dyDescent="0.3"/>
    <row r="43763" s="160" customFormat="1" x14ac:dyDescent="0.3"/>
    <row r="43764" s="160" customFormat="1" x14ac:dyDescent="0.3"/>
    <row r="43765" s="160" customFormat="1" x14ac:dyDescent="0.3"/>
    <row r="43766" s="160" customFormat="1" x14ac:dyDescent="0.3"/>
    <row r="43767" s="160" customFormat="1" x14ac:dyDescent="0.3"/>
    <row r="43768" s="160" customFormat="1" x14ac:dyDescent="0.3"/>
    <row r="43769" s="160" customFormat="1" x14ac:dyDescent="0.3"/>
    <row r="43770" s="160" customFormat="1" x14ac:dyDescent="0.3"/>
    <row r="43771" s="160" customFormat="1" x14ac:dyDescent="0.3"/>
    <row r="43772" s="160" customFormat="1" x14ac:dyDescent="0.3"/>
    <row r="43773" s="160" customFormat="1" x14ac:dyDescent="0.3"/>
    <row r="43774" s="160" customFormat="1" x14ac:dyDescent="0.3"/>
    <row r="43775" s="160" customFormat="1" x14ac:dyDescent="0.3"/>
    <row r="43776" s="160" customFormat="1" x14ac:dyDescent="0.3"/>
    <row r="43777" s="160" customFormat="1" x14ac:dyDescent="0.3"/>
    <row r="43778" s="160" customFormat="1" x14ac:dyDescent="0.3"/>
    <row r="43779" s="160" customFormat="1" x14ac:dyDescent="0.3"/>
    <row r="43780" s="160" customFormat="1" x14ac:dyDescent="0.3"/>
    <row r="43781" s="160" customFormat="1" x14ac:dyDescent="0.3"/>
    <row r="43782" s="160" customFormat="1" x14ac:dyDescent="0.3"/>
    <row r="43783" s="160" customFormat="1" x14ac:dyDescent="0.3"/>
    <row r="43784" s="160" customFormat="1" x14ac:dyDescent="0.3"/>
    <row r="43785" s="160" customFormat="1" x14ac:dyDescent="0.3"/>
    <row r="43786" s="160" customFormat="1" x14ac:dyDescent="0.3"/>
    <row r="43787" s="160" customFormat="1" x14ac:dyDescent="0.3"/>
    <row r="43788" s="160" customFormat="1" x14ac:dyDescent="0.3"/>
    <row r="43789" s="160" customFormat="1" x14ac:dyDescent="0.3"/>
    <row r="43790" s="160" customFormat="1" x14ac:dyDescent="0.3"/>
    <row r="43791" s="160" customFormat="1" x14ac:dyDescent="0.3"/>
    <row r="43792" s="160" customFormat="1" x14ac:dyDescent="0.3"/>
    <row r="43793" s="160" customFormat="1" x14ac:dyDescent="0.3"/>
    <row r="43794" s="160" customFormat="1" x14ac:dyDescent="0.3"/>
    <row r="43795" s="160" customFormat="1" x14ac:dyDescent="0.3"/>
    <row r="43796" s="160" customFormat="1" x14ac:dyDescent="0.3"/>
    <row r="43797" s="160" customFormat="1" x14ac:dyDescent="0.3"/>
    <row r="43798" s="160" customFormat="1" x14ac:dyDescent="0.3"/>
    <row r="43799" s="160" customFormat="1" x14ac:dyDescent="0.3"/>
    <row r="43800" s="160" customFormat="1" x14ac:dyDescent="0.3"/>
    <row r="43801" s="160" customFormat="1" x14ac:dyDescent="0.3"/>
    <row r="43802" s="160" customFormat="1" x14ac:dyDescent="0.3"/>
    <row r="43803" s="160" customFormat="1" x14ac:dyDescent="0.3"/>
    <row r="43804" s="160" customFormat="1" x14ac:dyDescent="0.3"/>
    <row r="43805" s="160" customFormat="1" x14ac:dyDescent="0.3"/>
    <row r="43806" s="160" customFormat="1" x14ac:dyDescent="0.3"/>
    <row r="43807" s="160" customFormat="1" x14ac:dyDescent="0.3"/>
    <row r="43808" s="160" customFormat="1" x14ac:dyDescent="0.3"/>
    <row r="43809" s="160" customFormat="1" x14ac:dyDescent="0.3"/>
    <row r="43810" s="160" customFormat="1" x14ac:dyDescent="0.3"/>
    <row r="43811" s="160" customFormat="1" x14ac:dyDescent="0.3"/>
    <row r="43812" s="160" customFormat="1" x14ac:dyDescent="0.3"/>
    <row r="43813" s="160" customFormat="1" x14ac:dyDescent="0.3"/>
    <row r="43814" s="160" customFormat="1" x14ac:dyDescent="0.3"/>
    <row r="43815" s="160" customFormat="1" x14ac:dyDescent="0.3"/>
    <row r="43816" s="160" customFormat="1" x14ac:dyDescent="0.3"/>
    <row r="43817" s="160" customFormat="1" x14ac:dyDescent="0.3"/>
    <row r="43818" s="160" customFormat="1" x14ac:dyDescent="0.3"/>
    <row r="43819" s="160" customFormat="1" x14ac:dyDescent="0.3"/>
    <row r="43820" s="160" customFormat="1" x14ac:dyDescent="0.3"/>
    <row r="43821" s="160" customFormat="1" x14ac:dyDescent="0.3"/>
    <row r="43822" s="160" customFormat="1" x14ac:dyDescent="0.3"/>
    <row r="43823" s="160" customFormat="1" x14ac:dyDescent="0.3"/>
    <row r="43824" s="160" customFormat="1" x14ac:dyDescent="0.3"/>
    <row r="43825" s="160" customFormat="1" x14ac:dyDescent="0.3"/>
    <row r="43826" s="160" customFormat="1" x14ac:dyDescent="0.3"/>
    <row r="43827" s="160" customFormat="1" x14ac:dyDescent="0.3"/>
    <row r="43828" s="160" customFormat="1" x14ac:dyDescent="0.3"/>
    <row r="43829" s="160" customFormat="1" x14ac:dyDescent="0.3"/>
    <row r="43830" s="160" customFormat="1" x14ac:dyDescent="0.3"/>
    <row r="43831" s="160" customFormat="1" x14ac:dyDescent="0.3"/>
    <row r="43832" s="160" customFormat="1" x14ac:dyDescent="0.3"/>
    <row r="43833" s="160" customFormat="1" x14ac:dyDescent="0.3"/>
    <row r="43834" s="160" customFormat="1" x14ac:dyDescent="0.3"/>
    <row r="43835" s="160" customFormat="1" x14ac:dyDescent="0.3"/>
    <row r="43836" s="160" customFormat="1" x14ac:dyDescent="0.3"/>
    <row r="43837" s="160" customFormat="1" x14ac:dyDescent="0.3"/>
    <row r="43838" s="160" customFormat="1" x14ac:dyDescent="0.3"/>
    <row r="43839" s="160" customFormat="1" x14ac:dyDescent="0.3"/>
    <row r="43840" s="160" customFormat="1" x14ac:dyDescent="0.3"/>
    <row r="43841" s="160" customFormat="1" x14ac:dyDescent="0.3"/>
    <row r="43842" s="160" customFormat="1" x14ac:dyDescent="0.3"/>
    <row r="43843" s="160" customFormat="1" x14ac:dyDescent="0.3"/>
    <row r="43844" s="160" customFormat="1" x14ac:dyDescent="0.3"/>
    <row r="43845" s="160" customFormat="1" x14ac:dyDescent="0.3"/>
    <row r="43846" s="160" customFormat="1" x14ac:dyDescent="0.3"/>
    <row r="43847" s="160" customFormat="1" x14ac:dyDescent="0.3"/>
    <row r="43848" s="160" customFormat="1" x14ac:dyDescent="0.3"/>
    <row r="43849" s="160" customFormat="1" x14ac:dyDescent="0.3"/>
    <row r="43850" s="160" customFormat="1" x14ac:dyDescent="0.3"/>
    <row r="43851" s="160" customFormat="1" x14ac:dyDescent="0.3"/>
    <row r="43852" s="160" customFormat="1" x14ac:dyDescent="0.3"/>
    <row r="43853" s="160" customFormat="1" x14ac:dyDescent="0.3"/>
    <row r="43854" s="160" customFormat="1" x14ac:dyDescent="0.3"/>
    <row r="43855" s="160" customFormat="1" x14ac:dyDescent="0.3"/>
    <row r="43856" s="160" customFormat="1" x14ac:dyDescent="0.3"/>
    <row r="43857" s="160" customFormat="1" x14ac:dyDescent="0.3"/>
    <row r="43858" s="160" customFormat="1" x14ac:dyDescent="0.3"/>
    <row r="43859" s="160" customFormat="1" x14ac:dyDescent="0.3"/>
    <row r="43860" s="160" customFormat="1" x14ac:dyDescent="0.3"/>
    <row r="43861" s="160" customFormat="1" x14ac:dyDescent="0.3"/>
    <row r="43862" s="160" customFormat="1" x14ac:dyDescent="0.3"/>
    <row r="43863" s="160" customFormat="1" x14ac:dyDescent="0.3"/>
    <row r="43864" s="160" customFormat="1" x14ac:dyDescent="0.3"/>
    <row r="43865" s="160" customFormat="1" x14ac:dyDescent="0.3"/>
    <row r="43866" s="160" customFormat="1" x14ac:dyDescent="0.3"/>
    <row r="43867" s="160" customFormat="1" x14ac:dyDescent="0.3"/>
    <row r="43868" s="160" customFormat="1" x14ac:dyDescent="0.3"/>
    <row r="43869" s="160" customFormat="1" x14ac:dyDescent="0.3"/>
    <row r="43870" s="160" customFormat="1" x14ac:dyDescent="0.3"/>
    <row r="43871" s="160" customFormat="1" x14ac:dyDescent="0.3"/>
    <row r="43872" s="160" customFormat="1" x14ac:dyDescent="0.3"/>
    <row r="43873" s="160" customFormat="1" x14ac:dyDescent="0.3"/>
    <row r="43874" s="160" customFormat="1" x14ac:dyDescent="0.3"/>
    <row r="43875" s="160" customFormat="1" x14ac:dyDescent="0.3"/>
    <row r="43876" s="160" customFormat="1" x14ac:dyDescent="0.3"/>
    <row r="43877" s="160" customFormat="1" x14ac:dyDescent="0.3"/>
    <row r="43878" s="160" customFormat="1" x14ac:dyDescent="0.3"/>
    <row r="43879" s="160" customFormat="1" x14ac:dyDescent="0.3"/>
    <row r="43880" s="160" customFormat="1" x14ac:dyDescent="0.3"/>
    <row r="43881" s="160" customFormat="1" x14ac:dyDescent="0.3"/>
    <row r="43882" s="160" customFormat="1" x14ac:dyDescent="0.3"/>
    <row r="43883" s="160" customFormat="1" x14ac:dyDescent="0.3"/>
    <row r="43884" s="160" customFormat="1" x14ac:dyDescent="0.3"/>
    <row r="43885" s="160" customFormat="1" x14ac:dyDescent="0.3"/>
    <row r="43886" s="160" customFormat="1" x14ac:dyDescent="0.3"/>
    <row r="43887" s="160" customFormat="1" x14ac:dyDescent="0.3"/>
    <row r="43888" s="160" customFormat="1" x14ac:dyDescent="0.3"/>
    <row r="43889" s="160" customFormat="1" x14ac:dyDescent="0.3"/>
    <row r="43890" s="160" customFormat="1" x14ac:dyDescent="0.3"/>
    <row r="43891" s="160" customFormat="1" x14ac:dyDescent="0.3"/>
    <row r="43892" s="160" customFormat="1" x14ac:dyDescent="0.3"/>
    <row r="43893" s="160" customFormat="1" x14ac:dyDescent="0.3"/>
    <row r="43894" s="160" customFormat="1" x14ac:dyDescent="0.3"/>
    <row r="43895" s="160" customFormat="1" x14ac:dyDescent="0.3"/>
    <row r="43896" s="160" customFormat="1" x14ac:dyDescent="0.3"/>
    <row r="43897" s="160" customFormat="1" x14ac:dyDescent="0.3"/>
    <row r="43898" s="160" customFormat="1" x14ac:dyDescent="0.3"/>
    <row r="43899" s="160" customFormat="1" x14ac:dyDescent="0.3"/>
    <row r="43900" s="160" customFormat="1" x14ac:dyDescent="0.3"/>
    <row r="43901" s="160" customFormat="1" x14ac:dyDescent="0.3"/>
    <row r="43902" s="160" customFormat="1" x14ac:dyDescent="0.3"/>
    <row r="43903" s="160" customFormat="1" x14ac:dyDescent="0.3"/>
    <row r="43904" s="160" customFormat="1" x14ac:dyDescent="0.3"/>
    <row r="43905" s="160" customFormat="1" x14ac:dyDescent="0.3"/>
    <row r="43906" s="160" customFormat="1" x14ac:dyDescent="0.3"/>
    <row r="43907" s="160" customFormat="1" x14ac:dyDescent="0.3"/>
    <row r="43908" s="160" customFormat="1" x14ac:dyDescent="0.3"/>
    <row r="43909" s="160" customFormat="1" x14ac:dyDescent="0.3"/>
    <row r="43910" s="160" customFormat="1" x14ac:dyDescent="0.3"/>
    <row r="43911" s="160" customFormat="1" x14ac:dyDescent="0.3"/>
    <row r="43912" s="160" customFormat="1" x14ac:dyDescent="0.3"/>
    <row r="43913" s="160" customFormat="1" x14ac:dyDescent="0.3"/>
    <row r="43914" s="160" customFormat="1" x14ac:dyDescent="0.3"/>
    <row r="43915" s="160" customFormat="1" x14ac:dyDescent="0.3"/>
    <row r="43916" s="160" customFormat="1" x14ac:dyDescent="0.3"/>
    <row r="43917" s="160" customFormat="1" x14ac:dyDescent="0.3"/>
    <row r="43918" s="160" customFormat="1" x14ac:dyDescent="0.3"/>
    <row r="43919" s="160" customFormat="1" x14ac:dyDescent="0.3"/>
    <row r="43920" s="160" customFormat="1" x14ac:dyDescent="0.3"/>
    <row r="43921" s="160" customFormat="1" x14ac:dyDescent="0.3"/>
    <row r="43922" s="160" customFormat="1" x14ac:dyDescent="0.3"/>
    <row r="43923" s="160" customFormat="1" x14ac:dyDescent="0.3"/>
    <row r="43924" s="160" customFormat="1" x14ac:dyDescent="0.3"/>
    <row r="43925" s="160" customFormat="1" x14ac:dyDescent="0.3"/>
    <row r="43926" s="160" customFormat="1" x14ac:dyDescent="0.3"/>
    <row r="43927" s="160" customFormat="1" x14ac:dyDescent="0.3"/>
    <row r="43928" s="160" customFormat="1" x14ac:dyDescent="0.3"/>
    <row r="43929" s="160" customFormat="1" x14ac:dyDescent="0.3"/>
    <row r="43930" s="160" customFormat="1" x14ac:dyDescent="0.3"/>
    <row r="43931" s="160" customFormat="1" x14ac:dyDescent="0.3"/>
    <row r="43932" s="160" customFormat="1" x14ac:dyDescent="0.3"/>
    <row r="43933" s="160" customFormat="1" x14ac:dyDescent="0.3"/>
    <row r="43934" s="160" customFormat="1" x14ac:dyDescent="0.3"/>
    <row r="43935" s="160" customFormat="1" x14ac:dyDescent="0.3"/>
    <row r="43936" s="160" customFormat="1" x14ac:dyDescent="0.3"/>
    <row r="43937" s="160" customFormat="1" x14ac:dyDescent="0.3"/>
    <row r="43938" s="160" customFormat="1" x14ac:dyDescent="0.3"/>
    <row r="43939" s="160" customFormat="1" x14ac:dyDescent="0.3"/>
    <row r="43940" s="160" customFormat="1" x14ac:dyDescent="0.3"/>
    <row r="43941" s="160" customFormat="1" x14ac:dyDescent="0.3"/>
    <row r="43942" s="160" customFormat="1" x14ac:dyDescent="0.3"/>
    <row r="43943" s="160" customFormat="1" x14ac:dyDescent="0.3"/>
    <row r="43944" s="160" customFormat="1" x14ac:dyDescent="0.3"/>
    <row r="43945" s="160" customFormat="1" x14ac:dyDescent="0.3"/>
    <row r="43946" s="160" customFormat="1" x14ac:dyDescent="0.3"/>
    <row r="43947" s="160" customFormat="1" x14ac:dyDescent="0.3"/>
    <row r="43948" s="160" customFormat="1" x14ac:dyDescent="0.3"/>
    <row r="43949" s="160" customFormat="1" x14ac:dyDescent="0.3"/>
    <row r="43950" s="160" customFormat="1" x14ac:dyDescent="0.3"/>
    <row r="43951" s="160" customFormat="1" x14ac:dyDescent="0.3"/>
    <row r="43952" s="160" customFormat="1" x14ac:dyDescent="0.3"/>
    <row r="43953" s="160" customFormat="1" x14ac:dyDescent="0.3"/>
    <row r="43954" s="160" customFormat="1" x14ac:dyDescent="0.3"/>
    <row r="43955" s="160" customFormat="1" x14ac:dyDescent="0.3"/>
    <row r="43956" s="160" customFormat="1" x14ac:dyDescent="0.3"/>
    <row r="43957" s="160" customFormat="1" x14ac:dyDescent="0.3"/>
    <row r="43958" s="160" customFormat="1" x14ac:dyDescent="0.3"/>
    <row r="43959" s="160" customFormat="1" x14ac:dyDescent="0.3"/>
    <row r="43960" s="160" customFormat="1" x14ac:dyDescent="0.3"/>
    <row r="43961" s="160" customFormat="1" x14ac:dyDescent="0.3"/>
    <row r="43962" s="160" customFormat="1" x14ac:dyDescent="0.3"/>
    <row r="43963" s="160" customFormat="1" x14ac:dyDescent="0.3"/>
    <row r="43964" s="160" customFormat="1" x14ac:dyDescent="0.3"/>
    <row r="43965" s="160" customFormat="1" x14ac:dyDescent="0.3"/>
    <row r="43966" s="160" customFormat="1" x14ac:dyDescent="0.3"/>
    <row r="43967" s="160" customFormat="1" x14ac:dyDescent="0.3"/>
    <row r="43968" s="160" customFormat="1" x14ac:dyDescent="0.3"/>
    <row r="43969" s="160" customFormat="1" x14ac:dyDescent="0.3"/>
    <row r="43970" s="160" customFormat="1" x14ac:dyDescent="0.3"/>
    <row r="43971" s="160" customFormat="1" x14ac:dyDescent="0.3"/>
    <row r="43972" s="160" customFormat="1" x14ac:dyDescent="0.3"/>
    <row r="43973" s="160" customFormat="1" x14ac:dyDescent="0.3"/>
    <row r="43974" s="160" customFormat="1" x14ac:dyDescent="0.3"/>
    <row r="43975" s="160" customFormat="1" x14ac:dyDescent="0.3"/>
    <row r="43976" s="160" customFormat="1" x14ac:dyDescent="0.3"/>
    <row r="43977" s="160" customFormat="1" x14ac:dyDescent="0.3"/>
    <row r="43978" s="160" customFormat="1" x14ac:dyDescent="0.3"/>
    <row r="43979" s="160" customFormat="1" x14ac:dyDescent="0.3"/>
    <row r="43980" s="160" customFormat="1" x14ac:dyDescent="0.3"/>
    <row r="43981" s="160" customFormat="1" x14ac:dyDescent="0.3"/>
    <row r="43982" s="160" customFormat="1" x14ac:dyDescent="0.3"/>
    <row r="43983" s="160" customFormat="1" x14ac:dyDescent="0.3"/>
    <row r="43984" s="160" customFormat="1" x14ac:dyDescent="0.3"/>
    <row r="43985" s="160" customFormat="1" x14ac:dyDescent="0.3"/>
    <row r="43986" s="160" customFormat="1" x14ac:dyDescent="0.3"/>
    <row r="43987" s="160" customFormat="1" x14ac:dyDescent="0.3"/>
    <row r="43988" s="160" customFormat="1" x14ac:dyDescent="0.3"/>
    <row r="43989" s="160" customFormat="1" x14ac:dyDescent="0.3"/>
    <row r="43990" s="160" customFormat="1" x14ac:dyDescent="0.3"/>
    <row r="43991" s="160" customFormat="1" x14ac:dyDescent="0.3"/>
    <row r="43992" s="160" customFormat="1" x14ac:dyDescent="0.3"/>
    <row r="43993" s="160" customFormat="1" x14ac:dyDescent="0.3"/>
    <row r="43994" s="160" customFormat="1" x14ac:dyDescent="0.3"/>
    <row r="43995" s="160" customFormat="1" x14ac:dyDescent="0.3"/>
    <row r="43996" s="160" customFormat="1" x14ac:dyDescent="0.3"/>
    <row r="43997" s="160" customFormat="1" x14ac:dyDescent="0.3"/>
    <row r="43998" s="160" customFormat="1" x14ac:dyDescent="0.3"/>
    <row r="43999" s="160" customFormat="1" x14ac:dyDescent="0.3"/>
    <row r="44000" s="160" customFormat="1" x14ac:dyDescent="0.3"/>
    <row r="44001" s="160" customFormat="1" x14ac:dyDescent="0.3"/>
    <row r="44002" s="160" customFormat="1" x14ac:dyDescent="0.3"/>
    <row r="44003" s="160" customFormat="1" x14ac:dyDescent="0.3"/>
    <row r="44004" s="160" customFormat="1" x14ac:dyDescent="0.3"/>
    <row r="44005" s="160" customFormat="1" x14ac:dyDescent="0.3"/>
    <row r="44006" s="160" customFormat="1" x14ac:dyDescent="0.3"/>
    <row r="44007" s="160" customFormat="1" x14ac:dyDescent="0.3"/>
    <row r="44008" s="160" customFormat="1" x14ac:dyDescent="0.3"/>
    <row r="44009" s="160" customFormat="1" x14ac:dyDescent="0.3"/>
    <row r="44010" s="160" customFormat="1" x14ac:dyDescent="0.3"/>
    <row r="44011" s="160" customFormat="1" x14ac:dyDescent="0.3"/>
    <row r="44012" s="160" customFormat="1" x14ac:dyDescent="0.3"/>
    <row r="44013" s="160" customFormat="1" x14ac:dyDescent="0.3"/>
    <row r="44014" s="160" customFormat="1" x14ac:dyDescent="0.3"/>
    <row r="44015" s="160" customFormat="1" x14ac:dyDescent="0.3"/>
    <row r="44016" s="160" customFormat="1" x14ac:dyDescent="0.3"/>
    <row r="44017" s="160" customFormat="1" x14ac:dyDescent="0.3"/>
    <row r="44018" s="160" customFormat="1" x14ac:dyDescent="0.3"/>
    <row r="44019" s="160" customFormat="1" x14ac:dyDescent="0.3"/>
    <row r="44020" s="160" customFormat="1" x14ac:dyDescent="0.3"/>
    <row r="44021" s="160" customFormat="1" x14ac:dyDescent="0.3"/>
    <row r="44022" s="160" customFormat="1" x14ac:dyDescent="0.3"/>
    <row r="44023" s="160" customFormat="1" x14ac:dyDescent="0.3"/>
    <row r="44024" s="160" customFormat="1" x14ac:dyDescent="0.3"/>
    <row r="44025" s="160" customFormat="1" x14ac:dyDescent="0.3"/>
    <row r="44026" s="160" customFormat="1" x14ac:dyDescent="0.3"/>
    <row r="44027" s="160" customFormat="1" x14ac:dyDescent="0.3"/>
    <row r="44028" s="160" customFormat="1" x14ac:dyDescent="0.3"/>
    <row r="44029" s="160" customFormat="1" x14ac:dyDescent="0.3"/>
    <row r="44030" s="160" customFormat="1" x14ac:dyDescent="0.3"/>
    <row r="44031" s="160" customFormat="1" x14ac:dyDescent="0.3"/>
    <row r="44032" s="160" customFormat="1" x14ac:dyDescent="0.3"/>
    <row r="44033" s="160" customFormat="1" x14ac:dyDescent="0.3"/>
    <row r="44034" s="160" customFormat="1" x14ac:dyDescent="0.3"/>
    <row r="44035" s="160" customFormat="1" x14ac:dyDescent="0.3"/>
    <row r="44036" s="160" customFormat="1" x14ac:dyDescent="0.3"/>
    <row r="44037" s="160" customFormat="1" x14ac:dyDescent="0.3"/>
    <row r="44038" s="160" customFormat="1" x14ac:dyDescent="0.3"/>
    <row r="44039" s="160" customFormat="1" x14ac:dyDescent="0.3"/>
    <row r="44040" s="160" customFormat="1" x14ac:dyDescent="0.3"/>
    <row r="44041" s="160" customFormat="1" x14ac:dyDescent="0.3"/>
    <row r="44042" s="160" customFormat="1" x14ac:dyDescent="0.3"/>
    <row r="44043" s="160" customFormat="1" x14ac:dyDescent="0.3"/>
    <row r="44044" s="160" customFormat="1" x14ac:dyDescent="0.3"/>
    <row r="44045" s="160" customFormat="1" x14ac:dyDescent="0.3"/>
    <row r="44046" s="160" customFormat="1" x14ac:dyDescent="0.3"/>
    <row r="44047" s="160" customFormat="1" x14ac:dyDescent="0.3"/>
    <row r="44048" s="160" customFormat="1" x14ac:dyDescent="0.3"/>
    <row r="44049" s="160" customFormat="1" x14ac:dyDescent="0.3"/>
    <row r="44050" s="160" customFormat="1" x14ac:dyDescent="0.3"/>
    <row r="44051" s="160" customFormat="1" x14ac:dyDescent="0.3"/>
    <row r="44052" s="160" customFormat="1" x14ac:dyDescent="0.3"/>
    <row r="44053" s="160" customFormat="1" x14ac:dyDescent="0.3"/>
    <row r="44054" s="160" customFormat="1" x14ac:dyDescent="0.3"/>
    <row r="44055" s="160" customFormat="1" x14ac:dyDescent="0.3"/>
    <row r="44056" s="160" customFormat="1" x14ac:dyDescent="0.3"/>
    <row r="44057" s="160" customFormat="1" x14ac:dyDescent="0.3"/>
    <row r="44058" s="160" customFormat="1" x14ac:dyDescent="0.3"/>
    <row r="44059" s="160" customFormat="1" x14ac:dyDescent="0.3"/>
    <row r="44060" s="160" customFormat="1" x14ac:dyDescent="0.3"/>
    <row r="44061" s="160" customFormat="1" x14ac:dyDescent="0.3"/>
    <row r="44062" s="160" customFormat="1" x14ac:dyDescent="0.3"/>
    <row r="44063" s="160" customFormat="1" x14ac:dyDescent="0.3"/>
    <row r="44064" s="160" customFormat="1" x14ac:dyDescent="0.3"/>
    <row r="44065" s="160" customFormat="1" x14ac:dyDescent="0.3"/>
    <row r="44066" s="160" customFormat="1" x14ac:dyDescent="0.3"/>
    <row r="44067" s="160" customFormat="1" x14ac:dyDescent="0.3"/>
    <row r="44068" s="160" customFormat="1" x14ac:dyDescent="0.3"/>
    <row r="44069" s="160" customFormat="1" x14ac:dyDescent="0.3"/>
    <row r="44070" s="160" customFormat="1" x14ac:dyDescent="0.3"/>
    <row r="44071" s="160" customFormat="1" x14ac:dyDescent="0.3"/>
    <row r="44072" s="160" customFormat="1" x14ac:dyDescent="0.3"/>
    <row r="44073" s="160" customFormat="1" x14ac:dyDescent="0.3"/>
    <row r="44074" s="160" customFormat="1" x14ac:dyDescent="0.3"/>
    <row r="44075" s="160" customFormat="1" x14ac:dyDescent="0.3"/>
    <row r="44076" s="160" customFormat="1" x14ac:dyDescent="0.3"/>
    <row r="44077" s="160" customFormat="1" x14ac:dyDescent="0.3"/>
    <row r="44078" s="160" customFormat="1" x14ac:dyDescent="0.3"/>
    <row r="44079" s="160" customFormat="1" x14ac:dyDescent="0.3"/>
    <row r="44080" s="160" customFormat="1" x14ac:dyDescent="0.3"/>
    <row r="44081" s="160" customFormat="1" x14ac:dyDescent="0.3"/>
    <row r="44082" s="160" customFormat="1" x14ac:dyDescent="0.3"/>
    <row r="44083" s="160" customFormat="1" x14ac:dyDescent="0.3"/>
    <row r="44084" s="160" customFormat="1" x14ac:dyDescent="0.3"/>
    <row r="44085" s="160" customFormat="1" x14ac:dyDescent="0.3"/>
    <row r="44086" s="160" customFormat="1" x14ac:dyDescent="0.3"/>
    <row r="44087" s="160" customFormat="1" x14ac:dyDescent="0.3"/>
    <row r="44088" s="160" customFormat="1" x14ac:dyDescent="0.3"/>
    <row r="44089" s="160" customFormat="1" x14ac:dyDescent="0.3"/>
    <row r="44090" s="160" customFormat="1" x14ac:dyDescent="0.3"/>
    <row r="44091" s="160" customFormat="1" x14ac:dyDescent="0.3"/>
    <row r="44092" s="160" customFormat="1" x14ac:dyDescent="0.3"/>
    <row r="44093" s="160" customFormat="1" x14ac:dyDescent="0.3"/>
    <row r="44094" s="160" customFormat="1" x14ac:dyDescent="0.3"/>
    <row r="44095" s="160" customFormat="1" x14ac:dyDescent="0.3"/>
    <row r="44096" s="160" customFormat="1" x14ac:dyDescent="0.3"/>
    <row r="44097" s="160" customFormat="1" x14ac:dyDescent="0.3"/>
    <row r="44098" s="160" customFormat="1" x14ac:dyDescent="0.3"/>
    <row r="44099" s="160" customFormat="1" x14ac:dyDescent="0.3"/>
    <row r="44100" s="160" customFormat="1" x14ac:dyDescent="0.3"/>
    <row r="44101" s="160" customFormat="1" x14ac:dyDescent="0.3"/>
    <row r="44102" s="160" customFormat="1" x14ac:dyDescent="0.3"/>
    <row r="44103" s="160" customFormat="1" x14ac:dyDescent="0.3"/>
    <row r="44104" s="160" customFormat="1" x14ac:dyDescent="0.3"/>
    <row r="44105" s="160" customFormat="1" x14ac:dyDescent="0.3"/>
    <row r="44106" s="160" customFormat="1" x14ac:dyDescent="0.3"/>
    <row r="44107" s="160" customFormat="1" x14ac:dyDescent="0.3"/>
    <row r="44108" s="160" customFormat="1" x14ac:dyDescent="0.3"/>
    <row r="44109" s="160" customFormat="1" x14ac:dyDescent="0.3"/>
    <row r="44110" s="160" customFormat="1" x14ac:dyDescent="0.3"/>
    <row r="44111" s="160" customFormat="1" x14ac:dyDescent="0.3"/>
    <row r="44112" s="160" customFormat="1" x14ac:dyDescent="0.3"/>
    <row r="44113" s="160" customFormat="1" x14ac:dyDescent="0.3"/>
    <row r="44114" s="160" customFormat="1" x14ac:dyDescent="0.3"/>
    <row r="44115" s="160" customFormat="1" x14ac:dyDescent="0.3"/>
    <row r="44116" s="160" customFormat="1" x14ac:dyDescent="0.3"/>
    <row r="44117" s="160" customFormat="1" x14ac:dyDescent="0.3"/>
    <row r="44118" s="160" customFormat="1" x14ac:dyDescent="0.3"/>
    <row r="44119" s="160" customFormat="1" x14ac:dyDescent="0.3"/>
    <row r="44120" s="160" customFormat="1" x14ac:dyDescent="0.3"/>
    <row r="44121" s="160" customFormat="1" x14ac:dyDescent="0.3"/>
    <row r="44122" s="160" customFormat="1" x14ac:dyDescent="0.3"/>
    <row r="44123" s="160" customFormat="1" x14ac:dyDescent="0.3"/>
    <row r="44124" s="160" customFormat="1" x14ac:dyDescent="0.3"/>
    <row r="44125" s="160" customFormat="1" x14ac:dyDescent="0.3"/>
    <row r="44126" s="160" customFormat="1" x14ac:dyDescent="0.3"/>
    <row r="44127" s="160" customFormat="1" x14ac:dyDescent="0.3"/>
    <row r="44128" s="160" customFormat="1" x14ac:dyDescent="0.3"/>
    <row r="44129" s="160" customFormat="1" x14ac:dyDescent="0.3"/>
    <row r="44130" s="160" customFormat="1" x14ac:dyDescent="0.3"/>
    <row r="44131" s="160" customFormat="1" x14ac:dyDescent="0.3"/>
    <row r="44132" s="160" customFormat="1" x14ac:dyDescent="0.3"/>
    <row r="44133" s="160" customFormat="1" x14ac:dyDescent="0.3"/>
    <row r="44134" s="160" customFormat="1" x14ac:dyDescent="0.3"/>
    <row r="44135" s="160" customFormat="1" x14ac:dyDescent="0.3"/>
    <row r="44136" s="160" customFormat="1" x14ac:dyDescent="0.3"/>
    <row r="44137" s="160" customFormat="1" x14ac:dyDescent="0.3"/>
    <row r="44138" s="160" customFormat="1" x14ac:dyDescent="0.3"/>
    <row r="44139" s="160" customFormat="1" x14ac:dyDescent="0.3"/>
    <row r="44140" s="160" customFormat="1" x14ac:dyDescent="0.3"/>
    <row r="44141" s="160" customFormat="1" x14ac:dyDescent="0.3"/>
    <row r="44142" s="160" customFormat="1" x14ac:dyDescent="0.3"/>
    <row r="44143" s="160" customFormat="1" x14ac:dyDescent="0.3"/>
    <row r="44144" s="160" customFormat="1" x14ac:dyDescent="0.3"/>
    <row r="44145" s="160" customFormat="1" x14ac:dyDescent="0.3"/>
    <row r="44146" s="160" customFormat="1" x14ac:dyDescent="0.3"/>
    <row r="44147" s="160" customFormat="1" x14ac:dyDescent="0.3"/>
    <row r="44148" s="160" customFormat="1" x14ac:dyDescent="0.3"/>
    <row r="44149" s="160" customFormat="1" x14ac:dyDescent="0.3"/>
    <row r="44150" s="160" customFormat="1" x14ac:dyDescent="0.3"/>
    <row r="44151" s="160" customFormat="1" x14ac:dyDescent="0.3"/>
    <row r="44152" s="160" customFormat="1" x14ac:dyDescent="0.3"/>
    <row r="44153" s="160" customFormat="1" x14ac:dyDescent="0.3"/>
    <row r="44154" s="160" customFormat="1" x14ac:dyDescent="0.3"/>
    <row r="44155" s="160" customFormat="1" x14ac:dyDescent="0.3"/>
    <row r="44156" s="160" customFormat="1" x14ac:dyDescent="0.3"/>
    <row r="44157" s="160" customFormat="1" x14ac:dyDescent="0.3"/>
    <row r="44158" s="160" customFormat="1" x14ac:dyDescent="0.3"/>
    <row r="44159" s="160" customFormat="1" x14ac:dyDescent="0.3"/>
    <row r="44160" s="160" customFormat="1" x14ac:dyDescent="0.3"/>
    <row r="44161" s="160" customFormat="1" x14ac:dyDescent="0.3"/>
    <row r="44162" s="160" customFormat="1" x14ac:dyDescent="0.3"/>
    <row r="44163" s="160" customFormat="1" x14ac:dyDescent="0.3"/>
    <row r="44164" s="160" customFormat="1" x14ac:dyDescent="0.3"/>
    <row r="44165" s="160" customFormat="1" x14ac:dyDescent="0.3"/>
    <row r="44166" s="160" customFormat="1" x14ac:dyDescent="0.3"/>
    <row r="44167" s="160" customFormat="1" x14ac:dyDescent="0.3"/>
    <row r="44168" s="160" customFormat="1" x14ac:dyDescent="0.3"/>
    <row r="44169" s="160" customFormat="1" x14ac:dyDescent="0.3"/>
    <row r="44170" s="160" customFormat="1" x14ac:dyDescent="0.3"/>
    <row r="44171" s="160" customFormat="1" x14ac:dyDescent="0.3"/>
    <row r="44172" s="160" customFormat="1" x14ac:dyDescent="0.3"/>
    <row r="44173" s="160" customFormat="1" x14ac:dyDescent="0.3"/>
    <row r="44174" s="160" customFormat="1" x14ac:dyDescent="0.3"/>
    <row r="44175" s="160" customFormat="1" x14ac:dyDescent="0.3"/>
    <row r="44176" s="160" customFormat="1" x14ac:dyDescent="0.3"/>
    <row r="44177" s="160" customFormat="1" x14ac:dyDescent="0.3"/>
    <row r="44178" s="160" customFormat="1" x14ac:dyDescent="0.3"/>
    <row r="44179" s="160" customFormat="1" x14ac:dyDescent="0.3"/>
    <row r="44180" s="160" customFormat="1" x14ac:dyDescent="0.3"/>
    <row r="44181" s="160" customFormat="1" x14ac:dyDescent="0.3"/>
    <row r="44182" s="160" customFormat="1" x14ac:dyDescent="0.3"/>
    <row r="44183" s="160" customFormat="1" x14ac:dyDescent="0.3"/>
    <row r="44184" s="160" customFormat="1" x14ac:dyDescent="0.3"/>
    <row r="44185" s="160" customFormat="1" x14ac:dyDescent="0.3"/>
    <row r="44186" s="160" customFormat="1" x14ac:dyDescent="0.3"/>
    <row r="44187" s="160" customFormat="1" x14ac:dyDescent="0.3"/>
    <row r="44188" s="160" customFormat="1" x14ac:dyDescent="0.3"/>
    <row r="44189" s="160" customFormat="1" x14ac:dyDescent="0.3"/>
    <row r="44190" s="160" customFormat="1" x14ac:dyDescent="0.3"/>
    <row r="44191" s="160" customFormat="1" x14ac:dyDescent="0.3"/>
    <row r="44192" s="160" customFormat="1" x14ac:dyDescent="0.3"/>
    <row r="44193" s="160" customFormat="1" x14ac:dyDescent="0.3"/>
    <row r="44194" s="160" customFormat="1" x14ac:dyDescent="0.3"/>
    <row r="44195" s="160" customFormat="1" x14ac:dyDescent="0.3"/>
    <row r="44196" s="160" customFormat="1" x14ac:dyDescent="0.3"/>
    <row r="44197" s="160" customFormat="1" x14ac:dyDescent="0.3"/>
    <row r="44198" s="160" customFormat="1" x14ac:dyDescent="0.3"/>
    <row r="44199" s="160" customFormat="1" x14ac:dyDescent="0.3"/>
    <row r="44200" s="160" customFormat="1" x14ac:dyDescent="0.3"/>
    <row r="44201" s="160" customFormat="1" x14ac:dyDescent="0.3"/>
    <row r="44202" s="160" customFormat="1" x14ac:dyDescent="0.3"/>
    <row r="44203" s="160" customFormat="1" x14ac:dyDescent="0.3"/>
    <row r="44204" s="160" customFormat="1" x14ac:dyDescent="0.3"/>
    <row r="44205" s="160" customFormat="1" x14ac:dyDescent="0.3"/>
    <row r="44206" s="160" customFormat="1" x14ac:dyDescent="0.3"/>
    <row r="44207" s="160" customFormat="1" x14ac:dyDescent="0.3"/>
    <row r="44208" s="160" customFormat="1" x14ac:dyDescent="0.3"/>
    <row r="44209" s="160" customFormat="1" x14ac:dyDescent="0.3"/>
    <row r="44210" s="160" customFormat="1" x14ac:dyDescent="0.3"/>
    <row r="44211" s="160" customFormat="1" x14ac:dyDescent="0.3"/>
    <row r="44212" s="160" customFormat="1" x14ac:dyDescent="0.3"/>
    <row r="44213" s="160" customFormat="1" x14ac:dyDescent="0.3"/>
    <row r="44214" s="160" customFormat="1" x14ac:dyDescent="0.3"/>
    <row r="44215" s="160" customFormat="1" x14ac:dyDescent="0.3"/>
    <row r="44216" s="160" customFormat="1" x14ac:dyDescent="0.3"/>
    <row r="44217" s="160" customFormat="1" x14ac:dyDescent="0.3"/>
    <row r="44218" s="160" customFormat="1" x14ac:dyDescent="0.3"/>
    <row r="44219" s="160" customFormat="1" x14ac:dyDescent="0.3"/>
    <row r="44220" s="160" customFormat="1" x14ac:dyDescent="0.3"/>
    <row r="44221" s="160" customFormat="1" x14ac:dyDescent="0.3"/>
    <row r="44222" s="160" customFormat="1" x14ac:dyDescent="0.3"/>
    <row r="44223" s="160" customFormat="1" x14ac:dyDescent="0.3"/>
    <row r="44224" s="160" customFormat="1" x14ac:dyDescent="0.3"/>
    <row r="44225" s="160" customFormat="1" x14ac:dyDescent="0.3"/>
    <row r="44226" s="160" customFormat="1" x14ac:dyDescent="0.3"/>
    <row r="44227" s="160" customFormat="1" x14ac:dyDescent="0.3"/>
    <row r="44228" s="160" customFormat="1" x14ac:dyDescent="0.3"/>
    <row r="44229" s="160" customFormat="1" x14ac:dyDescent="0.3"/>
    <row r="44230" s="160" customFormat="1" x14ac:dyDescent="0.3"/>
    <row r="44231" s="160" customFormat="1" x14ac:dyDescent="0.3"/>
    <row r="44232" s="160" customFormat="1" x14ac:dyDescent="0.3"/>
    <row r="44233" s="160" customFormat="1" x14ac:dyDescent="0.3"/>
    <row r="44234" s="160" customFormat="1" x14ac:dyDescent="0.3"/>
    <row r="44235" s="160" customFormat="1" x14ac:dyDescent="0.3"/>
    <row r="44236" s="160" customFormat="1" x14ac:dyDescent="0.3"/>
    <row r="44237" s="160" customFormat="1" x14ac:dyDescent="0.3"/>
    <row r="44238" s="160" customFormat="1" x14ac:dyDescent="0.3"/>
    <row r="44239" s="160" customFormat="1" x14ac:dyDescent="0.3"/>
    <row r="44240" s="160" customFormat="1" x14ac:dyDescent="0.3"/>
    <row r="44241" s="160" customFormat="1" x14ac:dyDescent="0.3"/>
    <row r="44242" s="160" customFormat="1" x14ac:dyDescent="0.3"/>
    <row r="44243" s="160" customFormat="1" x14ac:dyDescent="0.3"/>
    <row r="44244" s="160" customFormat="1" x14ac:dyDescent="0.3"/>
    <row r="44245" s="160" customFormat="1" x14ac:dyDescent="0.3"/>
    <row r="44246" s="160" customFormat="1" x14ac:dyDescent="0.3"/>
    <row r="44247" s="160" customFormat="1" x14ac:dyDescent="0.3"/>
    <row r="44248" s="160" customFormat="1" x14ac:dyDescent="0.3"/>
    <row r="44249" s="160" customFormat="1" x14ac:dyDescent="0.3"/>
    <row r="44250" s="160" customFormat="1" x14ac:dyDescent="0.3"/>
    <row r="44251" s="160" customFormat="1" x14ac:dyDescent="0.3"/>
    <row r="44252" s="160" customFormat="1" x14ac:dyDescent="0.3"/>
    <row r="44253" s="160" customFormat="1" x14ac:dyDescent="0.3"/>
    <row r="44254" s="160" customFormat="1" x14ac:dyDescent="0.3"/>
    <row r="44255" s="160" customFormat="1" x14ac:dyDescent="0.3"/>
    <row r="44256" s="160" customFormat="1" x14ac:dyDescent="0.3"/>
    <row r="44257" s="160" customFormat="1" x14ac:dyDescent="0.3"/>
    <row r="44258" s="160" customFormat="1" x14ac:dyDescent="0.3"/>
    <row r="44259" s="160" customFormat="1" x14ac:dyDescent="0.3"/>
    <row r="44260" s="160" customFormat="1" x14ac:dyDescent="0.3"/>
    <row r="44261" s="160" customFormat="1" x14ac:dyDescent="0.3"/>
    <row r="44262" s="160" customFormat="1" x14ac:dyDescent="0.3"/>
    <row r="44263" s="160" customFormat="1" x14ac:dyDescent="0.3"/>
    <row r="44264" s="160" customFormat="1" x14ac:dyDescent="0.3"/>
    <row r="44265" s="160" customFormat="1" x14ac:dyDescent="0.3"/>
    <row r="44266" s="160" customFormat="1" x14ac:dyDescent="0.3"/>
    <row r="44267" s="160" customFormat="1" x14ac:dyDescent="0.3"/>
    <row r="44268" s="160" customFormat="1" x14ac:dyDescent="0.3"/>
    <row r="44269" s="160" customFormat="1" x14ac:dyDescent="0.3"/>
    <row r="44270" s="160" customFormat="1" x14ac:dyDescent="0.3"/>
    <row r="44271" s="160" customFormat="1" x14ac:dyDescent="0.3"/>
    <row r="44272" s="160" customFormat="1" x14ac:dyDescent="0.3"/>
    <row r="44273" s="160" customFormat="1" x14ac:dyDescent="0.3"/>
    <row r="44274" s="160" customFormat="1" x14ac:dyDescent="0.3"/>
    <row r="44275" s="160" customFormat="1" x14ac:dyDescent="0.3"/>
    <row r="44276" s="160" customFormat="1" x14ac:dyDescent="0.3"/>
    <row r="44277" s="160" customFormat="1" x14ac:dyDescent="0.3"/>
    <row r="44278" s="160" customFormat="1" x14ac:dyDescent="0.3"/>
    <row r="44279" s="160" customFormat="1" x14ac:dyDescent="0.3"/>
    <row r="44280" s="160" customFormat="1" x14ac:dyDescent="0.3"/>
    <row r="44281" s="160" customFormat="1" x14ac:dyDescent="0.3"/>
    <row r="44282" s="160" customFormat="1" x14ac:dyDescent="0.3"/>
    <row r="44283" s="160" customFormat="1" x14ac:dyDescent="0.3"/>
    <row r="44284" s="160" customFormat="1" x14ac:dyDescent="0.3"/>
    <row r="44285" s="160" customFormat="1" x14ac:dyDescent="0.3"/>
    <row r="44286" s="160" customFormat="1" x14ac:dyDescent="0.3"/>
    <row r="44287" s="160" customFormat="1" x14ac:dyDescent="0.3"/>
    <row r="44288" s="160" customFormat="1" x14ac:dyDescent="0.3"/>
    <row r="44289" s="160" customFormat="1" x14ac:dyDescent="0.3"/>
    <row r="44290" s="160" customFormat="1" x14ac:dyDescent="0.3"/>
    <row r="44291" s="160" customFormat="1" x14ac:dyDescent="0.3"/>
    <row r="44292" s="160" customFormat="1" x14ac:dyDescent="0.3"/>
    <row r="44293" s="160" customFormat="1" x14ac:dyDescent="0.3"/>
    <row r="44294" s="160" customFormat="1" x14ac:dyDescent="0.3"/>
    <row r="44295" s="160" customFormat="1" x14ac:dyDescent="0.3"/>
    <row r="44296" s="160" customFormat="1" x14ac:dyDescent="0.3"/>
    <row r="44297" s="160" customFormat="1" x14ac:dyDescent="0.3"/>
    <row r="44298" s="160" customFormat="1" x14ac:dyDescent="0.3"/>
    <row r="44299" s="160" customFormat="1" x14ac:dyDescent="0.3"/>
    <row r="44300" s="160" customFormat="1" x14ac:dyDescent="0.3"/>
    <row r="44301" s="160" customFormat="1" x14ac:dyDescent="0.3"/>
    <row r="44302" s="160" customFormat="1" x14ac:dyDescent="0.3"/>
    <row r="44303" s="160" customFormat="1" x14ac:dyDescent="0.3"/>
    <row r="44304" s="160" customFormat="1" x14ac:dyDescent="0.3"/>
    <row r="44305" s="160" customFormat="1" x14ac:dyDescent="0.3"/>
    <row r="44306" s="160" customFormat="1" x14ac:dyDescent="0.3"/>
    <row r="44307" s="160" customFormat="1" x14ac:dyDescent="0.3"/>
    <row r="44308" s="160" customFormat="1" x14ac:dyDescent="0.3"/>
    <row r="44309" s="160" customFormat="1" x14ac:dyDescent="0.3"/>
    <row r="44310" s="160" customFormat="1" x14ac:dyDescent="0.3"/>
    <row r="44311" s="160" customFormat="1" x14ac:dyDescent="0.3"/>
    <row r="44312" s="160" customFormat="1" x14ac:dyDescent="0.3"/>
    <row r="44313" s="160" customFormat="1" x14ac:dyDescent="0.3"/>
    <row r="44314" s="160" customFormat="1" x14ac:dyDescent="0.3"/>
    <row r="44315" s="160" customFormat="1" x14ac:dyDescent="0.3"/>
    <row r="44316" s="160" customFormat="1" x14ac:dyDescent="0.3"/>
    <row r="44317" s="160" customFormat="1" x14ac:dyDescent="0.3"/>
    <row r="44318" s="160" customFormat="1" x14ac:dyDescent="0.3"/>
    <row r="44319" s="160" customFormat="1" x14ac:dyDescent="0.3"/>
    <row r="44320" s="160" customFormat="1" x14ac:dyDescent="0.3"/>
    <row r="44321" s="160" customFormat="1" x14ac:dyDescent="0.3"/>
    <row r="44322" s="160" customFormat="1" x14ac:dyDescent="0.3"/>
    <row r="44323" s="160" customFormat="1" x14ac:dyDescent="0.3"/>
    <row r="44324" s="160" customFormat="1" x14ac:dyDescent="0.3"/>
    <row r="44325" s="160" customFormat="1" x14ac:dyDescent="0.3"/>
    <row r="44326" s="160" customFormat="1" x14ac:dyDescent="0.3"/>
    <row r="44327" s="160" customFormat="1" x14ac:dyDescent="0.3"/>
    <row r="44328" s="160" customFormat="1" x14ac:dyDescent="0.3"/>
    <row r="44329" s="160" customFormat="1" x14ac:dyDescent="0.3"/>
    <row r="44330" s="160" customFormat="1" x14ac:dyDescent="0.3"/>
    <row r="44331" s="160" customFormat="1" x14ac:dyDescent="0.3"/>
    <row r="44332" s="160" customFormat="1" x14ac:dyDescent="0.3"/>
    <row r="44333" s="160" customFormat="1" x14ac:dyDescent="0.3"/>
    <row r="44334" s="160" customFormat="1" x14ac:dyDescent="0.3"/>
    <row r="44335" s="160" customFormat="1" x14ac:dyDescent="0.3"/>
    <row r="44336" s="160" customFormat="1" x14ac:dyDescent="0.3"/>
    <row r="44337" s="160" customFormat="1" x14ac:dyDescent="0.3"/>
    <row r="44338" s="160" customFormat="1" x14ac:dyDescent="0.3"/>
    <row r="44339" s="160" customFormat="1" x14ac:dyDescent="0.3"/>
    <row r="44340" s="160" customFormat="1" x14ac:dyDescent="0.3"/>
    <row r="44341" s="160" customFormat="1" x14ac:dyDescent="0.3"/>
    <row r="44342" s="160" customFormat="1" x14ac:dyDescent="0.3"/>
    <row r="44343" s="160" customFormat="1" x14ac:dyDescent="0.3"/>
    <row r="44344" s="160" customFormat="1" x14ac:dyDescent="0.3"/>
    <row r="44345" s="160" customFormat="1" x14ac:dyDescent="0.3"/>
    <row r="44346" s="160" customFormat="1" x14ac:dyDescent="0.3"/>
    <row r="44347" s="160" customFormat="1" x14ac:dyDescent="0.3"/>
    <row r="44348" s="160" customFormat="1" x14ac:dyDescent="0.3"/>
    <row r="44349" s="160" customFormat="1" x14ac:dyDescent="0.3"/>
    <row r="44350" s="160" customFormat="1" x14ac:dyDescent="0.3"/>
    <row r="44351" s="160" customFormat="1" x14ac:dyDescent="0.3"/>
    <row r="44352" s="160" customFormat="1" x14ac:dyDescent="0.3"/>
    <row r="44353" s="160" customFormat="1" x14ac:dyDescent="0.3"/>
    <row r="44354" s="160" customFormat="1" x14ac:dyDescent="0.3"/>
    <row r="44355" s="160" customFormat="1" x14ac:dyDescent="0.3"/>
    <row r="44356" s="160" customFormat="1" x14ac:dyDescent="0.3"/>
    <row r="44357" s="160" customFormat="1" x14ac:dyDescent="0.3"/>
    <row r="44358" s="160" customFormat="1" x14ac:dyDescent="0.3"/>
    <row r="44359" s="160" customFormat="1" x14ac:dyDescent="0.3"/>
    <row r="44360" s="160" customFormat="1" x14ac:dyDescent="0.3"/>
    <row r="44361" s="160" customFormat="1" x14ac:dyDescent="0.3"/>
    <row r="44362" s="160" customFormat="1" x14ac:dyDescent="0.3"/>
    <row r="44363" s="160" customFormat="1" x14ac:dyDescent="0.3"/>
    <row r="44364" s="160" customFormat="1" x14ac:dyDescent="0.3"/>
    <row r="44365" s="160" customFormat="1" x14ac:dyDescent="0.3"/>
    <row r="44366" s="160" customFormat="1" x14ac:dyDescent="0.3"/>
    <row r="44367" s="160" customFormat="1" x14ac:dyDescent="0.3"/>
    <row r="44368" s="160" customFormat="1" x14ac:dyDescent="0.3"/>
    <row r="44369" s="160" customFormat="1" x14ac:dyDescent="0.3"/>
    <row r="44370" s="160" customFormat="1" x14ac:dyDescent="0.3"/>
    <row r="44371" s="160" customFormat="1" x14ac:dyDescent="0.3"/>
    <row r="44372" s="160" customFormat="1" x14ac:dyDescent="0.3"/>
    <row r="44373" s="160" customFormat="1" x14ac:dyDescent="0.3"/>
    <row r="44374" s="160" customFormat="1" x14ac:dyDescent="0.3"/>
    <row r="44375" s="160" customFormat="1" x14ac:dyDescent="0.3"/>
    <row r="44376" s="160" customFormat="1" x14ac:dyDescent="0.3"/>
    <row r="44377" s="160" customFormat="1" x14ac:dyDescent="0.3"/>
    <row r="44378" s="160" customFormat="1" x14ac:dyDescent="0.3"/>
    <row r="44379" s="160" customFormat="1" x14ac:dyDescent="0.3"/>
    <row r="44380" s="160" customFormat="1" x14ac:dyDescent="0.3"/>
    <row r="44381" s="160" customFormat="1" x14ac:dyDescent="0.3"/>
    <row r="44382" s="160" customFormat="1" x14ac:dyDescent="0.3"/>
    <row r="44383" s="160" customFormat="1" x14ac:dyDescent="0.3"/>
    <row r="44384" s="160" customFormat="1" x14ac:dyDescent="0.3"/>
    <row r="44385" s="160" customFormat="1" x14ac:dyDescent="0.3"/>
    <row r="44386" s="160" customFormat="1" x14ac:dyDescent="0.3"/>
    <row r="44387" s="160" customFormat="1" x14ac:dyDescent="0.3"/>
    <row r="44388" s="160" customFormat="1" x14ac:dyDescent="0.3"/>
    <row r="44389" s="160" customFormat="1" x14ac:dyDescent="0.3"/>
    <row r="44390" s="160" customFormat="1" x14ac:dyDescent="0.3"/>
    <row r="44391" s="160" customFormat="1" x14ac:dyDescent="0.3"/>
    <row r="44392" s="160" customFormat="1" x14ac:dyDescent="0.3"/>
    <row r="44393" s="160" customFormat="1" x14ac:dyDescent="0.3"/>
    <row r="44394" s="160" customFormat="1" x14ac:dyDescent="0.3"/>
    <row r="44395" s="160" customFormat="1" x14ac:dyDescent="0.3"/>
    <row r="44396" s="160" customFormat="1" x14ac:dyDescent="0.3"/>
    <row r="44397" s="160" customFormat="1" x14ac:dyDescent="0.3"/>
    <row r="44398" s="160" customFormat="1" x14ac:dyDescent="0.3"/>
    <row r="44399" s="160" customFormat="1" x14ac:dyDescent="0.3"/>
    <row r="44400" s="160" customFormat="1" x14ac:dyDescent="0.3"/>
    <row r="44401" s="160" customFormat="1" x14ac:dyDescent="0.3"/>
    <row r="44402" s="160" customFormat="1" x14ac:dyDescent="0.3"/>
    <row r="44403" s="160" customFormat="1" x14ac:dyDescent="0.3"/>
    <row r="44404" s="160" customFormat="1" x14ac:dyDescent="0.3"/>
    <row r="44405" s="160" customFormat="1" x14ac:dyDescent="0.3"/>
    <row r="44406" s="160" customFormat="1" x14ac:dyDescent="0.3"/>
    <row r="44407" s="160" customFormat="1" x14ac:dyDescent="0.3"/>
    <row r="44408" s="160" customFormat="1" x14ac:dyDescent="0.3"/>
    <row r="44409" s="160" customFormat="1" x14ac:dyDescent="0.3"/>
    <row r="44410" s="160" customFormat="1" x14ac:dyDescent="0.3"/>
    <row r="44411" s="160" customFormat="1" x14ac:dyDescent="0.3"/>
    <row r="44412" s="160" customFormat="1" x14ac:dyDescent="0.3"/>
    <row r="44413" s="160" customFormat="1" x14ac:dyDescent="0.3"/>
    <row r="44414" s="160" customFormat="1" x14ac:dyDescent="0.3"/>
    <row r="44415" s="160" customFormat="1" x14ac:dyDescent="0.3"/>
    <row r="44416" s="160" customFormat="1" x14ac:dyDescent="0.3"/>
    <row r="44417" s="160" customFormat="1" x14ac:dyDescent="0.3"/>
    <row r="44418" s="160" customFormat="1" x14ac:dyDescent="0.3"/>
    <row r="44419" s="160" customFormat="1" x14ac:dyDescent="0.3"/>
    <row r="44420" s="160" customFormat="1" x14ac:dyDescent="0.3"/>
    <row r="44421" s="160" customFormat="1" x14ac:dyDescent="0.3"/>
    <row r="44422" s="160" customFormat="1" x14ac:dyDescent="0.3"/>
    <row r="44423" s="160" customFormat="1" x14ac:dyDescent="0.3"/>
    <row r="44424" s="160" customFormat="1" x14ac:dyDescent="0.3"/>
    <row r="44425" s="160" customFormat="1" x14ac:dyDescent="0.3"/>
    <row r="44426" s="160" customFormat="1" x14ac:dyDescent="0.3"/>
    <row r="44427" s="160" customFormat="1" x14ac:dyDescent="0.3"/>
    <row r="44428" s="160" customFormat="1" x14ac:dyDescent="0.3"/>
    <row r="44429" s="160" customFormat="1" x14ac:dyDescent="0.3"/>
    <row r="44430" s="160" customFormat="1" x14ac:dyDescent="0.3"/>
    <row r="44431" s="160" customFormat="1" x14ac:dyDescent="0.3"/>
    <row r="44432" s="160" customFormat="1" x14ac:dyDescent="0.3"/>
    <row r="44433" s="160" customFormat="1" x14ac:dyDescent="0.3"/>
    <row r="44434" s="160" customFormat="1" x14ac:dyDescent="0.3"/>
    <row r="44435" s="160" customFormat="1" x14ac:dyDescent="0.3"/>
    <row r="44436" s="160" customFormat="1" x14ac:dyDescent="0.3"/>
    <row r="44437" s="160" customFormat="1" x14ac:dyDescent="0.3"/>
    <row r="44438" s="160" customFormat="1" x14ac:dyDescent="0.3"/>
    <row r="44439" s="160" customFormat="1" x14ac:dyDescent="0.3"/>
    <row r="44440" s="160" customFormat="1" x14ac:dyDescent="0.3"/>
    <row r="44441" s="160" customFormat="1" x14ac:dyDescent="0.3"/>
    <row r="44442" s="160" customFormat="1" x14ac:dyDescent="0.3"/>
    <row r="44443" s="160" customFormat="1" x14ac:dyDescent="0.3"/>
    <row r="44444" s="160" customFormat="1" x14ac:dyDescent="0.3"/>
    <row r="44445" s="160" customFormat="1" x14ac:dyDescent="0.3"/>
    <row r="44446" s="160" customFormat="1" x14ac:dyDescent="0.3"/>
    <row r="44447" s="160" customFormat="1" x14ac:dyDescent="0.3"/>
    <row r="44448" s="160" customFormat="1" x14ac:dyDescent="0.3"/>
    <row r="44449" s="160" customFormat="1" x14ac:dyDescent="0.3"/>
    <row r="44450" s="160" customFormat="1" x14ac:dyDescent="0.3"/>
    <row r="44451" s="160" customFormat="1" x14ac:dyDescent="0.3"/>
    <row r="44452" s="160" customFormat="1" x14ac:dyDescent="0.3"/>
    <row r="44453" s="160" customFormat="1" x14ac:dyDescent="0.3"/>
    <row r="44454" s="160" customFormat="1" x14ac:dyDescent="0.3"/>
    <row r="44455" s="160" customFormat="1" x14ac:dyDescent="0.3"/>
    <row r="44456" s="160" customFormat="1" x14ac:dyDescent="0.3"/>
    <row r="44457" s="160" customFormat="1" x14ac:dyDescent="0.3"/>
    <row r="44458" s="160" customFormat="1" x14ac:dyDescent="0.3"/>
    <row r="44459" s="160" customFormat="1" x14ac:dyDescent="0.3"/>
    <row r="44460" s="160" customFormat="1" x14ac:dyDescent="0.3"/>
    <row r="44461" s="160" customFormat="1" x14ac:dyDescent="0.3"/>
    <row r="44462" s="160" customFormat="1" x14ac:dyDescent="0.3"/>
    <row r="44463" s="160" customFormat="1" x14ac:dyDescent="0.3"/>
    <row r="44464" s="160" customFormat="1" x14ac:dyDescent="0.3"/>
    <row r="44465" s="160" customFormat="1" x14ac:dyDescent="0.3"/>
    <row r="44466" s="160" customFormat="1" x14ac:dyDescent="0.3"/>
    <row r="44467" s="160" customFormat="1" x14ac:dyDescent="0.3"/>
    <row r="44468" s="160" customFormat="1" x14ac:dyDescent="0.3"/>
    <row r="44469" s="160" customFormat="1" x14ac:dyDescent="0.3"/>
    <row r="44470" s="160" customFormat="1" x14ac:dyDescent="0.3"/>
    <row r="44471" s="160" customFormat="1" x14ac:dyDescent="0.3"/>
    <row r="44472" s="160" customFormat="1" x14ac:dyDescent="0.3"/>
    <row r="44473" s="160" customFormat="1" x14ac:dyDescent="0.3"/>
    <row r="44474" s="160" customFormat="1" x14ac:dyDescent="0.3"/>
    <row r="44475" s="160" customFormat="1" x14ac:dyDescent="0.3"/>
    <row r="44476" s="160" customFormat="1" x14ac:dyDescent="0.3"/>
    <row r="44477" s="160" customFormat="1" x14ac:dyDescent="0.3"/>
    <row r="44478" s="160" customFormat="1" x14ac:dyDescent="0.3"/>
    <row r="44479" s="160" customFormat="1" x14ac:dyDescent="0.3"/>
    <row r="44480" s="160" customFormat="1" x14ac:dyDescent="0.3"/>
    <row r="44481" s="160" customFormat="1" x14ac:dyDescent="0.3"/>
    <row r="44482" s="160" customFormat="1" x14ac:dyDescent="0.3"/>
    <row r="44483" s="160" customFormat="1" x14ac:dyDescent="0.3"/>
    <row r="44484" s="160" customFormat="1" x14ac:dyDescent="0.3"/>
    <row r="44485" s="160" customFormat="1" x14ac:dyDescent="0.3"/>
    <row r="44486" s="160" customFormat="1" x14ac:dyDescent="0.3"/>
    <row r="44487" s="160" customFormat="1" x14ac:dyDescent="0.3"/>
    <row r="44488" s="160" customFormat="1" x14ac:dyDescent="0.3"/>
    <row r="44489" s="160" customFormat="1" x14ac:dyDescent="0.3"/>
    <row r="44490" s="160" customFormat="1" x14ac:dyDescent="0.3"/>
    <row r="44491" s="160" customFormat="1" x14ac:dyDescent="0.3"/>
    <row r="44492" s="160" customFormat="1" x14ac:dyDescent="0.3"/>
    <row r="44493" s="160" customFormat="1" x14ac:dyDescent="0.3"/>
    <row r="44494" s="160" customFormat="1" x14ac:dyDescent="0.3"/>
    <row r="44495" s="160" customFormat="1" x14ac:dyDescent="0.3"/>
    <row r="44496" s="160" customFormat="1" x14ac:dyDescent="0.3"/>
    <row r="44497" s="160" customFormat="1" x14ac:dyDescent="0.3"/>
    <row r="44498" s="160" customFormat="1" x14ac:dyDescent="0.3"/>
    <row r="44499" s="160" customFormat="1" x14ac:dyDescent="0.3"/>
    <row r="44500" s="160" customFormat="1" x14ac:dyDescent="0.3"/>
    <row r="44501" s="160" customFormat="1" x14ac:dyDescent="0.3"/>
    <row r="44502" s="160" customFormat="1" x14ac:dyDescent="0.3"/>
    <row r="44503" s="160" customFormat="1" x14ac:dyDescent="0.3"/>
    <row r="44504" s="160" customFormat="1" x14ac:dyDescent="0.3"/>
    <row r="44505" s="160" customFormat="1" x14ac:dyDescent="0.3"/>
    <row r="44506" s="160" customFormat="1" x14ac:dyDescent="0.3"/>
    <row r="44507" s="160" customFormat="1" x14ac:dyDescent="0.3"/>
    <row r="44508" s="160" customFormat="1" x14ac:dyDescent="0.3"/>
    <row r="44509" s="160" customFormat="1" x14ac:dyDescent="0.3"/>
    <row r="44510" s="160" customFormat="1" x14ac:dyDescent="0.3"/>
    <row r="44511" s="160" customFormat="1" x14ac:dyDescent="0.3"/>
    <row r="44512" s="160" customFormat="1" x14ac:dyDescent="0.3"/>
    <row r="44513" s="160" customFormat="1" x14ac:dyDescent="0.3"/>
    <row r="44514" s="160" customFormat="1" x14ac:dyDescent="0.3"/>
    <row r="44515" s="160" customFormat="1" x14ac:dyDescent="0.3"/>
    <row r="44516" s="160" customFormat="1" x14ac:dyDescent="0.3"/>
    <row r="44517" s="160" customFormat="1" x14ac:dyDescent="0.3"/>
    <row r="44518" s="160" customFormat="1" x14ac:dyDescent="0.3"/>
    <row r="44519" s="160" customFormat="1" x14ac:dyDescent="0.3"/>
    <row r="44520" s="160" customFormat="1" x14ac:dyDescent="0.3"/>
    <row r="44521" s="160" customFormat="1" x14ac:dyDescent="0.3"/>
    <row r="44522" s="160" customFormat="1" x14ac:dyDescent="0.3"/>
    <row r="44523" s="160" customFormat="1" x14ac:dyDescent="0.3"/>
    <row r="44524" s="160" customFormat="1" x14ac:dyDescent="0.3"/>
    <row r="44525" s="160" customFormat="1" x14ac:dyDescent="0.3"/>
    <row r="44526" s="160" customFormat="1" x14ac:dyDescent="0.3"/>
    <row r="44527" s="160" customFormat="1" x14ac:dyDescent="0.3"/>
    <row r="44528" s="160" customFormat="1" x14ac:dyDescent="0.3"/>
    <row r="44529" s="160" customFormat="1" x14ac:dyDescent="0.3"/>
    <row r="44530" s="160" customFormat="1" x14ac:dyDescent="0.3"/>
    <row r="44531" s="160" customFormat="1" x14ac:dyDescent="0.3"/>
    <row r="44532" s="160" customFormat="1" x14ac:dyDescent="0.3"/>
    <row r="44533" s="160" customFormat="1" x14ac:dyDescent="0.3"/>
    <row r="44534" s="160" customFormat="1" x14ac:dyDescent="0.3"/>
    <row r="44535" s="160" customFormat="1" x14ac:dyDescent="0.3"/>
    <row r="44536" s="160" customFormat="1" x14ac:dyDescent="0.3"/>
    <row r="44537" s="160" customFormat="1" x14ac:dyDescent="0.3"/>
    <row r="44538" s="160" customFormat="1" x14ac:dyDescent="0.3"/>
    <row r="44539" s="160" customFormat="1" x14ac:dyDescent="0.3"/>
    <row r="44540" s="160" customFormat="1" x14ac:dyDescent="0.3"/>
    <row r="44541" s="160" customFormat="1" x14ac:dyDescent="0.3"/>
    <row r="44542" s="160" customFormat="1" x14ac:dyDescent="0.3"/>
    <row r="44543" s="160" customFormat="1" x14ac:dyDescent="0.3"/>
    <row r="44544" s="160" customFormat="1" x14ac:dyDescent="0.3"/>
    <row r="44545" s="160" customFormat="1" x14ac:dyDescent="0.3"/>
    <row r="44546" s="160" customFormat="1" x14ac:dyDescent="0.3"/>
    <row r="44547" s="160" customFormat="1" x14ac:dyDescent="0.3"/>
    <row r="44548" s="160" customFormat="1" x14ac:dyDescent="0.3"/>
    <row r="44549" s="160" customFormat="1" x14ac:dyDescent="0.3"/>
    <row r="44550" s="160" customFormat="1" x14ac:dyDescent="0.3"/>
    <row r="44551" s="160" customFormat="1" x14ac:dyDescent="0.3"/>
    <row r="44552" s="160" customFormat="1" x14ac:dyDescent="0.3"/>
    <row r="44553" s="160" customFormat="1" x14ac:dyDescent="0.3"/>
    <row r="44554" s="160" customFormat="1" x14ac:dyDescent="0.3"/>
    <row r="44555" s="160" customFormat="1" x14ac:dyDescent="0.3"/>
    <row r="44556" s="160" customFormat="1" x14ac:dyDescent="0.3"/>
    <row r="44557" s="160" customFormat="1" x14ac:dyDescent="0.3"/>
    <row r="44558" s="160" customFormat="1" x14ac:dyDescent="0.3"/>
    <row r="44559" s="160" customFormat="1" x14ac:dyDescent="0.3"/>
    <row r="44560" s="160" customFormat="1" x14ac:dyDescent="0.3"/>
    <row r="44561" s="160" customFormat="1" x14ac:dyDescent="0.3"/>
    <row r="44562" s="160" customFormat="1" x14ac:dyDescent="0.3"/>
    <row r="44563" s="160" customFormat="1" x14ac:dyDescent="0.3"/>
    <row r="44564" s="160" customFormat="1" x14ac:dyDescent="0.3"/>
    <row r="44565" s="160" customFormat="1" x14ac:dyDescent="0.3"/>
    <row r="44566" s="160" customFormat="1" x14ac:dyDescent="0.3"/>
    <row r="44567" s="160" customFormat="1" x14ac:dyDescent="0.3"/>
    <row r="44568" s="160" customFormat="1" x14ac:dyDescent="0.3"/>
    <row r="44569" s="160" customFormat="1" x14ac:dyDescent="0.3"/>
    <row r="44570" s="160" customFormat="1" x14ac:dyDescent="0.3"/>
    <row r="44571" s="160" customFormat="1" x14ac:dyDescent="0.3"/>
    <row r="44572" s="160" customFormat="1" x14ac:dyDescent="0.3"/>
    <row r="44573" s="160" customFormat="1" x14ac:dyDescent="0.3"/>
    <row r="44574" s="160" customFormat="1" x14ac:dyDescent="0.3"/>
    <row r="44575" s="160" customFormat="1" x14ac:dyDescent="0.3"/>
    <row r="44576" s="160" customFormat="1" x14ac:dyDescent="0.3"/>
    <row r="44577" s="160" customFormat="1" x14ac:dyDescent="0.3"/>
    <row r="44578" s="160" customFormat="1" x14ac:dyDescent="0.3"/>
    <row r="44579" s="160" customFormat="1" x14ac:dyDescent="0.3"/>
    <row r="44580" s="160" customFormat="1" x14ac:dyDescent="0.3"/>
    <row r="44581" s="160" customFormat="1" x14ac:dyDescent="0.3"/>
    <row r="44582" s="160" customFormat="1" x14ac:dyDescent="0.3"/>
    <row r="44583" s="160" customFormat="1" x14ac:dyDescent="0.3"/>
    <row r="44584" s="160" customFormat="1" x14ac:dyDescent="0.3"/>
    <row r="44585" s="160" customFormat="1" x14ac:dyDescent="0.3"/>
    <row r="44586" s="160" customFormat="1" x14ac:dyDescent="0.3"/>
    <row r="44587" s="160" customFormat="1" x14ac:dyDescent="0.3"/>
    <row r="44588" s="160" customFormat="1" x14ac:dyDescent="0.3"/>
    <row r="44589" s="160" customFormat="1" x14ac:dyDescent="0.3"/>
    <row r="44590" s="160" customFormat="1" x14ac:dyDescent="0.3"/>
    <row r="44591" s="160" customFormat="1" x14ac:dyDescent="0.3"/>
    <row r="44592" s="160" customFormat="1" x14ac:dyDescent="0.3"/>
    <row r="44593" s="160" customFormat="1" x14ac:dyDescent="0.3"/>
    <row r="44594" s="160" customFormat="1" x14ac:dyDescent="0.3"/>
    <row r="44595" s="160" customFormat="1" x14ac:dyDescent="0.3"/>
    <row r="44596" s="160" customFormat="1" x14ac:dyDescent="0.3"/>
    <row r="44597" s="160" customFormat="1" x14ac:dyDescent="0.3"/>
    <row r="44598" s="160" customFormat="1" x14ac:dyDescent="0.3"/>
    <row r="44599" s="160" customFormat="1" x14ac:dyDescent="0.3"/>
    <row r="44600" s="160" customFormat="1" x14ac:dyDescent="0.3"/>
    <row r="44601" s="160" customFormat="1" x14ac:dyDescent="0.3"/>
    <row r="44602" s="160" customFormat="1" x14ac:dyDescent="0.3"/>
    <row r="44603" s="160" customFormat="1" x14ac:dyDescent="0.3"/>
    <row r="44604" s="160" customFormat="1" x14ac:dyDescent="0.3"/>
    <row r="44605" s="160" customFormat="1" x14ac:dyDescent="0.3"/>
    <row r="44606" s="160" customFormat="1" x14ac:dyDescent="0.3"/>
    <row r="44607" s="160" customFormat="1" x14ac:dyDescent="0.3"/>
    <row r="44608" s="160" customFormat="1" x14ac:dyDescent="0.3"/>
    <row r="44609" s="160" customFormat="1" x14ac:dyDescent="0.3"/>
    <row r="44610" s="160" customFormat="1" x14ac:dyDescent="0.3"/>
    <row r="44611" s="160" customFormat="1" x14ac:dyDescent="0.3"/>
    <row r="44612" s="160" customFormat="1" x14ac:dyDescent="0.3"/>
    <row r="44613" s="160" customFormat="1" x14ac:dyDescent="0.3"/>
    <row r="44614" s="160" customFormat="1" x14ac:dyDescent="0.3"/>
    <row r="44615" s="160" customFormat="1" x14ac:dyDescent="0.3"/>
    <row r="44616" s="160" customFormat="1" x14ac:dyDescent="0.3"/>
    <row r="44617" s="160" customFormat="1" x14ac:dyDescent="0.3"/>
    <row r="44618" s="160" customFormat="1" x14ac:dyDescent="0.3"/>
    <row r="44619" s="160" customFormat="1" x14ac:dyDescent="0.3"/>
    <row r="44620" s="160" customFormat="1" x14ac:dyDescent="0.3"/>
    <row r="44621" s="160" customFormat="1" x14ac:dyDescent="0.3"/>
    <row r="44622" s="160" customFormat="1" x14ac:dyDescent="0.3"/>
    <row r="44623" s="160" customFormat="1" x14ac:dyDescent="0.3"/>
    <row r="44624" s="160" customFormat="1" x14ac:dyDescent="0.3"/>
    <row r="44625" s="160" customFormat="1" x14ac:dyDescent="0.3"/>
    <row r="44626" s="160" customFormat="1" x14ac:dyDescent="0.3"/>
    <row r="44627" s="160" customFormat="1" x14ac:dyDescent="0.3"/>
    <row r="44628" s="160" customFormat="1" x14ac:dyDescent="0.3"/>
    <row r="44629" s="160" customFormat="1" x14ac:dyDescent="0.3"/>
    <row r="44630" s="160" customFormat="1" x14ac:dyDescent="0.3"/>
    <row r="44631" s="160" customFormat="1" x14ac:dyDescent="0.3"/>
    <row r="44632" s="160" customFormat="1" x14ac:dyDescent="0.3"/>
    <row r="44633" s="160" customFormat="1" x14ac:dyDescent="0.3"/>
    <row r="44634" s="160" customFormat="1" x14ac:dyDescent="0.3"/>
    <row r="44635" s="160" customFormat="1" x14ac:dyDescent="0.3"/>
    <row r="44636" s="160" customFormat="1" x14ac:dyDescent="0.3"/>
    <row r="44637" s="160" customFormat="1" x14ac:dyDescent="0.3"/>
    <row r="44638" s="160" customFormat="1" x14ac:dyDescent="0.3"/>
    <row r="44639" s="160" customFormat="1" x14ac:dyDescent="0.3"/>
    <row r="44640" s="160" customFormat="1" x14ac:dyDescent="0.3"/>
    <row r="44641" s="160" customFormat="1" x14ac:dyDescent="0.3"/>
    <row r="44642" s="160" customFormat="1" x14ac:dyDescent="0.3"/>
    <row r="44643" s="160" customFormat="1" x14ac:dyDescent="0.3"/>
    <row r="44644" s="160" customFormat="1" x14ac:dyDescent="0.3"/>
    <row r="44645" s="160" customFormat="1" x14ac:dyDescent="0.3"/>
    <row r="44646" s="160" customFormat="1" x14ac:dyDescent="0.3"/>
    <row r="44647" s="160" customFormat="1" x14ac:dyDescent="0.3"/>
    <row r="44648" s="160" customFormat="1" x14ac:dyDescent="0.3"/>
    <row r="44649" s="160" customFormat="1" x14ac:dyDescent="0.3"/>
    <row r="44650" s="160" customFormat="1" x14ac:dyDescent="0.3"/>
    <row r="44651" s="160" customFormat="1" x14ac:dyDescent="0.3"/>
    <row r="44652" s="160" customFormat="1" x14ac:dyDescent="0.3"/>
    <row r="44653" s="160" customFormat="1" x14ac:dyDescent="0.3"/>
    <row r="44654" s="160" customFormat="1" x14ac:dyDescent="0.3"/>
    <row r="44655" s="160" customFormat="1" x14ac:dyDescent="0.3"/>
    <row r="44656" s="160" customFormat="1" x14ac:dyDescent="0.3"/>
    <row r="44657" s="160" customFormat="1" x14ac:dyDescent="0.3"/>
    <row r="44658" s="160" customFormat="1" x14ac:dyDescent="0.3"/>
    <row r="44659" s="160" customFormat="1" x14ac:dyDescent="0.3"/>
    <row r="44660" s="160" customFormat="1" x14ac:dyDescent="0.3"/>
    <row r="44661" s="160" customFormat="1" x14ac:dyDescent="0.3"/>
    <row r="44662" s="160" customFormat="1" x14ac:dyDescent="0.3"/>
    <row r="44663" s="160" customFormat="1" x14ac:dyDescent="0.3"/>
    <row r="44664" s="160" customFormat="1" x14ac:dyDescent="0.3"/>
    <row r="44665" s="160" customFormat="1" x14ac:dyDescent="0.3"/>
    <row r="44666" s="160" customFormat="1" x14ac:dyDescent="0.3"/>
    <row r="44667" s="160" customFormat="1" x14ac:dyDescent="0.3"/>
    <row r="44668" s="160" customFormat="1" x14ac:dyDescent="0.3"/>
    <row r="44669" s="160" customFormat="1" x14ac:dyDescent="0.3"/>
    <row r="44670" s="160" customFormat="1" x14ac:dyDescent="0.3"/>
    <row r="44671" s="160" customFormat="1" x14ac:dyDescent="0.3"/>
    <row r="44672" s="160" customFormat="1" x14ac:dyDescent="0.3"/>
    <row r="44673" s="160" customFormat="1" x14ac:dyDescent="0.3"/>
    <row r="44674" s="160" customFormat="1" x14ac:dyDescent="0.3"/>
    <row r="44675" s="160" customFormat="1" x14ac:dyDescent="0.3"/>
    <row r="44676" s="160" customFormat="1" x14ac:dyDescent="0.3"/>
    <row r="44677" s="160" customFormat="1" x14ac:dyDescent="0.3"/>
    <row r="44678" s="160" customFormat="1" x14ac:dyDescent="0.3"/>
    <row r="44679" s="160" customFormat="1" x14ac:dyDescent="0.3"/>
    <row r="44680" s="160" customFormat="1" x14ac:dyDescent="0.3"/>
    <row r="44681" s="160" customFormat="1" x14ac:dyDescent="0.3"/>
    <row r="44682" s="160" customFormat="1" x14ac:dyDescent="0.3"/>
    <row r="44683" s="160" customFormat="1" x14ac:dyDescent="0.3"/>
    <row r="44684" s="160" customFormat="1" x14ac:dyDescent="0.3"/>
    <row r="44685" s="160" customFormat="1" x14ac:dyDescent="0.3"/>
    <row r="44686" s="160" customFormat="1" x14ac:dyDescent="0.3"/>
    <row r="44687" s="160" customFormat="1" x14ac:dyDescent="0.3"/>
    <row r="44688" s="160" customFormat="1" x14ac:dyDescent="0.3"/>
    <row r="44689" s="160" customFormat="1" x14ac:dyDescent="0.3"/>
    <row r="44690" s="160" customFormat="1" x14ac:dyDescent="0.3"/>
    <row r="44691" s="160" customFormat="1" x14ac:dyDescent="0.3"/>
    <row r="44692" s="160" customFormat="1" x14ac:dyDescent="0.3"/>
    <row r="44693" s="160" customFormat="1" x14ac:dyDescent="0.3"/>
    <row r="44694" s="160" customFormat="1" x14ac:dyDescent="0.3"/>
    <row r="44695" s="160" customFormat="1" x14ac:dyDescent="0.3"/>
    <row r="44696" s="160" customFormat="1" x14ac:dyDescent="0.3"/>
    <row r="44697" s="160" customFormat="1" x14ac:dyDescent="0.3"/>
    <row r="44698" s="160" customFormat="1" x14ac:dyDescent="0.3"/>
    <row r="44699" s="160" customFormat="1" x14ac:dyDescent="0.3"/>
    <row r="44700" s="160" customFormat="1" x14ac:dyDescent="0.3"/>
    <row r="44701" s="160" customFormat="1" x14ac:dyDescent="0.3"/>
    <row r="44702" s="160" customFormat="1" x14ac:dyDescent="0.3"/>
    <row r="44703" s="160" customFormat="1" x14ac:dyDescent="0.3"/>
    <row r="44704" s="160" customFormat="1" x14ac:dyDescent="0.3"/>
    <row r="44705" s="160" customFormat="1" x14ac:dyDescent="0.3"/>
    <row r="44706" s="160" customFormat="1" x14ac:dyDescent="0.3"/>
    <row r="44707" s="160" customFormat="1" x14ac:dyDescent="0.3"/>
    <row r="44708" s="160" customFormat="1" x14ac:dyDescent="0.3"/>
    <row r="44709" s="160" customFormat="1" x14ac:dyDescent="0.3"/>
    <row r="44710" s="160" customFormat="1" x14ac:dyDescent="0.3"/>
    <row r="44711" s="160" customFormat="1" x14ac:dyDescent="0.3"/>
    <row r="44712" s="160" customFormat="1" x14ac:dyDescent="0.3"/>
    <row r="44713" s="160" customFormat="1" x14ac:dyDescent="0.3"/>
    <row r="44714" s="160" customFormat="1" x14ac:dyDescent="0.3"/>
    <row r="44715" s="160" customFormat="1" x14ac:dyDescent="0.3"/>
    <row r="44716" s="160" customFormat="1" x14ac:dyDescent="0.3"/>
    <row r="44717" s="160" customFormat="1" x14ac:dyDescent="0.3"/>
    <row r="44718" s="160" customFormat="1" x14ac:dyDescent="0.3"/>
    <row r="44719" s="160" customFormat="1" x14ac:dyDescent="0.3"/>
    <row r="44720" s="160" customFormat="1" x14ac:dyDescent="0.3"/>
    <row r="44721" s="160" customFormat="1" x14ac:dyDescent="0.3"/>
    <row r="44722" s="160" customFormat="1" x14ac:dyDescent="0.3"/>
    <row r="44723" s="160" customFormat="1" x14ac:dyDescent="0.3"/>
    <row r="44724" s="160" customFormat="1" x14ac:dyDescent="0.3"/>
    <row r="44725" s="160" customFormat="1" x14ac:dyDescent="0.3"/>
    <row r="44726" s="160" customFormat="1" x14ac:dyDescent="0.3"/>
    <row r="44727" s="160" customFormat="1" x14ac:dyDescent="0.3"/>
    <row r="44728" s="160" customFormat="1" x14ac:dyDescent="0.3"/>
    <row r="44729" s="160" customFormat="1" x14ac:dyDescent="0.3"/>
    <row r="44730" s="160" customFormat="1" x14ac:dyDescent="0.3"/>
    <row r="44731" s="160" customFormat="1" x14ac:dyDescent="0.3"/>
    <row r="44732" s="160" customFormat="1" x14ac:dyDescent="0.3"/>
    <row r="44733" s="160" customFormat="1" x14ac:dyDescent="0.3"/>
    <row r="44734" s="160" customFormat="1" x14ac:dyDescent="0.3"/>
    <row r="44735" s="160" customFormat="1" x14ac:dyDescent="0.3"/>
    <row r="44736" s="160" customFormat="1" x14ac:dyDescent="0.3"/>
    <row r="44737" s="160" customFormat="1" x14ac:dyDescent="0.3"/>
    <row r="44738" s="160" customFormat="1" x14ac:dyDescent="0.3"/>
    <row r="44739" s="160" customFormat="1" x14ac:dyDescent="0.3"/>
    <row r="44740" s="160" customFormat="1" x14ac:dyDescent="0.3"/>
    <row r="44741" s="160" customFormat="1" x14ac:dyDescent="0.3"/>
    <row r="44742" s="160" customFormat="1" x14ac:dyDescent="0.3"/>
    <row r="44743" s="160" customFormat="1" x14ac:dyDescent="0.3"/>
    <row r="44744" s="160" customFormat="1" x14ac:dyDescent="0.3"/>
    <row r="44745" s="160" customFormat="1" x14ac:dyDescent="0.3"/>
    <row r="44746" s="160" customFormat="1" x14ac:dyDescent="0.3"/>
    <row r="44747" s="160" customFormat="1" x14ac:dyDescent="0.3"/>
    <row r="44748" s="160" customFormat="1" x14ac:dyDescent="0.3"/>
    <row r="44749" s="160" customFormat="1" x14ac:dyDescent="0.3"/>
    <row r="44750" s="160" customFormat="1" x14ac:dyDescent="0.3"/>
    <row r="44751" s="160" customFormat="1" x14ac:dyDescent="0.3"/>
    <row r="44752" s="160" customFormat="1" x14ac:dyDescent="0.3"/>
    <row r="44753" s="160" customFormat="1" x14ac:dyDescent="0.3"/>
    <row r="44754" s="160" customFormat="1" x14ac:dyDescent="0.3"/>
    <row r="44755" s="160" customFormat="1" x14ac:dyDescent="0.3"/>
    <row r="44756" s="160" customFormat="1" x14ac:dyDescent="0.3"/>
    <row r="44757" s="160" customFormat="1" x14ac:dyDescent="0.3"/>
    <row r="44758" s="160" customFormat="1" x14ac:dyDescent="0.3"/>
    <row r="44759" s="160" customFormat="1" x14ac:dyDescent="0.3"/>
    <row r="44760" s="160" customFormat="1" x14ac:dyDescent="0.3"/>
    <row r="44761" s="160" customFormat="1" x14ac:dyDescent="0.3"/>
    <row r="44762" s="160" customFormat="1" x14ac:dyDescent="0.3"/>
    <row r="44763" s="160" customFormat="1" x14ac:dyDescent="0.3"/>
    <row r="44764" s="160" customFormat="1" x14ac:dyDescent="0.3"/>
    <row r="44765" s="160" customFormat="1" x14ac:dyDescent="0.3"/>
    <row r="44766" s="160" customFormat="1" x14ac:dyDescent="0.3"/>
    <row r="44767" s="160" customFormat="1" x14ac:dyDescent="0.3"/>
    <row r="44768" s="160" customFormat="1" x14ac:dyDescent="0.3"/>
    <row r="44769" s="160" customFormat="1" x14ac:dyDescent="0.3"/>
    <row r="44770" s="160" customFormat="1" x14ac:dyDescent="0.3"/>
    <row r="44771" s="160" customFormat="1" x14ac:dyDescent="0.3"/>
    <row r="44772" s="160" customFormat="1" x14ac:dyDescent="0.3"/>
    <row r="44773" s="160" customFormat="1" x14ac:dyDescent="0.3"/>
    <row r="44774" s="160" customFormat="1" x14ac:dyDescent="0.3"/>
    <row r="44775" s="160" customFormat="1" x14ac:dyDescent="0.3"/>
    <row r="44776" s="160" customFormat="1" x14ac:dyDescent="0.3"/>
    <row r="44777" s="160" customFormat="1" x14ac:dyDescent="0.3"/>
    <row r="44778" s="160" customFormat="1" x14ac:dyDescent="0.3"/>
    <row r="44779" s="160" customFormat="1" x14ac:dyDescent="0.3"/>
    <row r="44780" s="160" customFormat="1" x14ac:dyDescent="0.3"/>
    <row r="44781" s="160" customFormat="1" x14ac:dyDescent="0.3"/>
    <row r="44782" s="160" customFormat="1" x14ac:dyDescent="0.3"/>
    <row r="44783" s="160" customFormat="1" x14ac:dyDescent="0.3"/>
    <row r="44784" s="160" customFormat="1" x14ac:dyDescent="0.3"/>
    <row r="44785" s="160" customFormat="1" x14ac:dyDescent="0.3"/>
    <row r="44786" s="160" customFormat="1" x14ac:dyDescent="0.3"/>
    <row r="44787" s="160" customFormat="1" x14ac:dyDescent="0.3"/>
    <row r="44788" s="160" customFormat="1" x14ac:dyDescent="0.3"/>
    <row r="44789" s="160" customFormat="1" x14ac:dyDescent="0.3"/>
    <row r="44790" s="160" customFormat="1" x14ac:dyDescent="0.3"/>
    <row r="44791" s="160" customFormat="1" x14ac:dyDescent="0.3"/>
    <row r="44792" s="160" customFormat="1" x14ac:dyDescent="0.3"/>
    <row r="44793" s="160" customFormat="1" x14ac:dyDescent="0.3"/>
    <row r="44794" s="160" customFormat="1" x14ac:dyDescent="0.3"/>
    <row r="44795" s="160" customFormat="1" x14ac:dyDescent="0.3"/>
    <row r="44796" s="160" customFormat="1" x14ac:dyDescent="0.3"/>
    <row r="44797" s="160" customFormat="1" x14ac:dyDescent="0.3"/>
    <row r="44798" s="160" customFormat="1" x14ac:dyDescent="0.3"/>
    <row r="44799" s="160" customFormat="1" x14ac:dyDescent="0.3"/>
    <row r="44800" s="160" customFormat="1" x14ac:dyDescent="0.3"/>
    <row r="44801" s="160" customFormat="1" x14ac:dyDescent="0.3"/>
    <row r="44802" s="160" customFormat="1" x14ac:dyDescent="0.3"/>
    <row r="44803" s="160" customFormat="1" x14ac:dyDescent="0.3"/>
    <row r="44804" s="160" customFormat="1" x14ac:dyDescent="0.3"/>
    <row r="44805" s="160" customFormat="1" x14ac:dyDescent="0.3"/>
    <row r="44806" s="160" customFormat="1" x14ac:dyDescent="0.3"/>
    <row r="44807" s="160" customFormat="1" x14ac:dyDescent="0.3"/>
    <row r="44808" s="160" customFormat="1" x14ac:dyDescent="0.3"/>
    <row r="44809" s="160" customFormat="1" x14ac:dyDescent="0.3"/>
    <row r="44810" s="160" customFormat="1" x14ac:dyDescent="0.3"/>
    <row r="44811" s="160" customFormat="1" x14ac:dyDescent="0.3"/>
    <row r="44812" s="160" customFormat="1" x14ac:dyDescent="0.3"/>
    <row r="44813" s="160" customFormat="1" x14ac:dyDescent="0.3"/>
    <row r="44814" s="160" customFormat="1" x14ac:dyDescent="0.3"/>
    <row r="44815" s="160" customFormat="1" x14ac:dyDescent="0.3"/>
    <row r="44816" s="160" customFormat="1" x14ac:dyDescent="0.3"/>
    <row r="44817" s="160" customFormat="1" x14ac:dyDescent="0.3"/>
    <row r="44818" s="160" customFormat="1" x14ac:dyDescent="0.3"/>
    <row r="44819" s="160" customFormat="1" x14ac:dyDescent="0.3"/>
    <row r="44820" s="160" customFormat="1" x14ac:dyDescent="0.3"/>
    <row r="44821" s="160" customFormat="1" x14ac:dyDescent="0.3"/>
    <row r="44822" s="160" customFormat="1" x14ac:dyDescent="0.3"/>
    <row r="44823" s="160" customFormat="1" x14ac:dyDescent="0.3"/>
    <row r="44824" s="160" customFormat="1" x14ac:dyDescent="0.3"/>
    <row r="44825" s="160" customFormat="1" x14ac:dyDescent="0.3"/>
    <row r="44826" s="160" customFormat="1" x14ac:dyDescent="0.3"/>
    <row r="44827" s="160" customFormat="1" x14ac:dyDescent="0.3"/>
    <row r="44828" s="160" customFormat="1" x14ac:dyDescent="0.3"/>
    <row r="44829" s="160" customFormat="1" x14ac:dyDescent="0.3"/>
    <row r="44830" s="160" customFormat="1" x14ac:dyDescent="0.3"/>
    <row r="44831" s="160" customFormat="1" x14ac:dyDescent="0.3"/>
    <row r="44832" s="160" customFormat="1" x14ac:dyDescent="0.3"/>
    <row r="44833" s="160" customFormat="1" x14ac:dyDescent="0.3"/>
    <row r="44834" s="160" customFormat="1" x14ac:dyDescent="0.3"/>
    <row r="44835" s="160" customFormat="1" x14ac:dyDescent="0.3"/>
    <row r="44836" s="160" customFormat="1" x14ac:dyDescent="0.3"/>
    <row r="44837" s="160" customFormat="1" x14ac:dyDescent="0.3"/>
    <row r="44838" s="160" customFormat="1" x14ac:dyDescent="0.3"/>
    <row r="44839" s="160" customFormat="1" x14ac:dyDescent="0.3"/>
    <row r="44840" s="160" customFormat="1" x14ac:dyDescent="0.3"/>
    <row r="44841" s="160" customFormat="1" x14ac:dyDescent="0.3"/>
    <row r="44842" s="160" customFormat="1" x14ac:dyDescent="0.3"/>
    <row r="44843" s="160" customFormat="1" x14ac:dyDescent="0.3"/>
    <row r="44844" s="160" customFormat="1" x14ac:dyDescent="0.3"/>
    <row r="44845" s="160" customFormat="1" x14ac:dyDescent="0.3"/>
    <row r="44846" s="160" customFormat="1" x14ac:dyDescent="0.3"/>
    <row r="44847" s="160" customFormat="1" x14ac:dyDescent="0.3"/>
    <row r="44848" s="160" customFormat="1" x14ac:dyDescent="0.3"/>
    <row r="44849" s="160" customFormat="1" x14ac:dyDescent="0.3"/>
    <row r="44850" s="160" customFormat="1" x14ac:dyDescent="0.3"/>
    <row r="44851" s="160" customFormat="1" x14ac:dyDescent="0.3"/>
    <row r="44852" s="160" customFormat="1" x14ac:dyDescent="0.3"/>
    <row r="44853" s="160" customFormat="1" x14ac:dyDescent="0.3"/>
    <row r="44854" s="160" customFormat="1" x14ac:dyDescent="0.3"/>
    <row r="44855" s="160" customFormat="1" x14ac:dyDescent="0.3"/>
    <row r="44856" s="160" customFormat="1" x14ac:dyDescent="0.3"/>
    <row r="44857" s="160" customFormat="1" x14ac:dyDescent="0.3"/>
    <row r="44858" s="160" customFormat="1" x14ac:dyDescent="0.3"/>
    <row r="44859" s="160" customFormat="1" x14ac:dyDescent="0.3"/>
    <row r="44860" s="160" customFormat="1" x14ac:dyDescent="0.3"/>
    <row r="44861" s="160" customFormat="1" x14ac:dyDescent="0.3"/>
    <row r="44862" s="160" customFormat="1" x14ac:dyDescent="0.3"/>
    <row r="44863" s="160" customFormat="1" x14ac:dyDescent="0.3"/>
    <row r="44864" s="160" customFormat="1" x14ac:dyDescent="0.3"/>
    <row r="44865" s="160" customFormat="1" x14ac:dyDescent="0.3"/>
    <row r="44866" s="160" customFormat="1" x14ac:dyDescent="0.3"/>
    <row r="44867" s="160" customFormat="1" x14ac:dyDescent="0.3"/>
    <row r="44868" s="160" customFormat="1" x14ac:dyDescent="0.3"/>
    <row r="44869" s="160" customFormat="1" x14ac:dyDescent="0.3"/>
    <row r="44870" s="160" customFormat="1" x14ac:dyDescent="0.3"/>
    <row r="44871" s="160" customFormat="1" x14ac:dyDescent="0.3"/>
    <row r="44872" s="160" customFormat="1" x14ac:dyDescent="0.3"/>
    <row r="44873" s="160" customFormat="1" x14ac:dyDescent="0.3"/>
    <row r="44874" s="160" customFormat="1" x14ac:dyDescent="0.3"/>
    <row r="44875" s="160" customFormat="1" x14ac:dyDescent="0.3"/>
    <row r="44876" s="160" customFormat="1" x14ac:dyDescent="0.3"/>
    <row r="44877" s="160" customFormat="1" x14ac:dyDescent="0.3"/>
    <row r="44878" s="160" customFormat="1" x14ac:dyDescent="0.3"/>
    <row r="44879" s="160" customFormat="1" x14ac:dyDescent="0.3"/>
    <row r="44880" s="160" customFormat="1" x14ac:dyDescent="0.3"/>
    <row r="44881" s="160" customFormat="1" x14ac:dyDescent="0.3"/>
    <row r="44882" s="160" customFormat="1" x14ac:dyDescent="0.3"/>
    <row r="44883" s="160" customFormat="1" x14ac:dyDescent="0.3"/>
    <row r="44884" s="160" customFormat="1" x14ac:dyDescent="0.3"/>
    <row r="44885" s="160" customFormat="1" x14ac:dyDescent="0.3"/>
    <row r="44886" s="160" customFormat="1" x14ac:dyDescent="0.3"/>
    <row r="44887" s="160" customFormat="1" x14ac:dyDescent="0.3"/>
    <row r="44888" s="160" customFormat="1" x14ac:dyDescent="0.3"/>
    <row r="44889" s="160" customFormat="1" x14ac:dyDescent="0.3"/>
    <row r="44890" s="160" customFormat="1" x14ac:dyDescent="0.3"/>
    <row r="44891" s="160" customFormat="1" x14ac:dyDescent="0.3"/>
    <row r="44892" s="160" customFormat="1" x14ac:dyDescent="0.3"/>
    <row r="44893" s="160" customFormat="1" x14ac:dyDescent="0.3"/>
    <row r="44894" s="160" customFormat="1" x14ac:dyDescent="0.3"/>
    <row r="44895" s="160" customFormat="1" x14ac:dyDescent="0.3"/>
    <row r="44896" s="160" customFormat="1" x14ac:dyDescent="0.3"/>
    <row r="44897" s="160" customFormat="1" x14ac:dyDescent="0.3"/>
    <row r="44898" s="160" customFormat="1" x14ac:dyDescent="0.3"/>
    <row r="44899" s="160" customFormat="1" x14ac:dyDescent="0.3"/>
    <row r="44900" s="160" customFormat="1" x14ac:dyDescent="0.3"/>
    <row r="44901" s="160" customFormat="1" x14ac:dyDescent="0.3"/>
    <row r="44902" s="160" customFormat="1" x14ac:dyDescent="0.3"/>
    <row r="44903" s="160" customFormat="1" x14ac:dyDescent="0.3"/>
    <row r="44904" s="160" customFormat="1" x14ac:dyDescent="0.3"/>
    <row r="44905" s="160" customFormat="1" x14ac:dyDescent="0.3"/>
    <row r="44906" s="160" customFormat="1" x14ac:dyDescent="0.3"/>
    <row r="44907" s="160" customFormat="1" x14ac:dyDescent="0.3"/>
    <row r="44908" s="160" customFormat="1" x14ac:dyDescent="0.3"/>
    <row r="44909" s="160" customFormat="1" x14ac:dyDescent="0.3"/>
    <row r="44910" s="160" customFormat="1" x14ac:dyDescent="0.3"/>
    <row r="44911" s="160" customFormat="1" x14ac:dyDescent="0.3"/>
    <row r="44912" s="160" customFormat="1" x14ac:dyDescent="0.3"/>
    <row r="44913" s="160" customFormat="1" x14ac:dyDescent="0.3"/>
    <row r="44914" s="160" customFormat="1" x14ac:dyDescent="0.3"/>
    <row r="44915" s="160" customFormat="1" x14ac:dyDescent="0.3"/>
    <row r="44916" s="160" customFormat="1" x14ac:dyDescent="0.3"/>
    <row r="44917" s="160" customFormat="1" x14ac:dyDescent="0.3"/>
    <row r="44918" s="160" customFormat="1" x14ac:dyDescent="0.3"/>
    <row r="44919" s="160" customFormat="1" x14ac:dyDescent="0.3"/>
    <row r="44920" s="160" customFormat="1" x14ac:dyDescent="0.3"/>
    <row r="44921" s="160" customFormat="1" x14ac:dyDescent="0.3"/>
    <row r="44922" s="160" customFormat="1" x14ac:dyDescent="0.3"/>
    <row r="44923" s="160" customFormat="1" x14ac:dyDescent="0.3"/>
    <row r="44924" s="160" customFormat="1" x14ac:dyDescent="0.3"/>
    <row r="44925" s="160" customFormat="1" x14ac:dyDescent="0.3"/>
    <row r="44926" s="160" customFormat="1" x14ac:dyDescent="0.3"/>
    <row r="44927" s="160" customFormat="1" x14ac:dyDescent="0.3"/>
    <row r="44928" s="160" customFormat="1" x14ac:dyDescent="0.3"/>
    <row r="44929" s="160" customFormat="1" x14ac:dyDescent="0.3"/>
    <row r="44930" s="160" customFormat="1" x14ac:dyDescent="0.3"/>
    <row r="44931" s="160" customFormat="1" x14ac:dyDescent="0.3"/>
    <row r="44932" s="160" customFormat="1" x14ac:dyDescent="0.3"/>
    <row r="44933" s="160" customFormat="1" x14ac:dyDescent="0.3"/>
    <row r="44934" s="160" customFormat="1" x14ac:dyDescent="0.3"/>
    <row r="44935" s="160" customFormat="1" x14ac:dyDescent="0.3"/>
    <row r="44936" s="160" customFormat="1" x14ac:dyDescent="0.3"/>
    <row r="44937" s="160" customFormat="1" x14ac:dyDescent="0.3"/>
    <row r="44938" s="160" customFormat="1" x14ac:dyDescent="0.3"/>
    <row r="44939" s="160" customFormat="1" x14ac:dyDescent="0.3"/>
    <row r="44940" s="160" customFormat="1" x14ac:dyDescent="0.3"/>
    <row r="44941" s="160" customFormat="1" x14ac:dyDescent="0.3"/>
    <row r="44942" s="160" customFormat="1" x14ac:dyDescent="0.3"/>
    <row r="44943" s="160" customFormat="1" x14ac:dyDescent="0.3"/>
    <row r="44944" s="160" customFormat="1" x14ac:dyDescent="0.3"/>
    <row r="44945" s="160" customFormat="1" x14ac:dyDescent="0.3"/>
    <row r="44946" s="160" customFormat="1" x14ac:dyDescent="0.3"/>
    <row r="44947" s="160" customFormat="1" x14ac:dyDescent="0.3"/>
    <row r="44948" s="160" customFormat="1" x14ac:dyDescent="0.3"/>
    <row r="44949" s="160" customFormat="1" x14ac:dyDescent="0.3"/>
    <row r="44950" s="160" customFormat="1" x14ac:dyDescent="0.3"/>
    <row r="44951" s="160" customFormat="1" x14ac:dyDescent="0.3"/>
    <row r="44952" s="160" customFormat="1" x14ac:dyDescent="0.3"/>
    <row r="44953" s="160" customFormat="1" x14ac:dyDescent="0.3"/>
    <row r="44954" s="160" customFormat="1" x14ac:dyDescent="0.3"/>
    <row r="44955" s="160" customFormat="1" x14ac:dyDescent="0.3"/>
    <row r="44956" s="160" customFormat="1" x14ac:dyDescent="0.3"/>
    <row r="44957" s="160" customFormat="1" x14ac:dyDescent="0.3"/>
    <row r="44958" s="160" customFormat="1" x14ac:dyDescent="0.3"/>
    <row r="44959" s="160" customFormat="1" x14ac:dyDescent="0.3"/>
    <row r="44960" s="160" customFormat="1" x14ac:dyDescent="0.3"/>
    <row r="44961" s="160" customFormat="1" x14ac:dyDescent="0.3"/>
    <row r="44962" s="160" customFormat="1" x14ac:dyDescent="0.3"/>
    <row r="44963" s="160" customFormat="1" x14ac:dyDescent="0.3"/>
    <row r="44964" s="160" customFormat="1" x14ac:dyDescent="0.3"/>
    <row r="44965" s="160" customFormat="1" x14ac:dyDescent="0.3"/>
    <row r="44966" s="160" customFormat="1" x14ac:dyDescent="0.3"/>
    <row r="44967" s="160" customFormat="1" x14ac:dyDescent="0.3"/>
    <row r="44968" s="160" customFormat="1" x14ac:dyDescent="0.3"/>
    <row r="44969" s="160" customFormat="1" x14ac:dyDescent="0.3"/>
    <row r="44970" s="160" customFormat="1" x14ac:dyDescent="0.3"/>
    <row r="44971" s="160" customFormat="1" x14ac:dyDescent="0.3"/>
    <row r="44972" s="160" customFormat="1" x14ac:dyDescent="0.3"/>
    <row r="44973" s="160" customFormat="1" x14ac:dyDescent="0.3"/>
    <row r="44974" s="160" customFormat="1" x14ac:dyDescent="0.3"/>
    <row r="44975" s="160" customFormat="1" x14ac:dyDescent="0.3"/>
    <row r="44976" s="160" customFormat="1" x14ac:dyDescent="0.3"/>
    <row r="44977" s="160" customFormat="1" x14ac:dyDescent="0.3"/>
    <row r="44978" s="160" customFormat="1" x14ac:dyDescent="0.3"/>
    <row r="44979" s="160" customFormat="1" x14ac:dyDescent="0.3"/>
    <row r="44980" s="160" customFormat="1" x14ac:dyDescent="0.3"/>
    <row r="44981" s="160" customFormat="1" x14ac:dyDescent="0.3"/>
    <row r="44982" s="160" customFormat="1" x14ac:dyDescent="0.3"/>
    <row r="44983" s="160" customFormat="1" x14ac:dyDescent="0.3"/>
    <row r="44984" s="160" customFormat="1" x14ac:dyDescent="0.3"/>
    <row r="44985" s="160" customFormat="1" x14ac:dyDescent="0.3"/>
    <row r="44986" s="160" customFormat="1" x14ac:dyDescent="0.3"/>
    <row r="44987" s="160" customFormat="1" x14ac:dyDescent="0.3"/>
    <row r="44988" s="160" customFormat="1" x14ac:dyDescent="0.3"/>
    <row r="44989" s="160" customFormat="1" x14ac:dyDescent="0.3"/>
    <row r="44990" s="160" customFormat="1" x14ac:dyDescent="0.3"/>
    <row r="44991" s="160" customFormat="1" x14ac:dyDescent="0.3"/>
    <row r="44992" s="160" customFormat="1" x14ac:dyDescent="0.3"/>
    <row r="44993" s="160" customFormat="1" x14ac:dyDescent="0.3"/>
    <row r="44994" s="160" customFormat="1" x14ac:dyDescent="0.3"/>
    <row r="44995" s="160" customFormat="1" x14ac:dyDescent="0.3"/>
    <row r="44996" s="160" customFormat="1" x14ac:dyDescent="0.3"/>
    <row r="44997" s="160" customFormat="1" x14ac:dyDescent="0.3"/>
    <row r="44998" s="160" customFormat="1" x14ac:dyDescent="0.3"/>
    <row r="44999" s="160" customFormat="1" x14ac:dyDescent="0.3"/>
    <row r="45000" s="160" customFormat="1" x14ac:dyDescent="0.3"/>
    <row r="45001" s="160" customFormat="1" x14ac:dyDescent="0.3"/>
    <row r="45002" s="160" customFormat="1" x14ac:dyDescent="0.3"/>
    <row r="45003" s="160" customFormat="1" x14ac:dyDescent="0.3"/>
    <row r="45004" s="160" customFormat="1" x14ac:dyDescent="0.3"/>
    <row r="45005" s="160" customFormat="1" x14ac:dyDescent="0.3"/>
    <row r="45006" s="160" customFormat="1" x14ac:dyDescent="0.3"/>
    <row r="45007" s="160" customFormat="1" x14ac:dyDescent="0.3"/>
    <row r="45008" s="160" customFormat="1" x14ac:dyDescent="0.3"/>
    <row r="45009" s="160" customFormat="1" x14ac:dyDescent="0.3"/>
    <row r="45010" s="160" customFormat="1" x14ac:dyDescent="0.3"/>
    <row r="45011" s="160" customFormat="1" x14ac:dyDescent="0.3"/>
    <row r="45012" s="160" customFormat="1" x14ac:dyDescent="0.3"/>
    <row r="45013" s="160" customFormat="1" x14ac:dyDescent="0.3"/>
    <row r="45014" s="160" customFormat="1" x14ac:dyDescent="0.3"/>
    <row r="45015" s="160" customFormat="1" x14ac:dyDescent="0.3"/>
    <row r="45016" s="160" customFormat="1" x14ac:dyDescent="0.3"/>
    <row r="45017" s="160" customFormat="1" x14ac:dyDescent="0.3"/>
    <row r="45018" s="160" customFormat="1" x14ac:dyDescent="0.3"/>
    <row r="45019" s="160" customFormat="1" x14ac:dyDescent="0.3"/>
    <row r="45020" s="160" customFormat="1" x14ac:dyDescent="0.3"/>
    <row r="45021" s="160" customFormat="1" x14ac:dyDescent="0.3"/>
    <row r="45022" s="160" customFormat="1" x14ac:dyDescent="0.3"/>
    <row r="45023" s="160" customFormat="1" x14ac:dyDescent="0.3"/>
    <row r="45024" s="160" customFormat="1" x14ac:dyDescent="0.3"/>
    <row r="45025" s="160" customFormat="1" x14ac:dyDescent="0.3"/>
    <row r="45026" s="160" customFormat="1" x14ac:dyDescent="0.3"/>
    <row r="45027" s="160" customFormat="1" x14ac:dyDescent="0.3"/>
    <row r="45028" s="160" customFormat="1" x14ac:dyDescent="0.3"/>
    <row r="45029" s="160" customFormat="1" x14ac:dyDescent="0.3"/>
    <row r="45030" s="160" customFormat="1" x14ac:dyDescent="0.3"/>
    <row r="45031" s="160" customFormat="1" x14ac:dyDescent="0.3"/>
    <row r="45032" s="160" customFormat="1" x14ac:dyDescent="0.3"/>
    <row r="45033" s="160" customFormat="1" x14ac:dyDescent="0.3"/>
    <row r="45034" s="160" customFormat="1" x14ac:dyDescent="0.3"/>
    <row r="45035" s="160" customFormat="1" x14ac:dyDescent="0.3"/>
    <row r="45036" s="160" customFormat="1" x14ac:dyDescent="0.3"/>
    <row r="45037" s="160" customFormat="1" x14ac:dyDescent="0.3"/>
    <row r="45038" s="160" customFormat="1" x14ac:dyDescent="0.3"/>
    <row r="45039" s="160" customFormat="1" x14ac:dyDescent="0.3"/>
    <row r="45040" s="160" customFormat="1" x14ac:dyDescent="0.3"/>
    <row r="45041" s="160" customFormat="1" x14ac:dyDescent="0.3"/>
    <row r="45042" s="160" customFormat="1" x14ac:dyDescent="0.3"/>
    <row r="45043" s="160" customFormat="1" x14ac:dyDescent="0.3"/>
    <row r="45044" s="160" customFormat="1" x14ac:dyDescent="0.3"/>
    <row r="45045" s="160" customFormat="1" x14ac:dyDescent="0.3"/>
    <row r="45046" s="160" customFormat="1" x14ac:dyDescent="0.3"/>
    <row r="45047" s="160" customFormat="1" x14ac:dyDescent="0.3"/>
    <row r="45048" s="160" customFormat="1" x14ac:dyDescent="0.3"/>
    <row r="45049" s="160" customFormat="1" x14ac:dyDescent="0.3"/>
    <row r="45050" s="160" customFormat="1" x14ac:dyDescent="0.3"/>
    <row r="45051" s="160" customFormat="1" x14ac:dyDescent="0.3"/>
    <row r="45052" s="160" customFormat="1" x14ac:dyDescent="0.3"/>
    <row r="45053" s="160" customFormat="1" x14ac:dyDescent="0.3"/>
    <row r="45054" s="160" customFormat="1" x14ac:dyDescent="0.3"/>
    <row r="45055" s="160" customFormat="1" x14ac:dyDescent="0.3"/>
    <row r="45056" s="160" customFormat="1" x14ac:dyDescent="0.3"/>
    <row r="45057" s="160" customFormat="1" x14ac:dyDescent="0.3"/>
    <row r="45058" s="160" customFormat="1" x14ac:dyDescent="0.3"/>
    <row r="45059" s="160" customFormat="1" x14ac:dyDescent="0.3"/>
    <row r="45060" s="160" customFormat="1" x14ac:dyDescent="0.3"/>
    <row r="45061" s="160" customFormat="1" x14ac:dyDescent="0.3"/>
    <row r="45062" s="160" customFormat="1" x14ac:dyDescent="0.3"/>
    <row r="45063" s="160" customFormat="1" x14ac:dyDescent="0.3"/>
    <row r="45064" s="160" customFormat="1" x14ac:dyDescent="0.3"/>
    <row r="45065" s="160" customFormat="1" x14ac:dyDescent="0.3"/>
    <row r="45066" s="160" customFormat="1" x14ac:dyDescent="0.3"/>
    <row r="45067" s="160" customFormat="1" x14ac:dyDescent="0.3"/>
    <row r="45068" s="160" customFormat="1" x14ac:dyDescent="0.3"/>
    <row r="45069" s="160" customFormat="1" x14ac:dyDescent="0.3"/>
    <row r="45070" s="160" customFormat="1" x14ac:dyDescent="0.3"/>
    <row r="45071" s="160" customFormat="1" x14ac:dyDescent="0.3"/>
    <row r="45072" s="160" customFormat="1" x14ac:dyDescent="0.3"/>
    <row r="45073" s="160" customFormat="1" x14ac:dyDescent="0.3"/>
    <row r="45074" s="160" customFormat="1" x14ac:dyDescent="0.3"/>
    <row r="45075" s="160" customFormat="1" x14ac:dyDescent="0.3"/>
    <row r="45076" s="160" customFormat="1" x14ac:dyDescent="0.3"/>
    <row r="45077" s="160" customFormat="1" x14ac:dyDescent="0.3"/>
    <row r="45078" s="160" customFormat="1" x14ac:dyDescent="0.3"/>
    <row r="45079" s="160" customFormat="1" x14ac:dyDescent="0.3"/>
    <row r="45080" s="160" customFormat="1" x14ac:dyDescent="0.3"/>
    <row r="45081" s="160" customFormat="1" x14ac:dyDescent="0.3"/>
    <row r="45082" s="160" customFormat="1" x14ac:dyDescent="0.3"/>
    <row r="45083" s="160" customFormat="1" x14ac:dyDescent="0.3"/>
    <row r="45084" s="160" customFormat="1" x14ac:dyDescent="0.3"/>
    <row r="45085" s="160" customFormat="1" x14ac:dyDescent="0.3"/>
    <row r="45086" s="160" customFormat="1" x14ac:dyDescent="0.3"/>
    <row r="45087" s="160" customFormat="1" x14ac:dyDescent="0.3"/>
    <row r="45088" s="160" customFormat="1" x14ac:dyDescent="0.3"/>
    <row r="45089" s="160" customFormat="1" x14ac:dyDescent="0.3"/>
    <row r="45090" s="160" customFormat="1" x14ac:dyDescent="0.3"/>
    <row r="45091" s="160" customFormat="1" x14ac:dyDescent="0.3"/>
    <row r="45092" s="160" customFormat="1" x14ac:dyDescent="0.3"/>
    <row r="45093" s="160" customFormat="1" x14ac:dyDescent="0.3"/>
    <row r="45094" s="160" customFormat="1" x14ac:dyDescent="0.3"/>
    <row r="45095" s="160" customFormat="1" x14ac:dyDescent="0.3"/>
    <row r="45096" s="160" customFormat="1" x14ac:dyDescent="0.3"/>
    <row r="45097" s="160" customFormat="1" x14ac:dyDescent="0.3"/>
    <row r="45098" s="160" customFormat="1" x14ac:dyDescent="0.3"/>
    <row r="45099" s="160" customFormat="1" x14ac:dyDescent="0.3"/>
    <row r="45100" s="160" customFormat="1" x14ac:dyDescent="0.3"/>
    <row r="45101" s="160" customFormat="1" x14ac:dyDescent="0.3"/>
    <row r="45102" s="160" customFormat="1" x14ac:dyDescent="0.3"/>
    <row r="45103" s="160" customFormat="1" x14ac:dyDescent="0.3"/>
    <row r="45104" s="160" customFormat="1" x14ac:dyDescent="0.3"/>
    <row r="45105" s="160" customFormat="1" x14ac:dyDescent="0.3"/>
    <row r="45106" s="160" customFormat="1" x14ac:dyDescent="0.3"/>
    <row r="45107" s="160" customFormat="1" x14ac:dyDescent="0.3"/>
    <row r="45108" s="160" customFormat="1" x14ac:dyDescent="0.3"/>
    <row r="45109" s="160" customFormat="1" x14ac:dyDescent="0.3"/>
    <row r="45110" s="160" customFormat="1" x14ac:dyDescent="0.3"/>
    <row r="45111" s="160" customFormat="1" x14ac:dyDescent="0.3"/>
    <row r="45112" s="160" customFormat="1" x14ac:dyDescent="0.3"/>
    <row r="45113" s="160" customFormat="1" x14ac:dyDescent="0.3"/>
    <row r="45114" s="160" customFormat="1" x14ac:dyDescent="0.3"/>
    <row r="45115" s="160" customFormat="1" x14ac:dyDescent="0.3"/>
    <row r="45116" s="160" customFormat="1" x14ac:dyDescent="0.3"/>
    <row r="45117" s="160" customFormat="1" x14ac:dyDescent="0.3"/>
    <row r="45118" s="160" customFormat="1" x14ac:dyDescent="0.3"/>
    <row r="45119" s="160" customFormat="1" x14ac:dyDescent="0.3"/>
    <row r="45120" s="160" customFormat="1" x14ac:dyDescent="0.3"/>
    <row r="45121" s="160" customFormat="1" x14ac:dyDescent="0.3"/>
    <row r="45122" s="160" customFormat="1" x14ac:dyDescent="0.3"/>
    <row r="45123" s="160" customFormat="1" x14ac:dyDescent="0.3"/>
    <row r="45124" s="160" customFormat="1" x14ac:dyDescent="0.3"/>
    <row r="45125" s="160" customFormat="1" x14ac:dyDescent="0.3"/>
    <row r="45126" s="160" customFormat="1" x14ac:dyDescent="0.3"/>
    <row r="45127" s="160" customFormat="1" x14ac:dyDescent="0.3"/>
    <row r="45128" s="160" customFormat="1" x14ac:dyDescent="0.3"/>
    <row r="45129" s="160" customFormat="1" x14ac:dyDescent="0.3"/>
    <row r="45130" s="160" customFormat="1" x14ac:dyDescent="0.3"/>
    <row r="45131" s="160" customFormat="1" x14ac:dyDescent="0.3"/>
    <row r="45132" s="160" customFormat="1" x14ac:dyDescent="0.3"/>
    <row r="45133" s="160" customFormat="1" x14ac:dyDescent="0.3"/>
    <row r="45134" s="160" customFormat="1" x14ac:dyDescent="0.3"/>
    <row r="45135" s="160" customFormat="1" x14ac:dyDescent="0.3"/>
    <row r="45136" s="160" customFormat="1" x14ac:dyDescent="0.3"/>
    <row r="45137" s="160" customFormat="1" x14ac:dyDescent="0.3"/>
    <row r="45138" s="160" customFormat="1" x14ac:dyDescent="0.3"/>
    <row r="45139" s="160" customFormat="1" x14ac:dyDescent="0.3"/>
    <row r="45140" s="160" customFormat="1" x14ac:dyDescent="0.3"/>
    <row r="45141" s="160" customFormat="1" x14ac:dyDescent="0.3"/>
    <row r="45142" s="160" customFormat="1" x14ac:dyDescent="0.3"/>
    <row r="45143" s="160" customFormat="1" x14ac:dyDescent="0.3"/>
    <row r="45144" s="160" customFormat="1" x14ac:dyDescent="0.3"/>
    <row r="45145" s="160" customFormat="1" x14ac:dyDescent="0.3"/>
    <row r="45146" s="160" customFormat="1" x14ac:dyDescent="0.3"/>
    <row r="45147" s="160" customFormat="1" x14ac:dyDescent="0.3"/>
    <row r="45148" s="160" customFormat="1" x14ac:dyDescent="0.3"/>
    <row r="45149" s="160" customFormat="1" x14ac:dyDescent="0.3"/>
    <row r="45150" s="160" customFormat="1" x14ac:dyDescent="0.3"/>
    <row r="45151" s="160" customFormat="1" x14ac:dyDescent="0.3"/>
    <row r="45152" s="160" customFormat="1" x14ac:dyDescent="0.3"/>
    <row r="45153" s="160" customFormat="1" x14ac:dyDescent="0.3"/>
    <row r="45154" s="160" customFormat="1" x14ac:dyDescent="0.3"/>
    <row r="45155" s="160" customFormat="1" x14ac:dyDescent="0.3"/>
    <row r="45156" s="160" customFormat="1" x14ac:dyDescent="0.3"/>
    <row r="45157" s="160" customFormat="1" x14ac:dyDescent="0.3"/>
    <row r="45158" s="160" customFormat="1" x14ac:dyDescent="0.3"/>
    <row r="45159" s="160" customFormat="1" x14ac:dyDescent="0.3"/>
    <row r="45160" s="160" customFormat="1" x14ac:dyDescent="0.3"/>
    <row r="45161" s="160" customFormat="1" x14ac:dyDescent="0.3"/>
    <row r="45162" s="160" customFormat="1" x14ac:dyDescent="0.3"/>
    <row r="45163" s="160" customFormat="1" x14ac:dyDescent="0.3"/>
    <row r="45164" s="160" customFormat="1" x14ac:dyDescent="0.3"/>
    <row r="45165" s="160" customFormat="1" x14ac:dyDescent="0.3"/>
    <row r="45166" s="160" customFormat="1" x14ac:dyDescent="0.3"/>
    <row r="45167" s="160" customFormat="1" x14ac:dyDescent="0.3"/>
    <row r="45168" s="160" customFormat="1" x14ac:dyDescent="0.3"/>
    <row r="45169" s="160" customFormat="1" x14ac:dyDescent="0.3"/>
    <row r="45170" s="160" customFormat="1" x14ac:dyDescent="0.3"/>
    <row r="45171" s="160" customFormat="1" x14ac:dyDescent="0.3"/>
    <row r="45172" s="160" customFormat="1" x14ac:dyDescent="0.3"/>
    <row r="45173" s="160" customFormat="1" x14ac:dyDescent="0.3"/>
    <row r="45174" s="160" customFormat="1" x14ac:dyDescent="0.3"/>
    <row r="45175" s="160" customFormat="1" x14ac:dyDescent="0.3"/>
    <row r="45176" s="160" customFormat="1" x14ac:dyDescent="0.3"/>
    <row r="45177" s="160" customFormat="1" x14ac:dyDescent="0.3"/>
    <row r="45178" s="160" customFormat="1" x14ac:dyDescent="0.3"/>
    <row r="45179" s="160" customFormat="1" x14ac:dyDescent="0.3"/>
    <row r="45180" s="160" customFormat="1" x14ac:dyDescent="0.3"/>
    <row r="45181" s="160" customFormat="1" x14ac:dyDescent="0.3"/>
    <row r="45182" s="160" customFormat="1" x14ac:dyDescent="0.3"/>
    <row r="45183" s="160" customFormat="1" x14ac:dyDescent="0.3"/>
    <row r="45184" s="160" customFormat="1" x14ac:dyDescent="0.3"/>
    <row r="45185" s="160" customFormat="1" x14ac:dyDescent="0.3"/>
    <row r="45186" s="160" customFormat="1" x14ac:dyDescent="0.3"/>
    <row r="45187" s="160" customFormat="1" x14ac:dyDescent="0.3"/>
    <row r="45188" s="160" customFormat="1" x14ac:dyDescent="0.3"/>
    <row r="45189" s="160" customFormat="1" x14ac:dyDescent="0.3"/>
    <row r="45190" s="160" customFormat="1" x14ac:dyDescent="0.3"/>
    <row r="45191" s="160" customFormat="1" x14ac:dyDescent="0.3"/>
    <row r="45192" s="160" customFormat="1" x14ac:dyDescent="0.3"/>
    <row r="45193" s="160" customFormat="1" x14ac:dyDescent="0.3"/>
    <row r="45194" s="160" customFormat="1" x14ac:dyDescent="0.3"/>
    <row r="45195" s="160" customFormat="1" x14ac:dyDescent="0.3"/>
    <row r="45196" s="160" customFormat="1" x14ac:dyDescent="0.3"/>
    <row r="45197" s="160" customFormat="1" x14ac:dyDescent="0.3"/>
    <row r="45198" s="160" customFormat="1" x14ac:dyDescent="0.3"/>
    <row r="45199" s="160" customFormat="1" x14ac:dyDescent="0.3"/>
    <row r="45200" s="160" customFormat="1" x14ac:dyDescent="0.3"/>
    <row r="45201" s="160" customFormat="1" x14ac:dyDescent="0.3"/>
    <row r="45202" s="160" customFormat="1" x14ac:dyDescent="0.3"/>
    <row r="45203" s="160" customFormat="1" x14ac:dyDescent="0.3"/>
    <row r="45204" s="160" customFormat="1" x14ac:dyDescent="0.3"/>
    <row r="45205" s="160" customFormat="1" x14ac:dyDescent="0.3"/>
    <row r="45206" s="160" customFormat="1" x14ac:dyDescent="0.3"/>
    <row r="45207" s="160" customFormat="1" x14ac:dyDescent="0.3"/>
    <row r="45208" s="160" customFormat="1" x14ac:dyDescent="0.3"/>
    <row r="45209" s="160" customFormat="1" x14ac:dyDescent="0.3"/>
    <row r="45210" s="160" customFormat="1" x14ac:dyDescent="0.3"/>
    <row r="45211" s="160" customFormat="1" x14ac:dyDescent="0.3"/>
    <row r="45212" s="160" customFormat="1" x14ac:dyDescent="0.3"/>
    <row r="45213" s="160" customFormat="1" x14ac:dyDescent="0.3"/>
    <row r="45214" s="160" customFormat="1" x14ac:dyDescent="0.3"/>
    <row r="45215" s="160" customFormat="1" x14ac:dyDescent="0.3"/>
    <row r="45216" s="160" customFormat="1" x14ac:dyDescent="0.3"/>
    <row r="45217" s="160" customFormat="1" x14ac:dyDescent="0.3"/>
    <row r="45218" s="160" customFormat="1" x14ac:dyDescent="0.3"/>
    <row r="45219" s="160" customFormat="1" x14ac:dyDescent="0.3"/>
    <row r="45220" s="160" customFormat="1" x14ac:dyDescent="0.3"/>
    <row r="45221" s="160" customFormat="1" x14ac:dyDescent="0.3"/>
    <row r="45222" s="160" customFormat="1" x14ac:dyDescent="0.3"/>
    <row r="45223" s="160" customFormat="1" x14ac:dyDescent="0.3"/>
    <row r="45224" s="160" customFormat="1" x14ac:dyDescent="0.3"/>
    <row r="45225" s="160" customFormat="1" x14ac:dyDescent="0.3"/>
    <row r="45226" s="160" customFormat="1" x14ac:dyDescent="0.3"/>
    <row r="45227" s="160" customFormat="1" x14ac:dyDescent="0.3"/>
    <row r="45228" s="160" customFormat="1" x14ac:dyDescent="0.3"/>
    <row r="45229" s="160" customFormat="1" x14ac:dyDescent="0.3"/>
    <row r="45230" s="160" customFormat="1" x14ac:dyDescent="0.3"/>
    <row r="45231" s="160" customFormat="1" x14ac:dyDescent="0.3"/>
    <row r="45232" s="160" customFormat="1" x14ac:dyDescent="0.3"/>
    <row r="45233" s="160" customFormat="1" x14ac:dyDescent="0.3"/>
    <row r="45234" s="160" customFormat="1" x14ac:dyDescent="0.3"/>
    <row r="45235" s="160" customFormat="1" x14ac:dyDescent="0.3"/>
    <row r="45236" s="160" customFormat="1" x14ac:dyDescent="0.3"/>
    <row r="45237" s="160" customFormat="1" x14ac:dyDescent="0.3"/>
    <row r="45238" s="160" customFormat="1" x14ac:dyDescent="0.3"/>
    <row r="45239" s="160" customFormat="1" x14ac:dyDescent="0.3"/>
    <row r="45240" s="160" customFormat="1" x14ac:dyDescent="0.3"/>
    <row r="45241" s="160" customFormat="1" x14ac:dyDescent="0.3"/>
    <row r="45242" s="160" customFormat="1" x14ac:dyDescent="0.3"/>
    <row r="45243" s="160" customFormat="1" x14ac:dyDescent="0.3"/>
    <row r="45244" s="160" customFormat="1" x14ac:dyDescent="0.3"/>
    <row r="45245" s="160" customFormat="1" x14ac:dyDescent="0.3"/>
    <row r="45246" s="160" customFormat="1" x14ac:dyDescent="0.3"/>
    <row r="45247" s="160" customFormat="1" x14ac:dyDescent="0.3"/>
    <row r="45248" s="160" customFormat="1" x14ac:dyDescent="0.3"/>
    <row r="45249" s="160" customFormat="1" x14ac:dyDescent="0.3"/>
    <row r="45250" s="160" customFormat="1" x14ac:dyDescent="0.3"/>
    <row r="45251" s="160" customFormat="1" x14ac:dyDescent="0.3"/>
    <row r="45252" s="160" customFormat="1" x14ac:dyDescent="0.3"/>
    <row r="45253" s="160" customFormat="1" x14ac:dyDescent="0.3"/>
    <row r="45254" s="160" customFormat="1" x14ac:dyDescent="0.3"/>
    <row r="45255" s="160" customFormat="1" x14ac:dyDescent="0.3"/>
    <row r="45256" s="160" customFormat="1" x14ac:dyDescent="0.3"/>
    <row r="45257" s="160" customFormat="1" x14ac:dyDescent="0.3"/>
    <row r="45258" s="160" customFormat="1" x14ac:dyDescent="0.3"/>
    <row r="45259" s="160" customFormat="1" x14ac:dyDescent="0.3"/>
    <row r="45260" s="160" customFormat="1" x14ac:dyDescent="0.3"/>
    <row r="45261" s="160" customFormat="1" x14ac:dyDescent="0.3"/>
    <row r="45262" s="160" customFormat="1" x14ac:dyDescent="0.3"/>
    <row r="45263" s="160" customFormat="1" x14ac:dyDescent="0.3"/>
    <row r="45264" s="160" customFormat="1" x14ac:dyDescent="0.3"/>
    <row r="45265" s="160" customFormat="1" x14ac:dyDescent="0.3"/>
    <row r="45266" s="160" customFormat="1" x14ac:dyDescent="0.3"/>
    <row r="45267" s="160" customFormat="1" x14ac:dyDescent="0.3"/>
    <row r="45268" s="160" customFormat="1" x14ac:dyDescent="0.3"/>
    <row r="45269" s="160" customFormat="1" x14ac:dyDescent="0.3"/>
    <row r="45270" s="160" customFormat="1" x14ac:dyDescent="0.3"/>
    <row r="45271" s="160" customFormat="1" x14ac:dyDescent="0.3"/>
    <row r="45272" s="160" customFormat="1" x14ac:dyDescent="0.3"/>
    <row r="45273" s="160" customFormat="1" x14ac:dyDescent="0.3"/>
    <row r="45274" s="160" customFormat="1" x14ac:dyDescent="0.3"/>
    <row r="45275" s="160" customFormat="1" x14ac:dyDescent="0.3"/>
    <row r="45276" s="160" customFormat="1" x14ac:dyDescent="0.3"/>
    <row r="45277" s="160" customFormat="1" x14ac:dyDescent="0.3"/>
    <row r="45278" s="160" customFormat="1" x14ac:dyDescent="0.3"/>
    <row r="45279" s="160" customFormat="1" x14ac:dyDescent="0.3"/>
    <row r="45280" s="160" customFormat="1" x14ac:dyDescent="0.3"/>
    <row r="45281" s="160" customFormat="1" x14ac:dyDescent="0.3"/>
    <row r="45282" s="160" customFormat="1" x14ac:dyDescent="0.3"/>
    <row r="45283" s="160" customFormat="1" x14ac:dyDescent="0.3"/>
    <row r="45284" s="160" customFormat="1" x14ac:dyDescent="0.3"/>
    <row r="45285" s="160" customFormat="1" x14ac:dyDescent="0.3"/>
    <row r="45286" s="160" customFormat="1" x14ac:dyDescent="0.3"/>
    <row r="45287" s="160" customFormat="1" x14ac:dyDescent="0.3"/>
    <row r="45288" s="160" customFormat="1" x14ac:dyDescent="0.3"/>
    <row r="45289" s="160" customFormat="1" x14ac:dyDescent="0.3"/>
    <row r="45290" s="160" customFormat="1" x14ac:dyDescent="0.3"/>
    <row r="45291" s="160" customFormat="1" x14ac:dyDescent="0.3"/>
    <row r="45292" s="160" customFormat="1" x14ac:dyDescent="0.3"/>
    <row r="45293" s="160" customFormat="1" x14ac:dyDescent="0.3"/>
    <row r="45294" s="160" customFormat="1" x14ac:dyDescent="0.3"/>
    <row r="45295" s="160" customFormat="1" x14ac:dyDescent="0.3"/>
    <row r="45296" s="160" customFormat="1" x14ac:dyDescent="0.3"/>
    <row r="45297" s="160" customFormat="1" x14ac:dyDescent="0.3"/>
    <row r="45298" s="160" customFormat="1" x14ac:dyDescent="0.3"/>
    <row r="45299" s="160" customFormat="1" x14ac:dyDescent="0.3"/>
    <row r="45300" s="160" customFormat="1" x14ac:dyDescent="0.3"/>
    <row r="45301" s="160" customFormat="1" x14ac:dyDescent="0.3"/>
    <row r="45302" s="160" customFormat="1" x14ac:dyDescent="0.3"/>
    <row r="45303" s="160" customFormat="1" x14ac:dyDescent="0.3"/>
    <row r="45304" s="160" customFormat="1" x14ac:dyDescent="0.3"/>
    <row r="45305" s="160" customFormat="1" x14ac:dyDescent="0.3"/>
    <row r="45306" s="160" customFormat="1" x14ac:dyDescent="0.3"/>
    <row r="45307" s="160" customFormat="1" x14ac:dyDescent="0.3"/>
    <row r="45308" s="160" customFormat="1" x14ac:dyDescent="0.3"/>
    <row r="45309" s="160" customFormat="1" x14ac:dyDescent="0.3"/>
    <row r="45310" s="160" customFormat="1" x14ac:dyDescent="0.3"/>
    <row r="45311" s="160" customFormat="1" x14ac:dyDescent="0.3"/>
    <row r="45312" s="160" customFormat="1" x14ac:dyDescent="0.3"/>
    <row r="45313" s="160" customFormat="1" x14ac:dyDescent="0.3"/>
    <row r="45314" s="160" customFormat="1" x14ac:dyDescent="0.3"/>
    <row r="45315" s="160" customFormat="1" x14ac:dyDescent="0.3"/>
    <row r="45316" s="160" customFormat="1" x14ac:dyDescent="0.3"/>
    <row r="45317" s="160" customFormat="1" x14ac:dyDescent="0.3"/>
    <row r="45318" s="160" customFormat="1" x14ac:dyDescent="0.3"/>
    <row r="45319" s="160" customFormat="1" x14ac:dyDescent="0.3"/>
    <row r="45320" s="160" customFormat="1" x14ac:dyDescent="0.3"/>
    <row r="45321" s="160" customFormat="1" x14ac:dyDescent="0.3"/>
    <row r="45322" s="160" customFormat="1" x14ac:dyDescent="0.3"/>
    <row r="45323" s="160" customFormat="1" x14ac:dyDescent="0.3"/>
    <row r="45324" s="160" customFormat="1" x14ac:dyDescent="0.3"/>
    <row r="45325" s="160" customFormat="1" x14ac:dyDescent="0.3"/>
    <row r="45326" s="160" customFormat="1" x14ac:dyDescent="0.3"/>
    <row r="45327" s="160" customFormat="1" x14ac:dyDescent="0.3"/>
    <row r="45328" s="160" customFormat="1" x14ac:dyDescent="0.3"/>
    <row r="45329" s="160" customFormat="1" x14ac:dyDescent="0.3"/>
    <row r="45330" s="160" customFormat="1" x14ac:dyDescent="0.3"/>
    <row r="45331" s="160" customFormat="1" x14ac:dyDescent="0.3"/>
    <row r="45332" s="160" customFormat="1" x14ac:dyDescent="0.3"/>
    <row r="45333" s="160" customFormat="1" x14ac:dyDescent="0.3"/>
    <row r="45334" s="160" customFormat="1" x14ac:dyDescent="0.3"/>
    <row r="45335" s="160" customFormat="1" x14ac:dyDescent="0.3"/>
    <row r="45336" s="160" customFormat="1" x14ac:dyDescent="0.3"/>
    <row r="45337" s="160" customFormat="1" x14ac:dyDescent="0.3"/>
    <row r="45338" s="160" customFormat="1" x14ac:dyDescent="0.3"/>
    <row r="45339" s="160" customFormat="1" x14ac:dyDescent="0.3"/>
    <row r="45340" s="160" customFormat="1" x14ac:dyDescent="0.3"/>
    <row r="45341" s="160" customFormat="1" x14ac:dyDescent="0.3"/>
    <row r="45342" s="160" customFormat="1" x14ac:dyDescent="0.3"/>
    <row r="45343" s="160" customFormat="1" x14ac:dyDescent="0.3"/>
    <row r="45344" s="160" customFormat="1" x14ac:dyDescent="0.3"/>
    <row r="45345" s="160" customFormat="1" x14ac:dyDescent="0.3"/>
    <row r="45346" s="160" customFormat="1" x14ac:dyDescent="0.3"/>
    <row r="45347" s="160" customFormat="1" x14ac:dyDescent="0.3"/>
    <row r="45348" s="160" customFormat="1" x14ac:dyDescent="0.3"/>
    <row r="45349" s="160" customFormat="1" x14ac:dyDescent="0.3"/>
    <row r="45350" s="160" customFormat="1" x14ac:dyDescent="0.3"/>
    <row r="45351" s="160" customFormat="1" x14ac:dyDescent="0.3"/>
    <row r="45352" s="160" customFormat="1" x14ac:dyDescent="0.3"/>
    <row r="45353" s="160" customFormat="1" x14ac:dyDescent="0.3"/>
    <row r="45354" s="160" customFormat="1" x14ac:dyDescent="0.3"/>
    <row r="45355" s="160" customFormat="1" x14ac:dyDescent="0.3"/>
    <row r="45356" s="160" customFormat="1" x14ac:dyDescent="0.3"/>
    <row r="45357" s="160" customFormat="1" x14ac:dyDescent="0.3"/>
    <row r="45358" s="160" customFormat="1" x14ac:dyDescent="0.3"/>
    <row r="45359" s="160" customFormat="1" x14ac:dyDescent="0.3"/>
    <row r="45360" s="160" customFormat="1" x14ac:dyDescent="0.3"/>
    <row r="45361" s="160" customFormat="1" x14ac:dyDescent="0.3"/>
    <row r="45362" s="160" customFormat="1" x14ac:dyDescent="0.3"/>
    <row r="45363" s="160" customFormat="1" x14ac:dyDescent="0.3"/>
    <row r="45364" s="160" customFormat="1" x14ac:dyDescent="0.3"/>
    <row r="45365" s="160" customFormat="1" x14ac:dyDescent="0.3"/>
    <row r="45366" s="160" customFormat="1" x14ac:dyDescent="0.3"/>
    <row r="45367" s="160" customFormat="1" x14ac:dyDescent="0.3"/>
    <row r="45368" s="160" customFormat="1" x14ac:dyDescent="0.3"/>
    <row r="45369" s="160" customFormat="1" x14ac:dyDescent="0.3"/>
    <row r="45370" s="160" customFormat="1" x14ac:dyDescent="0.3"/>
    <row r="45371" s="160" customFormat="1" x14ac:dyDescent="0.3"/>
    <row r="45372" s="160" customFormat="1" x14ac:dyDescent="0.3"/>
    <row r="45373" s="160" customFormat="1" x14ac:dyDescent="0.3"/>
    <row r="45374" s="160" customFormat="1" x14ac:dyDescent="0.3"/>
    <row r="45375" s="160" customFormat="1" x14ac:dyDescent="0.3"/>
    <row r="45376" s="160" customFormat="1" x14ac:dyDescent="0.3"/>
    <row r="45377" s="160" customFormat="1" x14ac:dyDescent="0.3"/>
    <row r="45378" s="160" customFormat="1" x14ac:dyDescent="0.3"/>
    <row r="45379" s="160" customFormat="1" x14ac:dyDescent="0.3"/>
    <row r="45380" s="160" customFormat="1" x14ac:dyDescent="0.3"/>
    <row r="45381" s="160" customFormat="1" x14ac:dyDescent="0.3"/>
    <row r="45382" s="160" customFormat="1" x14ac:dyDescent="0.3"/>
    <row r="45383" s="160" customFormat="1" x14ac:dyDescent="0.3"/>
    <row r="45384" s="160" customFormat="1" x14ac:dyDescent="0.3"/>
    <row r="45385" s="160" customFormat="1" x14ac:dyDescent="0.3"/>
    <row r="45386" s="160" customFormat="1" x14ac:dyDescent="0.3"/>
    <row r="45387" s="160" customFormat="1" x14ac:dyDescent="0.3"/>
    <row r="45388" s="160" customFormat="1" x14ac:dyDescent="0.3"/>
    <row r="45389" s="160" customFormat="1" x14ac:dyDescent="0.3"/>
    <row r="45390" s="160" customFormat="1" x14ac:dyDescent="0.3"/>
    <row r="45391" s="160" customFormat="1" x14ac:dyDescent="0.3"/>
    <row r="45392" s="160" customFormat="1" x14ac:dyDescent="0.3"/>
    <row r="45393" s="160" customFormat="1" x14ac:dyDescent="0.3"/>
    <row r="45394" s="160" customFormat="1" x14ac:dyDescent="0.3"/>
    <row r="45395" s="160" customFormat="1" x14ac:dyDescent="0.3"/>
    <row r="45396" s="160" customFormat="1" x14ac:dyDescent="0.3"/>
    <row r="45397" s="160" customFormat="1" x14ac:dyDescent="0.3"/>
    <row r="45398" s="160" customFormat="1" x14ac:dyDescent="0.3"/>
    <row r="45399" s="160" customFormat="1" x14ac:dyDescent="0.3"/>
    <row r="45400" s="160" customFormat="1" x14ac:dyDescent="0.3"/>
    <row r="45401" s="160" customFormat="1" x14ac:dyDescent="0.3"/>
    <row r="45402" s="160" customFormat="1" x14ac:dyDescent="0.3"/>
    <row r="45403" s="160" customFormat="1" x14ac:dyDescent="0.3"/>
    <row r="45404" s="160" customFormat="1" x14ac:dyDescent="0.3"/>
    <row r="45405" s="160" customFormat="1" x14ac:dyDescent="0.3"/>
    <row r="45406" s="160" customFormat="1" x14ac:dyDescent="0.3"/>
    <row r="45407" s="160" customFormat="1" x14ac:dyDescent="0.3"/>
    <row r="45408" s="160" customFormat="1" x14ac:dyDescent="0.3"/>
    <row r="45409" s="160" customFormat="1" x14ac:dyDescent="0.3"/>
    <row r="45410" s="160" customFormat="1" x14ac:dyDescent="0.3"/>
    <row r="45411" s="160" customFormat="1" x14ac:dyDescent="0.3"/>
    <row r="45412" s="160" customFormat="1" x14ac:dyDescent="0.3"/>
    <row r="45413" s="160" customFormat="1" x14ac:dyDescent="0.3"/>
    <row r="45414" s="160" customFormat="1" x14ac:dyDescent="0.3"/>
    <row r="45415" s="160" customFormat="1" x14ac:dyDescent="0.3"/>
    <row r="45416" s="160" customFormat="1" x14ac:dyDescent="0.3"/>
    <row r="45417" s="160" customFormat="1" x14ac:dyDescent="0.3"/>
    <row r="45418" s="160" customFormat="1" x14ac:dyDescent="0.3"/>
    <row r="45419" s="160" customFormat="1" x14ac:dyDescent="0.3"/>
    <row r="45420" s="160" customFormat="1" x14ac:dyDescent="0.3"/>
    <row r="45421" s="160" customFormat="1" x14ac:dyDescent="0.3"/>
    <row r="45422" s="160" customFormat="1" x14ac:dyDescent="0.3"/>
    <row r="45423" s="160" customFormat="1" x14ac:dyDescent="0.3"/>
    <row r="45424" s="160" customFormat="1" x14ac:dyDescent="0.3"/>
    <row r="45425" s="160" customFormat="1" x14ac:dyDescent="0.3"/>
    <row r="45426" s="160" customFormat="1" x14ac:dyDescent="0.3"/>
    <row r="45427" s="160" customFormat="1" x14ac:dyDescent="0.3"/>
    <row r="45428" s="160" customFormat="1" x14ac:dyDescent="0.3"/>
    <row r="45429" s="160" customFormat="1" x14ac:dyDescent="0.3"/>
    <row r="45430" s="160" customFormat="1" x14ac:dyDescent="0.3"/>
    <row r="45431" s="160" customFormat="1" x14ac:dyDescent="0.3"/>
    <row r="45432" s="160" customFormat="1" x14ac:dyDescent="0.3"/>
    <row r="45433" s="160" customFormat="1" x14ac:dyDescent="0.3"/>
    <row r="45434" s="160" customFormat="1" x14ac:dyDescent="0.3"/>
    <row r="45435" s="160" customFormat="1" x14ac:dyDescent="0.3"/>
    <row r="45436" s="160" customFormat="1" x14ac:dyDescent="0.3"/>
    <row r="45437" s="160" customFormat="1" x14ac:dyDescent="0.3"/>
    <row r="45438" s="160" customFormat="1" x14ac:dyDescent="0.3"/>
    <row r="45439" s="160" customFormat="1" x14ac:dyDescent="0.3"/>
    <row r="45440" s="160" customFormat="1" x14ac:dyDescent="0.3"/>
    <row r="45441" s="160" customFormat="1" x14ac:dyDescent="0.3"/>
    <row r="45442" s="160" customFormat="1" x14ac:dyDescent="0.3"/>
    <row r="45443" s="160" customFormat="1" x14ac:dyDescent="0.3"/>
    <row r="45444" s="160" customFormat="1" x14ac:dyDescent="0.3"/>
    <row r="45445" s="160" customFormat="1" x14ac:dyDescent="0.3"/>
    <row r="45446" s="160" customFormat="1" x14ac:dyDescent="0.3"/>
    <row r="45447" s="160" customFormat="1" x14ac:dyDescent="0.3"/>
    <row r="45448" s="160" customFormat="1" x14ac:dyDescent="0.3"/>
    <row r="45449" s="160" customFormat="1" x14ac:dyDescent="0.3"/>
    <row r="45450" s="160" customFormat="1" x14ac:dyDescent="0.3"/>
    <row r="45451" s="160" customFormat="1" x14ac:dyDescent="0.3"/>
    <row r="45452" s="160" customFormat="1" x14ac:dyDescent="0.3"/>
    <row r="45453" s="160" customFormat="1" x14ac:dyDescent="0.3"/>
    <row r="45454" s="160" customFormat="1" x14ac:dyDescent="0.3"/>
    <row r="45455" s="160" customFormat="1" x14ac:dyDescent="0.3"/>
    <row r="45456" s="160" customFormat="1" x14ac:dyDescent="0.3"/>
    <row r="45457" s="160" customFormat="1" x14ac:dyDescent="0.3"/>
    <row r="45458" s="160" customFormat="1" x14ac:dyDescent="0.3"/>
    <row r="45459" s="160" customFormat="1" x14ac:dyDescent="0.3"/>
    <row r="45460" s="160" customFormat="1" x14ac:dyDescent="0.3"/>
    <row r="45461" s="160" customFormat="1" x14ac:dyDescent="0.3"/>
    <row r="45462" s="160" customFormat="1" x14ac:dyDescent="0.3"/>
    <row r="45463" s="160" customFormat="1" x14ac:dyDescent="0.3"/>
    <row r="45464" s="160" customFormat="1" x14ac:dyDescent="0.3"/>
    <row r="45465" s="160" customFormat="1" x14ac:dyDescent="0.3"/>
    <row r="45466" s="160" customFormat="1" x14ac:dyDescent="0.3"/>
    <row r="45467" s="160" customFormat="1" x14ac:dyDescent="0.3"/>
    <row r="45468" s="160" customFormat="1" x14ac:dyDescent="0.3"/>
    <row r="45469" s="160" customFormat="1" x14ac:dyDescent="0.3"/>
    <row r="45470" s="160" customFormat="1" x14ac:dyDescent="0.3"/>
    <row r="45471" s="160" customFormat="1" x14ac:dyDescent="0.3"/>
    <row r="45472" s="160" customFormat="1" x14ac:dyDescent="0.3"/>
    <row r="45473" s="160" customFormat="1" x14ac:dyDescent="0.3"/>
    <row r="45474" s="160" customFormat="1" x14ac:dyDescent="0.3"/>
    <row r="45475" s="160" customFormat="1" x14ac:dyDescent="0.3"/>
    <row r="45476" s="160" customFormat="1" x14ac:dyDescent="0.3"/>
    <row r="45477" s="160" customFormat="1" x14ac:dyDescent="0.3"/>
    <row r="45478" s="160" customFormat="1" x14ac:dyDescent="0.3"/>
    <row r="45479" s="160" customFormat="1" x14ac:dyDescent="0.3"/>
    <row r="45480" s="160" customFormat="1" x14ac:dyDescent="0.3"/>
    <row r="45481" s="160" customFormat="1" x14ac:dyDescent="0.3"/>
    <row r="45482" s="160" customFormat="1" x14ac:dyDescent="0.3"/>
    <row r="45483" s="160" customFormat="1" x14ac:dyDescent="0.3"/>
    <row r="45484" s="160" customFormat="1" x14ac:dyDescent="0.3"/>
    <row r="45485" s="160" customFormat="1" x14ac:dyDescent="0.3"/>
    <row r="45486" s="160" customFormat="1" x14ac:dyDescent="0.3"/>
    <row r="45487" s="160" customFormat="1" x14ac:dyDescent="0.3"/>
    <row r="45488" s="160" customFormat="1" x14ac:dyDescent="0.3"/>
    <row r="45489" s="160" customFormat="1" x14ac:dyDescent="0.3"/>
    <row r="45490" s="160" customFormat="1" x14ac:dyDescent="0.3"/>
    <row r="45491" s="160" customFormat="1" x14ac:dyDescent="0.3"/>
    <row r="45492" s="160" customFormat="1" x14ac:dyDescent="0.3"/>
    <row r="45493" s="160" customFormat="1" x14ac:dyDescent="0.3"/>
    <row r="45494" s="160" customFormat="1" x14ac:dyDescent="0.3"/>
    <row r="45495" s="160" customFormat="1" x14ac:dyDescent="0.3"/>
    <row r="45496" s="160" customFormat="1" x14ac:dyDescent="0.3"/>
    <row r="45497" s="160" customFormat="1" x14ac:dyDescent="0.3"/>
    <row r="45498" s="160" customFormat="1" x14ac:dyDescent="0.3"/>
    <row r="45499" s="160" customFormat="1" x14ac:dyDescent="0.3"/>
    <row r="45500" s="160" customFormat="1" x14ac:dyDescent="0.3"/>
    <row r="45501" s="160" customFormat="1" x14ac:dyDescent="0.3"/>
    <row r="45502" s="160" customFormat="1" x14ac:dyDescent="0.3"/>
    <row r="45503" s="160" customFormat="1" x14ac:dyDescent="0.3"/>
    <row r="45504" s="160" customFormat="1" x14ac:dyDescent="0.3"/>
    <row r="45505" s="160" customFormat="1" x14ac:dyDescent="0.3"/>
    <row r="45506" s="160" customFormat="1" x14ac:dyDescent="0.3"/>
    <row r="45507" s="160" customFormat="1" x14ac:dyDescent="0.3"/>
    <row r="45508" s="160" customFormat="1" x14ac:dyDescent="0.3"/>
    <row r="45509" s="160" customFormat="1" x14ac:dyDescent="0.3"/>
    <row r="45510" s="160" customFormat="1" x14ac:dyDescent="0.3"/>
    <row r="45511" s="160" customFormat="1" x14ac:dyDescent="0.3"/>
    <row r="45512" s="160" customFormat="1" x14ac:dyDescent="0.3"/>
    <row r="45513" s="160" customFormat="1" x14ac:dyDescent="0.3"/>
    <row r="45514" s="160" customFormat="1" x14ac:dyDescent="0.3"/>
    <row r="45515" s="160" customFormat="1" x14ac:dyDescent="0.3"/>
    <row r="45516" s="160" customFormat="1" x14ac:dyDescent="0.3"/>
    <row r="45517" s="160" customFormat="1" x14ac:dyDescent="0.3"/>
    <row r="45518" s="160" customFormat="1" x14ac:dyDescent="0.3"/>
    <row r="45519" s="160" customFormat="1" x14ac:dyDescent="0.3"/>
    <row r="45520" s="160" customFormat="1" x14ac:dyDescent="0.3"/>
    <row r="45521" s="160" customFormat="1" x14ac:dyDescent="0.3"/>
    <row r="45522" s="160" customFormat="1" x14ac:dyDescent="0.3"/>
    <row r="45523" s="160" customFormat="1" x14ac:dyDescent="0.3"/>
    <row r="45524" s="160" customFormat="1" x14ac:dyDescent="0.3"/>
    <row r="45525" s="160" customFormat="1" x14ac:dyDescent="0.3"/>
    <row r="45526" s="160" customFormat="1" x14ac:dyDescent="0.3"/>
    <row r="45527" s="160" customFormat="1" x14ac:dyDescent="0.3"/>
    <row r="45528" s="160" customFormat="1" x14ac:dyDescent="0.3"/>
    <row r="45529" s="160" customFormat="1" x14ac:dyDescent="0.3"/>
    <row r="45530" s="160" customFormat="1" x14ac:dyDescent="0.3"/>
    <row r="45531" s="160" customFormat="1" x14ac:dyDescent="0.3"/>
    <row r="45532" s="160" customFormat="1" x14ac:dyDescent="0.3"/>
    <row r="45533" s="160" customFormat="1" x14ac:dyDescent="0.3"/>
    <row r="45534" s="160" customFormat="1" x14ac:dyDescent="0.3"/>
    <row r="45535" s="160" customFormat="1" x14ac:dyDescent="0.3"/>
    <row r="45536" s="160" customFormat="1" x14ac:dyDescent="0.3"/>
    <row r="45537" s="160" customFormat="1" x14ac:dyDescent="0.3"/>
    <row r="45538" s="160" customFormat="1" x14ac:dyDescent="0.3"/>
    <row r="45539" s="160" customFormat="1" x14ac:dyDescent="0.3"/>
    <row r="45540" s="160" customFormat="1" x14ac:dyDescent="0.3"/>
    <row r="45541" s="160" customFormat="1" x14ac:dyDescent="0.3"/>
    <row r="45542" s="160" customFormat="1" x14ac:dyDescent="0.3"/>
    <row r="45543" s="160" customFormat="1" x14ac:dyDescent="0.3"/>
    <row r="45544" s="160" customFormat="1" x14ac:dyDescent="0.3"/>
    <row r="45545" s="160" customFormat="1" x14ac:dyDescent="0.3"/>
    <row r="45546" s="160" customFormat="1" x14ac:dyDescent="0.3"/>
    <row r="45547" s="160" customFormat="1" x14ac:dyDescent="0.3"/>
    <row r="45548" s="160" customFormat="1" x14ac:dyDescent="0.3"/>
    <row r="45549" s="160" customFormat="1" x14ac:dyDescent="0.3"/>
    <row r="45550" s="160" customFormat="1" x14ac:dyDescent="0.3"/>
    <row r="45551" s="160" customFormat="1" x14ac:dyDescent="0.3"/>
    <row r="45552" s="160" customFormat="1" x14ac:dyDescent="0.3"/>
    <row r="45553" s="160" customFormat="1" x14ac:dyDescent="0.3"/>
    <row r="45554" s="160" customFormat="1" x14ac:dyDescent="0.3"/>
    <row r="45555" s="160" customFormat="1" x14ac:dyDescent="0.3"/>
    <row r="45556" s="160" customFormat="1" x14ac:dyDescent="0.3"/>
    <row r="45557" s="160" customFormat="1" x14ac:dyDescent="0.3"/>
    <row r="45558" s="160" customFormat="1" x14ac:dyDescent="0.3"/>
    <row r="45559" s="160" customFormat="1" x14ac:dyDescent="0.3"/>
    <row r="45560" s="160" customFormat="1" x14ac:dyDescent="0.3"/>
    <row r="45561" s="160" customFormat="1" x14ac:dyDescent="0.3"/>
    <row r="45562" s="160" customFormat="1" x14ac:dyDescent="0.3"/>
    <row r="45563" s="160" customFormat="1" x14ac:dyDescent="0.3"/>
    <row r="45564" s="160" customFormat="1" x14ac:dyDescent="0.3"/>
    <row r="45565" s="160" customFormat="1" x14ac:dyDescent="0.3"/>
    <row r="45566" s="160" customFormat="1" x14ac:dyDescent="0.3"/>
    <row r="45567" s="160" customFormat="1" x14ac:dyDescent="0.3"/>
    <row r="45568" s="160" customFormat="1" x14ac:dyDescent="0.3"/>
    <row r="45569" s="160" customFormat="1" x14ac:dyDescent="0.3"/>
    <row r="45570" s="160" customFormat="1" x14ac:dyDescent="0.3"/>
    <row r="45571" s="160" customFormat="1" x14ac:dyDescent="0.3"/>
    <row r="45572" s="160" customFormat="1" x14ac:dyDescent="0.3"/>
    <row r="45573" s="160" customFormat="1" x14ac:dyDescent="0.3"/>
    <row r="45574" s="160" customFormat="1" x14ac:dyDescent="0.3"/>
    <row r="45575" s="160" customFormat="1" x14ac:dyDescent="0.3"/>
    <row r="45576" s="160" customFormat="1" x14ac:dyDescent="0.3"/>
    <row r="45577" s="160" customFormat="1" x14ac:dyDescent="0.3"/>
    <row r="45578" s="160" customFormat="1" x14ac:dyDescent="0.3"/>
    <row r="45579" s="160" customFormat="1" x14ac:dyDescent="0.3"/>
    <row r="45580" s="160" customFormat="1" x14ac:dyDescent="0.3"/>
    <row r="45581" s="160" customFormat="1" x14ac:dyDescent="0.3"/>
    <row r="45582" s="160" customFormat="1" x14ac:dyDescent="0.3"/>
    <row r="45583" s="160" customFormat="1" x14ac:dyDescent="0.3"/>
    <row r="45584" s="160" customFormat="1" x14ac:dyDescent="0.3"/>
    <row r="45585" s="160" customFormat="1" x14ac:dyDescent="0.3"/>
    <row r="45586" s="160" customFormat="1" x14ac:dyDescent="0.3"/>
    <row r="45587" s="160" customFormat="1" x14ac:dyDescent="0.3"/>
    <row r="45588" s="160" customFormat="1" x14ac:dyDescent="0.3"/>
    <row r="45589" s="160" customFormat="1" x14ac:dyDescent="0.3"/>
    <row r="45590" s="160" customFormat="1" x14ac:dyDescent="0.3"/>
    <row r="45591" s="160" customFormat="1" x14ac:dyDescent="0.3"/>
    <row r="45592" s="160" customFormat="1" x14ac:dyDescent="0.3"/>
    <row r="45593" s="160" customFormat="1" x14ac:dyDescent="0.3"/>
    <row r="45594" s="160" customFormat="1" x14ac:dyDescent="0.3"/>
    <row r="45595" s="160" customFormat="1" x14ac:dyDescent="0.3"/>
    <row r="45596" s="160" customFormat="1" x14ac:dyDescent="0.3"/>
    <row r="45597" s="160" customFormat="1" x14ac:dyDescent="0.3"/>
    <row r="45598" s="160" customFormat="1" x14ac:dyDescent="0.3"/>
    <row r="45599" s="160" customFormat="1" x14ac:dyDescent="0.3"/>
    <row r="45600" s="160" customFormat="1" x14ac:dyDescent="0.3"/>
    <row r="45601" s="160" customFormat="1" x14ac:dyDescent="0.3"/>
    <row r="45602" s="160" customFormat="1" x14ac:dyDescent="0.3"/>
    <row r="45603" s="160" customFormat="1" x14ac:dyDescent="0.3"/>
    <row r="45604" s="160" customFormat="1" x14ac:dyDescent="0.3"/>
    <row r="45605" s="160" customFormat="1" x14ac:dyDescent="0.3"/>
    <row r="45606" s="160" customFormat="1" x14ac:dyDescent="0.3"/>
    <row r="45607" s="160" customFormat="1" x14ac:dyDescent="0.3"/>
    <row r="45608" s="160" customFormat="1" x14ac:dyDescent="0.3"/>
    <row r="45609" s="160" customFormat="1" x14ac:dyDescent="0.3"/>
    <row r="45610" s="160" customFormat="1" x14ac:dyDescent="0.3"/>
    <row r="45611" s="160" customFormat="1" x14ac:dyDescent="0.3"/>
    <row r="45612" s="160" customFormat="1" x14ac:dyDescent="0.3"/>
    <row r="45613" s="160" customFormat="1" x14ac:dyDescent="0.3"/>
    <row r="45614" s="160" customFormat="1" x14ac:dyDescent="0.3"/>
    <row r="45615" s="160" customFormat="1" x14ac:dyDescent="0.3"/>
    <row r="45616" s="160" customFormat="1" x14ac:dyDescent="0.3"/>
    <row r="45617" s="160" customFormat="1" x14ac:dyDescent="0.3"/>
    <row r="45618" s="160" customFormat="1" x14ac:dyDescent="0.3"/>
    <row r="45619" s="160" customFormat="1" x14ac:dyDescent="0.3"/>
    <row r="45620" s="160" customFormat="1" x14ac:dyDescent="0.3"/>
    <row r="45621" s="160" customFormat="1" x14ac:dyDescent="0.3"/>
    <row r="45622" s="160" customFormat="1" x14ac:dyDescent="0.3"/>
    <row r="45623" s="160" customFormat="1" x14ac:dyDescent="0.3"/>
    <row r="45624" s="160" customFormat="1" x14ac:dyDescent="0.3"/>
    <row r="45625" s="160" customFormat="1" x14ac:dyDescent="0.3"/>
    <row r="45626" s="160" customFormat="1" x14ac:dyDescent="0.3"/>
    <row r="45627" s="160" customFormat="1" x14ac:dyDescent="0.3"/>
    <row r="45628" s="160" customFormat="1" x14ac:dyDescent="0.3"/>
    <row r="45629" s="160" customFormat="1" x14ac:dyDescent="0.3"/>
    <row r="45630" s="160" customFormat="1" x14ac:dyDescent="0.3"/>
    <row r="45631" s="160" customFormat="1" x14ac:dyDescent="0.3"/>
    <row r="45632" s="160" customFormat="1" x14ac:dyDescent="0.3"/>
    <row r="45633" s="160" customFormat="1" x14ac:dyDescent="0.3"/>
    <row r="45634" s="160" customFormat="1" x14ac:dyDescent="0.3"/>
    <row r="45635" s="160" customFormat="1" x14ac:dyDescent="0.3"/>
    <row r="45636" s="160" customFormat="1" x14ac:dyDescent="0.3"/>
    <row r="45637" s="160" customFormat="1" x14ac:dyDescent="0.3"/>
    <row r="45638" s="160" customFormat="1" x14ac:dyDescent="0.3"/>
    <row r="45639" s="160" customFormat="1" x14ac:dyDescent="0.3"/>
    <row r="45640" s="160" customFormat="1" x14ac:dyDescent="0.3"/>
    <row r="45641" s="160" customFormat="1" x14ac:dyDescent="0.3"/>
    <row r="45642" s="160" customFormat="1" x14ac:dyDescent="0.3"/>
    <row r="45643" s="160" customFormat="1" x14ac:dyDescent="0.3"/>
    <row r="45644" s="160" customFormat="1" x14ac:dyDescent="0.3"/>
    <row r="45645" s="160" customFormat="1" x14ac:dyDescent="0.3"/>
    <row r="45646" s="160" customFormat="1" x14ac:dyDescent="0.3"/>
    <row r="45647" s="160" customFormat="1" x14ac:dyDescent="0.3"/>
    <row r="45648" s="160" customFormat="1" x14ac:dyDescent="0.3"/>
    <row r="45649" s="160" customFormat="1" x14ac:dyDescent="0.3"/>
    <row r="45650" s="160" customFormat="1" x14ac:dyDescent="0.3"/>
    <row r="45651" s="160" customFormat="1" x14ac:dyDescent="0.3"/>
    <row r="45652" s="160" customFormat="1" x14ac:dyDescent="0.3"/>
    <row r="45653" s="160" customFormat="1" x14ac:dyDescent="0.3"/>
    <row r="45654" s="160" customFormat="1" x14ac:dyDescent="0.3"/>
    <row r="45655" s="160" customFormat="1" x14ac:dyDescent="0.3"/>
    <row r="45656" s="160" customFormat="1" x14ac:dyDescent="0.3"/>
    <row r="45657" s="160" customFormat="1" x14ac:dyDescent="0.3"/>
    <row r="45658" s="160" customFormat="1" x14ac:dyDescent="0.3"/>
    <row r="45659" s="160" customFormat="1" x14ac:dyDescent="0.3"/>
    <row r="45660" s="160" customFormat="1" x14ac:dyDescent="0.3"/>
    <row r="45661" s="160" customFormat="1" x14ac:dyDescent="0.3"/>
    <row r="45662" s="160" customFormat="1" x14ac:dyDescent="0.3"/>
    <row r="45663" s="160" customFormat="1" x14ac:dyDescent="0.3"/>
    <row r="45664" s="160" customFormat="1" x14ac:dyDescent="0.3"/>
    <row r="45665" s="160" customFormat="1" x14ac:dyDescent="0.3"/>
    <row r="45666" s="160" customFormat="1" x14ac:dyDescent="0.3"/>
    <row r="45667" s="160" customFormat="1" x14ac:dyDescent="0.3"/>
    <row r="45668" s="160" customFormat="1" x14ac:dyDescent="0.3"/>
    <row r="45669" s="160" customFormat="1" x14ac:dyDescent="0.3"/>
    <row r="45670" s="160" customFormat="1" x14ac:dyDescent="0.3"/>
    <row r="45671" s="160" customFormat="1" x14ac:dyDescent="0.3"/>
    <row r="45672" s="160" customFormat="1" x14ac:dyDescent="0.3"/>
    <row r="45673" s="160" customFormat="1" x14ac:dyDescent="0.3"/>
    <row r="45674" s="160" customFormat="1" x14ac:dyDescent="0.3"/>
    <row r="45675" s="160" customFormat="1" x14ac:dyDescent="0.3"/>
    <row r="45676" s="160" customFormat="1" x14ac:dyDescent="0.3"/>
    <row r="45677" s="160" customFormat="1" x14ac:dyDescent="0.3"/>
    <row r="45678" s="160" customFormat="1" x14ac:dyDescent="0.3"/>
    <row r="45679" s="160" customFormat="1" x14ac:dyDescent="0.3"/>
    <row r="45680" s="160" customFormat="1" x14ac:dyDescent="0.3"/>
    <row r="45681" s="160" customFormat="1" x14ac:dyDescent="0.3"/>
    <row r="45682" s="160" customFormat="1" x14ac:dyDescent="0.3"/>
    <row r="45683" s="160" customFormat="1" x14ac:dyDescent="0.3"/>
    <row r="45684" s="160" customFormat="1" x14ac:dyDescent="0.3"/>
    <row r="45685" s="160" customFormat="1" x14ac:dyDescent="0.3"/>
    <row r="45686" s="160" customFormat="1" x14ac:dyDescent="0.3"/>
    <row r="45687" s="160" customFormat="1" x14ac:dyDescent="0.3"/>
    <row r="45688" s="160" customFormat="1" x14ac:dyDescent="0.3"/>
    <row r="45689" s="160" customFormat="1" x14ac:dyDescent="0.3"/>
    <row r="45690" s="160" customFormat="1" x14ac:dyDescent="0.3"/>
    <row r="45691" s="160" customFormat="1" x14ac:dyDescent="0.3"/>
    <row r="45692" s="160" customFormat="1" x14ac:dyDescent="0.3"/>
    <row r="45693" s="160" customFormat="1" x14ac:dyDescent="0.3"/>
    <row r="45694" s="160" customFormat="1" x14ac:dyDescent="0.3"/>
    <row r="45695" s="160" customFormat="1" x14ac:dyDescent="0.3"/>
    <row r="45696" s="160" customFormat="1" x14ac:dyDescent="0.3"/>
    <row r="45697" s="160" customFormat="1" x14ac:dyDescent="0.3"/>
    <row r="45698" s="160" customFormat="1" x14ac:dyDescent="0.3"/>
    <row r="45699" s="160" customFormat="1" x14ac:dyDescent="0.3"/>
    <row r="45700" s="160" customFormat="1" x14ac:dyDescent="0.3"/>
    <row r="45701" s="160" customFormat="1" x14ac:dyDescent="0.3"/>
    <row r="45702" s="160" customFormat="1" x14ac:dyDescent="0.3"/>
    <row r="45703" s="160" customFormat="1" x14ac:dyDescent="0.3"/>
    <row r="45704" s="160" customFormat="1" x14ac:dyDescent="0.3"/>
    <row r="45705" s="160" customFormat="1" x14ac:dyDescent="0.3"/>
    <row r="45706" s="160" customFormat="1" x14ac:dyDescent="0.3"/>
    <row r="45707" s="160" customFormat="1" x14ac:dyDescent="0.3"/>
    <row r="45708" s="160" customFormat="1" x14ac:dyDescent="0.3"/>
    <row r="45709" s="160" customFormat="1" x14ac:dyDescent="0.3"/>
    <row r="45710" s="160" customFormat="1" x14ac:dyDescent="0.3"/>
    <row r="45711" s="160" customFormat="1" x14ac:dyDescent="0.3"/>
    <row r="45712" s="160" customFormat="1" x14ac:dyDescent="0.3"/>
    <row r="45713" s="160" customFormat="1" x14ac:dyDescent="0.3"/>
    <row r="45714" s="160" customFormat="1" x14ac:dyDescent="0.3"/>
    <row r="45715" s="160" customFormat="1" x14ac:dyDescent="0.3"/>
    <row r="45716" s="160" customFormat="1" x14ac:dyDescent="0.3"/>
    <row r="45717" s="160" customFormat="1" x14ac:dyDescent="0.3"/>
    <row r="45718" s="160" customFormat="1" x14ac:dyDescent="0.3"/>
    <row r="45719" s="160" customFormat="1" x14ac:dyDescent="0.3"/>
    <row r="45720" s="160" customFormat="1" x14ac:dyDescent="0.3"/>
    <row r="45721" s="160" customFormat="1" x14ac:dyDescent="0.3"/>
    <row r="45722" s="160" customFormat="1" x14ac:dyDescent="0.3"/>
    <row r="45723" s="160" customFormat="1" x14ac:dyDescent="0.3"/>
    <row r="45724" s="160" customFormat="1" x14ac:dyDescent="0.3"/>
    <row r="45725" s="160" customFormat="1" x14ac:dyDescent="0.3"/>
    <row r="45726" s="160" customFormat="1" x14ac:dyDescent="0.3"/>
    <row r="45727" s="160" customFormat="1" x14ac:dyDescent="0.3"/>
    <row r="45728" s="160" customFormat="1" x14ac:dyDescent="0.3"/>
    <row r="45729" s="160" customFormat="1" x14ac:dyDescent="0.3"/>
    <row r="45730" s="160" customFormat="1" x14ac:dyDescent="0.3"/>
    <row r="45731" s="160" customFormat="1" x14ac:dyDescent="0.3"/>
    <row r="45732" s="160" customFormat="1" x14ac:dyDescent="0.3"/>
    <row r="45733" s="160" customFormat="1" x14ac:dyDescent="0.3"/>
    <row r="45734" s="160" customFormat="1" x14ac:dyDescent="0.3"/>
    <row r="45735" s="160" customFormat="1" x14ac:dyDescent="0.3"/>
    <row r="45736" s="160" customFormat="1" x14ac:dyDescent="0.3"/>
    <row r="45737" s="160" customFormat="1" x14ac:dyDescent="0.3"/>
    <row r="45738" s="160" customFormat="1" x14ac:dyDescent="0.3"/>
    <row r="45739" s="160" customFormat="1" x14ac:dyDescent="0.3"/>
    <row r="45740" s="160" customFormat="1" x14ac:dyDescent="0.3"/>
    <row r="45741" s="160" customFormat="1" x14ac:dyDescent="0.3"/>
    <row r="45742" s="160" customFormat="1" x14ac:dyDescent="0.3"/>
    <row r="45743" s="160" customFormat="1" x14ac:dyDescent="0.3"/>
    <row r="45744" s="160" customFormat="1" x14ac:dyDescent="0.3"/>
    <row r="45745" s="160" customFormat="1" x14ac:dyDescent="0.3"/>
    <row r="45746" s="160" customFormat="1" x14ac:dyDescent="0.3"/>
    <row r="45747" s="160" customFormat="1" x14ac:dyDescent="0.3"/>
    <row r="45748" s="160" customFormat="1" x14ac:dyDescent="0.3"/>
    <row r="45749" s="160" customFormat="1" x14ac:dyDescent="0.3"/>
    <row r="45750" s="160" customFormat="1" x14ac:dyDescent="0.3"/>
    <row r="45751" s="160" customFormat="1" x14ac:dyDescent="0.3"/>
    <row r="45752" s="160" customFormat="1" x14ac:dyDescent="0.3"/>
    <row r="45753" s="160" customFormat="1" x14ac:dyDescent="0.3"/>
    <row r="45754" s="160" customFormat="1" x14ac:dyDescent="0.3"/>
    <row r="45755" s="160" customFormat="1" x14ac:dyDescent="0.3"/>
    <row r="45756" s="160" customFormat="1" x14ac:dyDescent="0.3"/>
    <row r="45757" s="160" customFormat="1" x14ac:dyDescent="0.3"/>
    <row r="45758" s="160" customFormat="1" x14ac:dyDescent="0.3"/>
    <row r="45759" s="160" customFormat="1" x14ac:dyDescent="0.3"/>
    <row r="45760" s="160" customFormat="1" x14ac:dyDescent="0.3"/>
    <row r="45761" s="160" customFormat="1" x14ac:dyDescent="0.3"/>
    <row r="45762" s="160" customFormat="1" x14ac:dyDescent="0.3"/>
    <row r="45763" s="160" customFormat="1" x14ac:dyDescent="0.3"/>
    <row r="45764" s="160" customFormat="1" x14ac:dyDescent="0.3"/>
    <row r="45765" s="160" customFormat="1" x14ac:dyDescent="0.3"/>
    <row r="45766" s="160" customFormat="1" x14ac:dyDescent="0.3"/>
    <row r="45767" s="160" customFormat="1" x14ac:dyDescent="0.3"/>
    <row r="45768" s="160" customFormat="1" x14ac:dyDescent="0.3"/>
    <row r="45769" s="160" customFormat="1" x14ac:dyDescent="0.3"/>
    <row r="45770" s="160" customFormat="1" x14ac:dyDescent="0.3"/>
    <row r="45771" s="160" customFormat="1" x14ac:dyDescent="0.3"/>
    <row r="45772" s="160" customFormat="1" x14ac:dyDescent="0.3"/>
    <row r="45773" s="160" customFormat="1" x14ac:dyDescent="0.3"/>
    <row r="45774" s="160" customFormat="1" x14ac:dyDescent="0.3"/>
    <row r="45775" s="160" customFormat="1" x14ac:dyDescent="0.3"/>
    <row r="45776" s="160" customFormat="1" x14ac:dyDescent="0.3"/>
    <row r="45777" s="160" customFormat="1" x14ac:dyDescent="0.3"/>
    <row r="45778" s="160" customFormat="1" x14ac:dyDescent="0.3"/>
    <row r="45779" s="160" customFormat="1" x14ac:dyDescent="0.3"/>
    <row r="45780" s="160" customFormat="1" x14ac:dyDescent="0.3"/>
    <row r="45781" s="160" customFormat="1" x14ac:dyDescent="0.3"/>
    <row r="45782" s="160" customFormat="1" x14ac:dyDescent="0.3"/>
    <row r="45783" s="160" customFormat="1" x14ac:dyDescent="0.3"/>
    <row r="45784" s="160" customFormat="1" x14ac:dyDescent="0.3"/>
    <row r="45785" s="160" customFormat="1" x14ac:dyDescent="0.3"/>
    <row r="45786" s="160" customFormat="1" x14ac:dyDescent="0.3"/>
    <row r="45787" s="160" customFormat="1" x14ac:dyDescent="0.3"/>
    <row r="45788" s="160" customFormat="1" x14ac:dyDescent="0.3"/>
    <row r="45789" s="160" customFormat="1" x14ac:dyDescent="0.3"/>
    <row r="45790" s="160" customFormat="1" x14ac:dyDescent="0.3"/>
    <row r="45791" s="160" customFormat="1" x14ac:dyDescent="0.3"/>
    <row r="45792" s="160" customFormat="1" x14ac:dyDescent="0.3"/>
    <row r="45793" s="160" customFormat="1" x14ac:dyDescent="0.3"/>
    <row r="45794" s="160" customFormat="1" x14ac:dyDescent="0.3"/>
    <row r="45795" s="160" customFormat="1" x14ac:dyDescent="0.3"/>
    <row r="45796" s="160" customFormat="1" x14ac:dyDescent="0.3"/>
    <row r="45797" s="160" customFormat="1" x14ac:dyDescent="0.3"/>
    <row r="45798" s="160" customFormat="1" x14ac:dyDescent="0.3"/>
    <row r="45799" s="160" customFormat="1" x14ac:dyDescent="0.3"/>
    <row r="45800" s="160" customFormat="1" x14ac:dyDescent="0.3"/>
    <row r="45801" s="160" customFormat="1" x14ac:dyDescent="0.3"/>
    <row r="45802" s="160" customFormat="1" x14ac:dyDescent="0.3"/>
    <row r="45803" s="160" customFormat="1" x14ac:dyDescent="0.3"/>
    <row r="45804" s="160" customFormat="1" x14ac:dyDescent="0.3"/>
    <row r="45805" s="160" customFormat="1" x14ac:dyDescent="0.3"/>
    <row r="45806" s="160" customFormat="1" x14ac:dyDescent="0.3"/>
    <row r="45807" s="160" customFormat="1" x14ac:dyDescent="0.3"/>
    <row r="45808" s="160" customFormat="1" x14ac:dyDescent="0.3"/>
    <row r="45809" s="160" customFormat="1" x14ac:dyDescent="0.3"/>
    <row r="45810" s="160" customFormat="1" x14ac:dyDescent="0.3"/>
    <row r="45811" s="160" customFormat="1" x14ac:dyDescent="0.3"/>
    <row r="45812" s="160" customFormat="1" x14ac:dyDescent="0.3"/>
    <row r="45813" s="160" customFormat="1" x14ac:dyDescent="0.3"/>
    <row r="45814" s="160" customFormat="1" x14ac:dyDescent="0.3"/>
    <row r="45815" s="160" customFormat="1" x14ac:dyDescent="0.3"/>
    <row r="45816" s="160" customFormat="1" x14ac:dyDescent="0.3"/>
    <row r="45817" s="160" customFormat="1" x14ac:dyDescent="0.3"/>
    <row r="45818" s="160" customFormat="1" x14ac:dyDescent="0.3"/>
    <row r="45819" s="160" customFormat="1" x14ac:dyDescent="0.3"/>
    <row r="45820" s="160" customFormat="1" x14ac:dyDescent="0.3"/>
    <row r="45821" s="160" customFormat="1" x14ac:dyDescent="0.3"/>
    <row r="45822" s="160" customFormat="1" x14ac:dyDescent="0.3"/>
    <row r="45823" s="160" customFormat="1" x14ac:dyDescent="0.3"/>
    <row r="45824" s="160" customFormat="1" x14ac:dyDescent="0.3"/>
    <row r="45825" s="160" customFormat="1" x14ac:dyDescent="0.3"/>
    <row r="45826" s="160" customFormat="1" x14ac:dyDescent="0.3"/>
    <row r="45827" s="160" customFormat="1" x14ac:dyDescent="0.3"/>
    <row r="45828" s="160" customFormat="1" x14ac:dyDescent="0.3"/>
    <row r="45829" s="160" customFormat="1" x14ac:dyDescent="0.3"/>
    <row r="45830" s="160" customFormat="1" x14ac:dyDescent="0.3"/>
    <row r="45831" s="160" customFormat="1" x14ac:dyDescent="0.3"/>
    <row r="45832" s="160" customFormat="1" x14ac:dyDescent="0.3"/>
    <row r="45833" s="160" customFormat="1" x14ac:dyDescent="0.3"/>
    <row r="45834" s="160" customFormat="1" x14ac:dyDescent="0.3"/>
    <row r="45835" s="160" customFormat="1" x14ac:dyDescent="0.3"/>
    <row r="45836" s="160" customFormat="1" x14ac:dyDescent="0.3"/>
    <row r="45837" s="160" customFormat="1" x14ac:dyDescent="0.3"/>
    <row r="45838" s="160" customFormat="1" x14ac:dyDescent="0.3"/>
    <row r="45839" s="160" customFormat="1" x14ac:dyDescent="0.3"/>
    <row r="45840" s="160" customFormat="1" x14ac:dyDescent="0.3"/>
    <row r="45841" s="160" customFormat="1" x14ac:dyDescent="0.3"/>
    <row r="45842" s="160" customFormat="1" x14ac:dyDescent="0.3"/>
    <row r="45843" s="160" customFormat="1" x14ac:dyDescent="0.3"/>
    <row r="45844" s="160" customFormat="1" x14ac:dyDescent="0.3"/>
    <row r="45845" s="160" customFormat="1" x14ac:dyDescent="0.3"/>
    <row r="45846" s="160" customFormat="1" x14ac:dyDescent="0.3"/>
    <row r="45847" s="160" customFormat="1" x14ac:dyDescent="0.3"/>
    <row r="45848" s="160" customFormat="1" x14ac:dyDescent="0.3"/>
    <row r="45849" s="160" customFormat="1" x14ac:dyDescent="0.3"/>
    <row r="45850" s="160" customFormat="1" x14ac:dyDescent="0.3"/>
    <row r="45851" s="160" customFormat="1" x14ac:dyDescent="0.3"/>
    <row r="45852" s="160" customFormat="1" x14ac:dyDescent="0.3"/>
    <row r="45853" s="160" customFormat="1" x14ac:dyDescent="0.3"/>
    <row r="45854" s="160" customFormat="1" x14ac:dyDescent="0.3"/>
    <row r="45855" s="160" customFormat="1" x14ac:dyDescent="0.3"/>
    <row r="45856" s="160" customFormat="1" x14ac:dyDescent="0.3"/>
    <row r="45857" s="160" customFormat="1" x14ac:dyDescent="0.3"/>
    <row r="45858" s="160" customFormat="1" x14ac:dyDescent="0.3"/>
    <row r="45859" s="160" customFormat="1" x14ac:dyDescent="0.3"/>
    <row r="45860" s="160" customFormat="1" x14ac:dyDescent="0.3"/>
    <row r="45861" s="160" customFormat="1" x14ac:dyDescent="0.3"/>
    <row r="45862" s="160" customFormat="1" x14ac:dyDescent="0.3"/>
    <row r="45863" s="160" customFormat="1" x14ac:dyDescent="0.3"/>
    <row r="45864" s="160" customFormat="1" x14ac:dyDescent="0.3"/>
    <row r="45865" s="160" customFormat="1" x14ac:dyDescent="0.3"/>
    <row r="45866" s="160" customFormat="1" x14ac:dyDescent="0.3"/>
    <row r="45867" s="160" customFormat="1" x14ac:dyDescent="0.3"/>
    <row r="45868" s="160" customFormat="1" x14ac:dyDescent="0.3"/>
    <row r="45869" s="160" customFormat="1" x14ac:dyDescent="0.3"/>
    <row r="45870" s="160" customFormat="1" x14ac:dyDescent="0.3"/>
    <row r="45871" s="160" customFormat="1" x14ac:dyDescent="0.3"/>
    <row r="45872" s="160" customFormat="1" x14ac:dyDescent="0.3"/>
    <row r="45873" s="160" customFormat="1" x14ac:dyDescent="0.3"/>
    <row r="45874" s="160" customFormat="1" x14ac:dyDescent="0.3"/>
    <row r="45875" s="160" customFormat="1" x14ac:dyDescent="0.3"/>
    <row r="45876" s="160" customFormat="1" x14ac:dyDescent="0.3"/>
    <row r="45877" s="160" customFormat="1" x14ac:dyDescent="0.3"/>
    <row r="45878" s="160" customFormat="1" x14ac:dyDescent="0.3"/>
    <row r="45879" s="160" customFormat="1" x14ac:dyDescent="0.3"/>
    <row r="45880" s="160" customFormat="1" x14ac:dyDescent="0.3"/>
    <row r="45881" s="160" customFormat="1" x14ac:dyDescent="0.3"/>
    <row r="45882" s="160" customFormat="1" x14ac:dyDescent="0.3"/>
    <row r="45883" s="160" customFormat="1" x14ac:dyDescent="0.3"/>
    <row r="45884" s="160" customFormat="1" x14ac:dyDescent="0.3"/>
    <row r="45885" s="160" customFormat="1" x14ac:dyDescent="0.3"/>
    <row r="45886" s="160" customFormat="1" x14ac:dyDescent="0.3"/>
    <row r="45887" s="160" customFormat="1" x14ac:dyDescent="0.3"/>
    <row r="45888" s="160" customFormat="1" x14ac:dyDescent="0.3"/>
    <row r="45889" s="160" customFormat="1" x14ac:dyDescent="0.3"/>
    <row r="45890" s="160" customFormat="1" x14ac:dyDescent="0.3"/>
    <row r="45891" s="160" customFormat="1" x14ac:dyDescent="0.3"/>
    <row r="45892" s="160" customFormat="1" x14ac:dyDescent="0.3"/>
    <row r="45893" s="160" customFormat="1" x14ac:dyDescent="0.3"/>
    <row r="45894" s="160" customFormat="1" x14ac:dyDescent="0.3"/>
    <row r="45895" s="160" customFormat="1" x14ac:dyDescent="0.3"/>
    <row r="45896" s="160" customFormat="1" x14ac:dyDescent="0.3"/>
    <row r="45897" s="160" customFormat="1" x14ac:dyDescent="0.3"/>
    <row r="45898" s="160" customFormat="1" x14ac:dyDescent="0.3"/>
    <row r="45899" s="160" customFormat="1" x14ac:dyDescent="0.3"/>
    <row r="45900" s="160" customFormat="1" x14ac:dyDescent="0.3"/>
    <row r="45901" s="160" customFormat="1" x14ac:dyDescent="0.3"/>
    <row r="45902" s="160" customFormat="1" x14ac:dyDescent="0.3"/>
    <row r="45903" s="160" customFormat="1" x14ac:dyDescent="0.3"/>
    <row r="45904" s="160" customFormat="1" x14ac:dyDescent="0.3"/>
    <row r="45905" s="160" customFormat="1" x14ac:dyDescent="0.3"/>
    <row r="45906" s="160" customFormat="1" x14ac:dyDescent="0.3"/>
    <row r="45907" s="160" customFormat="1" x14ac:dyDescent="0.3"/>
    <row r="45908" s="160" customFormat="1" x14ac:dyDescent="0.3"/>
    <row r="45909" s="160" customFormat="1" x14ac:dyDescent="0.3"/>
    <row r="45910" s="160" customFormat="1" x14ac:dyDescent="0.3"/>
    <row r="45911" s="160" customFormat="1" x14ac:dyDescent="0.3"/>
    <row r="45912" s="160" customFormat="1" x14ac:dyDescent="0.3"/>
    <row r="45913" s="160" customFormat="1" x14ac:dyDescent="0.3"/>
    <row r="45914" s="160" customFormat="1" x14ac:dyDescent="0.3"/>
    <row r="45915" s="160" customFormat="1" x14ac:dyDescent="0.3"/>
    <row r="45916" s="160" customFormat="1" x14ac:dyDescent="0.3"/>
    <row r="45917" s="160" customFormat="1" x14ac:dyDescent="0.3"/>
    <row r="45918" s="160" customFormat="1" x14ac:dyDescent="0.3"/>
    <row r="45919" s="160" customFormat="1" x14ac:dyDescent="0.3"/>
    <row r="45920" s="160" customFormat="1" x14ac:dyDescent="0.3"/>
    <row r="45921" s="160" customFormat="1" x14ac:dyDescent="0.3"/>
    <row r="45922" s="160" customFormat="1" x14ac:dyDescent="0.3"/>
    <row r="45923" s="160" customFormat="1" x14ac:dyDescent="0.3"/>
    <row r="45924" s="160" customFormat="1" x14ac:dyDescent="0.3"/>
    <row r="45925" s="160" customFormat="1" x14ac:dyDescent="0.3"/>
    <row r="45926" s="160" customFormat="1" x14ac:dyDescent="0.3"/>
    <row r="45927" s="160" customFormat="1" x14ac:dyDescent="0.3"/>
    <row r="45928" s="160" customFormat="1" x14ac:dyDescent="0.3"/>
    <row r="45929" s="160" customFormat="1" x14ac:dyDescent="0.3"/>
    <row r="45930" s="160" customFormat="1" x14ac:dyDescent="0.3"/>
    <row r="45931" s="160" customFormat="1" x14ac:dyDescent="0.3"/>
    <row r="45932" s="160" customFormat="1" x14ac:dyDescent="0.3"/>
    <row r="45933" s="160" customFormat="1" x14ac:dyDescent="0.3"/>
    <row r="45934" s="160" customFormat="1" x14ac:dyDescent="0.3"/>
    <row r="45935" s="160" customFormat="1" x14ac:dyDescent="0.3"/>
    <row r="45936" s="160" customFormat="1" x14ac:dyDescent="0.3"/>
    <row r="45937" s="160" customFormat="1" x14ac:dyDescent="0.3"/>
    <row r="45938" s="160" customFormat="1" x14ac:dyDescent="0.3"/>
    <row r="45939" s="160" customFormat="1" x14ac:dyDescent="0.3"/>
    <row r="45940" s="160" customFormat="1" x14ac:dyDescent="0.3"/>
    <row r="45941" s="160" customFormat="1" x14ac:dyDescent="0.3"/>
    <row r="45942" s="160" customFormat="1" x14ac:dyDescent="0.3"/>
    <row r="45943" s="160" customFormat="1" x14ac:dyDescent="0.3"/>
    <row r="45944" s="160" customFormat="1" x14ac:dyDescent="0.3"/>
    <row r="45945" s="160" customFormat="1" x14ac:dyDescent="0.3"/>
    <row r="45946" s="160" customFormat="1" x14ac:dyDescent="0.3"/>
    <row r="45947" s="160" customFormat="1" x14ac:dyDescent="0.3"/>
    <row r="45948" s="160" customFormat="1" x14ac:dyDescent="0.3"/>
    <row r="45949" s="160" customFormat="1" x14ac:dyDescent="0.3"/>
    <row r="45950" s="160" customFormat="1" x14ac:dyDescent="0.3"/>
    <row r="45951" s="160" customFormat="1" x14ac:dyDescent="0.3"/>
    <row r="45952" s="160" customFormat="1" x14ac:dyDescent="0.3"/>
    <row r="45953" s="160" customFormat="1" x14ac:dyDescent="0.3"/>
    <row r="45954" s="160" customFormat="1" x14ac:dyDescent="0.3"/>
    <row r="45955" s="160" customFormat="1" x14ac:dyDescent="0.3"/>
    <row r="45956" s="160" customFormat="1" x14ac:dyDescent="0.3"/>
    <row r="45957" s="160" customFormat="1" x14ac:dyDescent="0.3"/>
    <row r="45958" s="160" customFormat="1" x14ac:dyDescent="0.3"/>
    <row r="45959" s="160" customFormat="1" x14ac:dyDescent="0.3"/>
    <row r="45960" s="160" customFormat="1" x14ac:dyDescent="0.3"/>
    <row r="45961" s="160" customFormat="1" x14ac:dyDescent="0.3"/>
    <row r="45962" s="160" customFormat="1" x14ac:dyDescent="0.3"/>
    <row r="45963" s="160" customFormat="1" x14ac:dyDescent="0.3"/>
    <row r="45964" s="160" customFormat="1" x14ac:dyDescent="0.3"/>
    <row r="45965" s="160" customFormat="1" x14ac:dyDescent="0.3"/>
    <row r="45966" s="160" customFormat="1" x14ac:dyDescent="0.3"/>
    <row r="45967" s="160" customFormat="1" x14ac:dyDescent="0.3"/>
    <row r="45968" s="160" customFormat="1" x14ac:dyDescent="0.3"/>
    <row r="45969" s="160" customFormat="1" x14ac:dyDescent="0.3"/>
    <row r="45970" s="160" customFormat="1" x14ac:dyDescent="0.3"/>
    <row r="45971" s="160" customFormat="1" x14ac:dyDescent="0.3"/>
    <row r="45972" s="160" customFormat="1" x14ac:dyDescent="0.3"/>
    <row r="45973" s="160" customFormat="1" x14ac:dyDescent="0.3"/>
    <row r="45974" s="160" customFormat="1" x14ac:dyDescent="0.3"/>
    <row r="45975" s="160" customFormat="1" x14ac:dyDescent="0.3"/>
    <row r="45976" s="160" customFormat="1" x14ac:dyDescent="0.3"/>
    <row r="45977" s="160" customFormat="1" x14ac:dyDescent="0.3"/>
    <row r="45978" s="160" customFormat="1" x14ac:dyDescent="0.3"/>
    <row r="45979" s="160" customFormat="1" x14ac:dyDescent="0.3"/>
    <row r="45980" s="160" customFormat="1" x14ac:dyDescent="0.3"/>
    <row r="45981" s="160" customFormat="1" x14ac:dyDescent="0.3"/>
    <row r="45982" s="160" customFormat="1" x14ac:dyDescent="0.3"/>
    <row r="45983" s="160" customFormat="1" x14ac:dyDescent="0.3"/>
    <row r="45984" s="160" customFormat="1" x14ac:dyDescent="0.3"/>
    <row r="45985" s="160" customFormat="1" x14ac:dyDescent="0.3"/>
    <row r="45986" s="160" customFormat="1" x14ac:dyDescent="0.3"/>
    <row r="45987" s="160" customFormat="1" x14ac:dyDescent="0.3"/>
    <row r="45988" s="160" customFormat="1" x14ac:dyDescent="0.3"/>
    <row r="45989" s="160" customFormat="1" x14ac:dyDescent="0.3"/>
    <row r="45990" s="160" customFormat="1" x14ac:dyDescent="0.3"/>
    <row r="45991" s="160" customFormat="1" x14ac:dyDescent="0.3"/>
    <row r="45992" s="160" customFormat="1" x14ac:dyDescent="0.3"/>
    <row r="45993" s="160" customFormat="1" x14ac:dyDescent="0.3"/>
    <row r="45994" s="160" customFormat="1" x14ac:dyDescent="0.3"/>
    <row r="45995" s="160" customFormat="1" x14ac:dyDescent="0.3"/>
    <row r="45996" s="160" customFormat="1" x14ac:dyDescent="0.3"/>
    <row r="45997" s="160" customFormat="1" x14ac:dyDescent="0.3"/>
    <row r="45998" s="160" customFormat="1" x14ac:dyDescent="0.3"/>
    <row r="45999" s="160" customFormat="1" x14ac:dyDescent="0.3"/>
    <row r="46000" s="160" customFormat="1" x14ac:dyDescent="0.3"/>
    <row r="46001" s="160" customFormat="1" x14ac:dyDescent="0.3"/>
    <row r="46002" s="160" customFormat="1" x14ac:dyDescent="0.3"/>
    <row r="46003" s="160" customFormat="1" x14ac:dyDescent="0.3"/>
    <row r="46004" s="160" customFormat="1" x14ac:dyDescent="0.3"/>
    <row r="46005" s="160" customFormat="1" x14ac:dyDescent="0.3"/>
    <row r="46006" s="160" customFormat="1" x14ac:dyDescent="0.3"/>
    <row r="46007" s="160" customFormat="1" x14ac:dyDescent="0.3"/>
    <row r="46008" s="160" customFormat="1" x14ac:dyDescent="0.3"/>
    <row r="46009" s="160" customFormat="1" x14ac:dyDescent="0.3"/>
    <row r="46010" s="160" customFormat="1" x14ac:dyDescent="0.3"/>
    <row r="46011" s="160" customFormat="1" x14ac:dyDescent="0.3"/>
    <row r="46012" s="160" customFormat="1" x14ac:dyDescent="0.3"/>
    <row r="46013" s="160" customFormat="1" x14ac:dyDescent="0.3"/>
    <row r="46014" s="160" customFormat="1" x14ac:dyDescent="0.3"/>
    <row r="46015" s="160" customFormat="1" x14ac:dyDescent="0.3"/>
    <row r="46016" s="160" customFormat="1" x14ac:dyDescent="0.3"/>
    <row r="46017" s="160" customFormat="1" x14ac:dyDescent="0.3"/>
    <row r="46018" s="160" customFormat="1" x14ac:dyDescent="0.3"/>
    <row r="46019" s="160" customFormat="1" x14ac:dyDescent="0.3"/>
    <row r="46020" s="160" customFormat="1" x14ac:dyDescent="0.3"/>
    <row r="46021" s="160" customFormat="1" x14ac:dyDescent="0.3"/>
    <row r="46022" s="160" customFormat="1" x14ac:dyDescent="0.3"/>
    <row r="46023" s="160" customFormat="1" x14ac:dyDescent="0.3"/>
    <row r="46024" s="160" customFormat="1" x14ac:dyDescent="0.3"/>
    <row r="46025" s="160" customFormat="1" x14ac:dyDescent="0.3"/>
    <row r="46026" s="160" customFormat="1" x14ac:dyDescent="0.3"/>
    <row r="46027" s="160" customFormat="1" x14ac:dyDescent="0.3"/>
    <row r="46028" s="160" customFormat="1" x14ac:dyDescent="0.3"/>
    <row r="46029" s="160" customFormat="1" x14ac:dyDescent="0.3"/>
    <row r="46030" s="160" customFormat="1" x14ac:dyDescent="0.3"/>
    <row r="46031" s="160" customFormat="1" x14ac:dyDescent="0.3"/>
    <row r="46032" s="160" customFormat="1" x14ac:dyDescent="0.3"/>
    <row r="46033" s="160" customFormat="1" x14ac:dyDescent="0.3"/>
    <row r="46034" s="160" customFormat="1" x14ac:dyDescent="0.3"/>
    <row r="46035" s="160" customFormat="1" x14ac:dyDescent="0.3"/>
    <row r="46036" s="160" customFormat="1" x14ac:dyDescent="0.3"/>
    <row r="46037" s="160" customFormat="1" x14ac:dyDescent="0.3"/>
    <row r="46038" s="160" customFormat="1" x14ac:dyDescent="0.3"/>
    <row r="46039" s="160" customFormat="1" x14ac:dyDescent="0.3"/>
    <row r="46040" s="160" customFormat="1" x14ac:dyDescent="0.3"/>
    <row r="46041" s="160" customFormat="1" x14ac:dyDescent="0.3"/>
    <row r="46042" s="160" customFormat="1" x14ac:dyDescent="0.3"/>
    <row r="46043" s="160" customFormat="1" x14ac:dyDescent="0.3"/>
    <row r="46044" s="160" customFormat="1" x14ac:dyDescent="0.3"/>
    <row r="46045" s="160" customFormat="1" x14ac:dyDescent="0.3"/>
    <row r="46046" s="160" customFormat="1" x14ac:dyDescent="0.3"/>
    <row r="46047" s="160" customFormat="1" x14ac:dyDescent="0.3"/>
    <row r="46048" s="160" customFormat="1" x14ac:dyDescent="0.3"/>
    <row r="46049" s="160" customFormat="1" x14ac:dyDescent="0.3"/>
    <row r="46050" s="160" customFormat="1" x14ac:dyDescent="0.3"/>
    <row r="46051" s="160" customFormat="1" x14ac:dyDescent="0.3"/>
    <row r="46052" s="160" customFormat="1" x14ac:dyDescent="0.3"/>
    <row r="46053" s="160" customFormat="1" x14ac:dyDescent="0.3"/>
    <row r="46054" s="160" customFormat="1" x14ac:dyDescent="0.3"/>
    <row r="46055" s="160" customFormat="1" x14ac:dyDescent="0.3"/>
    <row r="46056" s="160" customFormat="1" x14ac:dyDescent="0.3"/>
    <row r="46057" s="160" customFormat="1" x14ac:dyDescent="0.3"/>
    <row r="46058" s="160" customFormat="1" x14ac:dyDescent="0.3"/>
    <row r="46059" s="160" customFormat="1" x14ac:dyDescent="0.3"/>
    <row r="46060" s="160" customFormat="1" x14ac:dyDescent="0.3"/>
    <row r="46061" s="160" customFormat="1" x14ac:dyDescent="0.3"/>
    <row r="46062" s="160" customFormat="1" x14ac:dyDescent="0.3"/>
    <row r="46063" s="160" customFormat="1" x14ac:dyDescent="0.3"/>
    <row r="46064" s="160" customFormat="1" x14ac:dyDescent="0.3"/>
    <row r="46065" s="160" customFormat="1" x14ac:dyDescent="0.3"/>
    <row r="46066" s="160" customFormat="1" x14ac:dyDescent="0.3"/>
    <row r="46067" s="160" customFormat="1" x14ac:dyDescent="0.3"/>
    <row r="46068" s="160" customFormat="1" x14ac:dyDescent="0.3"/>
    <row r="46069" s="160" customFormat="1" x14ac:dyDescent="0.3"/>
    <row r="46070" s="160" customFormat="1" x14ac:dyDescent="0.3"/>
    <row r="46071" s="160" customFormat="1" x14ac:dyDescent="0.3"/>
    <row r="46072" s="160" customFormat="1" x14ac:dyDescent="0.3"/>
    <row r="46073" s="160" customFormat="1" x14ac:dyDescent="0.3"/>
    <row r="46074" s="160" customFormat="1" x14ac:dyDescent="0.3"/>
    <row r="46075" s="160" customFormat="1" x14ac:dyDescent="0.3"/>
    <row r="46076" s="160" customFormat="1" x14ac:dyDescent="0.3"/>
    <row r="46077" s="160" customFormat="1" x14ac:dyDescent="0.3"/>
    <row r="46078" s="160" customFormat="1" x14ac:dyDescent="0.3"/>
    <row r="46079" s="160" customFormat="1" x14ac:dyDescent="0.3"/>
    <row r="46080" s="160" customFormat="1" x14ac:dyDescent="0.3"/>
    <row r="46081" s="160" customFormat="1" x14ac:dyDescent="0.3"/>
    <row r="46082" s="160" customFormat="1" x14ac:dyDescent="0.3"/>
    <row r="46083" s="160" customFormat="1" x14ac:dyDescent="0.3"/>
    <row r="46084" s="160" customFormat="1" x14ac:dyDescent="0.3"/>
    <row r="46085" s="160" customFormat="1" x14ac:dyDescent="0.3"/>
    <row r="46086" s="160" customFormat="1" x14ac:dyDescent="0.3"/>
    <row r="46087" s="160" customFormat="1" x14ac:dyDescent="0.3"/>
    <row r="46088" s="160" customFormat="1" x14ac:dyDescent="0.3"/>
    <row r="46089" s="160" customFormat="1" x14ac:dyDescent="0.3"/>
    <row r="46090" s="160" customFormat="1" x14ac:dyDescent="0.3"/>
    <row r="46091" s="160" customFormat="1" x14ac:dyDescent="0.3"/>
    <row r="46092" s="160" customFormat="1" x14ac:dyDescent="0.3"/>
    <row r="46093" s="160" customFormat="1" x14ac:dyDescent="0.3"/>
    <row r="46094" s="160" customFormat="1" x14ac:dyDescent="0.3"/>
    <row r="46095" s="160" customFormat="1" x14ac:dyDescent="0.3"/>
    <row r="46096" s="160" customFormat="1" x14ac:dyDescent="0.3"/>
    <row r="46097" s="160" customFormat="1" x14ac:dyDescent="0.3"/>
    <row r="46098" s="160" customFormat="1" x14ac:dyDescent="0.3"/>
    <row r="46099" s="160" customFormat="1" x14ac:dyDescent="0.3"/>
    <row r="46100" s="160" customFormat="1" x14ac:dyDescent="0.3"/>
    <row r="46101" s="160" customFormat="1" x14ac:dyDescent="0.3"/>
    <row r="46102" s="160" customFormat="1" x14ac:dyDescent="0.3"/>
    <row r="46103" s="160" customFormat="1" x14ac:dyDescent="0.3"/>
    <row r="46104" s="160" customFormat="1" x14ac:dyDescent="0.3"/>
    <row r="46105" s="160" customFormat="1" x14ac:dyDescent="0.3"/>
    <row r="46106" s="160" customFormat="1" x14ac:dyDescent="0.3"/>
    <row r="46107" s="160" customFormat="1" x14ac:dyDescent="0.3"/>
    <row r="46108" s="160" customFormat="1" x14ac:dyDescent="0.3"/>
    <row r="46109" s="160" customFormat="1" x14ac:dyDescent="0.3"/>
    <row r="46110" s="160" customFormat="1" x14ac:dyDescent="0.3"/>
    <row r="46111" s="160" customFormat="1" x14ac:dyDescent="0.3"/>
    <row r="46112" s="160" customFormat="1" x14ac:dyDescent="0.3"/>
    <row r="46113" s="160" customFormat="1" x14ac:dyDescent="0.3"/>
    <row r="46114" s="160" customFormat="1" x14ac:dyDescent="0.3"/>
    <row r="46115" s="160" customFormat="1" x14ac:dyDescent="0.3"/>
    <row r="46116" s="160" customFormat="1" x14ac:dyDescent="0.3"/>
    <row r="46117" s="160" customFormat="1" x14ac:dyDescent="0.3"/>
    <row r="46118" s="160" customFormat="1" x14ac:dyDescent="0.3"/>
    <row r="46119" s="160" customFormat="1" x14ac:dyDescent="0.3"/>
    <row r="46120" s="160" customFormat="1" x14ac:dyDescent="0.3"/>
    <row r="46121" s="160" customFormat="1" x14ac:dyDescent="0.3"/>
    <row r="46122" s="160" customFormat="1" x14ac:dyDescent="0.3"/>
    <row r="46123" s="160" customFormat="1" x14ac:dyDescent="0.3"/>
    <row r="46124" s="160" customFormat="1" x14ac:dyDescent="0.3"/>
    <row r="46125" s="160" customFormat="1" x14ac:dyDescent="0.3"/>
    <row r="46126" s="160" customFormat="1" x14ac:dyDescent="0.3"/>
    <row r="46127" s="160" customFormat="1" x14ac:dyDescent="0.3"/>
    <row r="46128" s="160" customFormat="1" x14ac:dyDescent="0.3"/>
    <row r="46129" s="160" customFormat="1" x14ac:dyDescent="0.3"/>
    <row r="46130" s="160" customFormat="1" x14ac:dyDescent="0.3"/>
    <row r="46131" s="160" customFormat="1" x14ac:dyDescent="0.3"/>
    <row r="46132" s="160" customFormat="1" x14ac:dyDescent="0.3"/>
    <row r="46133" s="160" customFormat="1" x14ac:dyDescent="0.3"/>
    <row r="46134" s="160" customFormat="1" x14ac:dyDescent="0.3"/>
    <row r="46135" s="160" customFormat="1" x14ac:dyDescent="0.3"/>
    <row r="46136" s="160" customFormat="1" x14ac:dyDescent="0.3"/>
    <row r="46137" s="160" customFormat="1" x14ac:dyDescent="0.3"/>
    <row r="46138" s="160" customFormat="1" x14ac:dyDescent="0.3"/>
    <row r="46139" s="160" customFormat="1" x14ac:dyDescent="0.3"/>
    <row r="46140" s="160" customFormat="1" x14ac:dyDescent="0.3"/>
    <row r="46141" s="160" customFormat="1" x14ac:dyDescent="0.3"/>
    <row r="46142" s="160" customFormat="1" x14ac:dyDescent="0.3"/>
    <row r="46143" s="160" customFormat="1" x14ac:dyDescent="0.3"/>
    <row r="46144" s="160" customFormat="1" x14ac:dyDescent="0.3"/>
    <row r="46145" s="160" customFormat="1" x14ac:dyDescent="0.3"/>
    <row r="46146" s="160" customFormat="1" x14ac:dyDescent="0.3"/>
    <row r="46147" s="160" customFormat="1" x14ac:dyDescent="0.3"/>
    <row r="46148" s="160" customFormat="1" x14ac:dyDescent="0.3"/>
    <row r="46149" s="160" customFormat="1" x14ac:dyDescent="0.3"/>
    <row r="46150" s="160" customFormat="1" x14ac:dyDescent="0.3"/>
    <row r="46151" s="160" customFormat="1" x14ac:dyDescent="0.3"/>
    <row r="46152" s="160" customFormat="1" x14ac:dyDescent="0.3"/>
    <row r="46153" s="160" customFormat="1" x14ac:dyDescent="0.3"/>
    <row r="46154" s="160" customFormat="1" x14ac:dyDescent="0.3"/>
    <row r="46155" s="160" customFormat="1" x14ac:dyDescent="0.3"/>
    <row r="46156" s="160" customFormat="1" x14ac:dyDescent="0.3"/>
    <row r="46157" s="160" customFormat="1" x14ac:dyDescent="0.3"/>
    <row r="46158" s="160" customFormat="1" x14ac:dyDescent="0.3"/>
    <row r="46159" s="160" customFormat="1" x14ac:dyDescent="0.3"/>
    <row r="46160" s="160" customFormat="1" x14ac:dyDescent="0.3"/>
    <row r="46161" s="160" customFormat="1" x14ac:dyDescent="0.3"/>
    <row r="46162" s="160" customFormat="1" x14ac:dyDescent="0.3"/>
    <row r="46163" s="160" customFormat="1" x14ac:dyDescent="0.3"/>
    <row r="46164" s="160" customFormat="1" x14ac:dyDescent="0.3"/>
    <row r="46165" s="160" customFormat="1" x14ac:dyDescent="0.3"/>
    <row r="46166" s="160" customFormat="1" x14ac:dyDescent="0.3"/>
    <row r="46167" s="160" customFormat="1" x14ac:dyDescent="0.3"/>
    <row r="46168" s="160" customFormat="1" x14ac:dyDescent="0.3"/>
    <row r="46169" s="160" customFormat="1" x14ac:dyDescent="0.3"/>
    <row r="46170" s="160" customFormat="1" x14ac:dyDescent="0.3"/>
    <row r="46171" s="160" customFormat="1" x14ac:dyDescent="0.3"/>
    <row r="46172" s="160" customFormat="1" x14ac:dyDescent="0.3"/>
    <row r="46173" s="160" customFormat="1" x14ac:dyDescent="0.3"/>
    <row r="46174" s="160" customFormat="1" x14ac:dyDescent="0.3"/>
    <row r="46175" s="160" customFormat="1" x14ac:dyDescent="0.3"/>
    <row r="46176" s="160" customFormat="1" x14ac:dyDescent="0.3"/>
    <row r="46177" s="160" customFormat="1" x14ac:dyDescent="0.3"/>
    <row r="46178" s="160" customFormat="1" x14ac:dyDescent="0.3"/>
    <row r="46179" s="160" customFormat="1" x14ac:dyDescent="0.3"/>
    <row r="46180" s="160" customFormat="1" x14ac:dyDescent="0.3"/>
    <row r="46181" s="160" customFormat="1" x14ac:dyDescent="0.3"/>
    <row r="46182" s="160" customFormat="1" x14ac:dyDescent="0.3"/>
    <row r="46183" s="160" customFormat="1" x14ac:dyDescent="0.3"/>
    <row r="46184" s="160" customFormat="1" x14ac:dyDescent="0.3"/>
    <row r="46185" s="160" customFormat="1" x14ac:dyDescent="0.3"/>
    <row r="46186" s="160" customFormat="1" x14ac:dyDescent="0.3"/>
    <row r="46187" s="160" customFormat="1" x14ac:dyDescent="0.3"/>
    <row r="46188" s="160" customFormat="1" x14ac:dyDescent="0.3"/>
    <row r="46189" s="160" customFormat="1" x14ac:dyDescent="0.3"/>
    <row r="46190" s="160" customFormat="1" x14ac:dyDescent="0.3"/>
    <row r="46191" s="160" customFormat="1" x14ac:dyDescent="0.3"/>
    <row r="46192" s="160" customFormat="1" x14ac:dyDescent="0.3"/>
    <row r="46193" s="160" customFormat="1" x14ac:dyDescent="0.3"/>
    <row r="46194" s="160" customFormat="1" x14ac:dyDescent="0.3"/>
    <row r="46195" s="160" customFormat="1" x14ac:dyDescent="0.3"/>
    <row r="46196" s="160" customFormat="1" x14ac:dyDescent="0.3"/>
    <row r="46197" s="160" customFormat="1" x14ac:dyDescent="0.3"/>
    <row r="46198" s="160" customFormat="1" x14ac:dyDescent="0.3"/>
    <row r="46199" s="160" customFormat="1" x14ac:dyDescent="0.3"/>
    <row r="46200" s="160" customFormat="1" x14ac:dyDescent="0.3"/>
    <row r="46201" s="160" customFormat="1" x14ac:dyDescent="0.3"/>
    <row r="46202" s="160" customFormat="1" x14ac:dyDescent="0.3"/>
    <row r="46203" s="160" customFormat="1" x14ac:dyDescent="0.3"/>
    <row r="46204" s="160" customFormat="1" x14ac:dyDescent="0.3"/>
    <row r="46205" s="160" customFormat="1" x14ac:dyDescent="0.3"/>
    <row r="46206" s="160" customFormat="1" x14ac:dyDescent="0.3"/>
    <row r="46207" s="160" customFormat="1" x14ac:dyDescent="0.3"/>
    <row r="46208" s="160" customFormat="1" x14ac:dyDescent="0.3"/>
    <row r="46209" s="160" customFormat="1" x14ac:dyDescent="0.3"/>
    <row r="46210" s="160" customFormat="1" x14ac:dyDescent="0.3"/>
    <row r="46211" s="160" customFormat="1" x14ac:dyDescent="0.3"/>
    <row r="46212" s="160" customFormat="1" x14ac:dyDescent="0.3"/>
    <row r="46213" s="160" customFormat="1" x14ac:dyDescent="0.3"/>
    <row r="46214" s="160" customFormat="1" x14ac:dyDescent="0.3"/>
    <row r="46215" s="160" customFormat="1" x14ac:dyDescent="0.3"/>
    <row r="46216" s="160" customFormat="1" x14ac:dyDescent="0.3"/>
    <row r="46217" s="160" customFormat="1" x14ac:dyDescent="0.3"/>
    <row r="46218" s="160" customFormat="1" x14ac:dyDescent="0.3"/>
    <row r="46219" s="160" customFormat="1" x14ac:dyDescent="0.3"/>
    <row r="46220" s="160" customFormat="1" x14ac:dyDescent="0.3"/>
    <row r="46221" s="160" customFormat="1" x14ac:dyDescent="0.3"/>
    <row r="46222" s="160" customFormat="1" x14ac:dyDescent="0.3"/>
    <row r="46223" s="160" customFormat="1" x14ac:dyDescent="0.3"/>
    <row r="46224" s="160" customFormat="1" x14ac:dyDescent="0.3"/>
    <row r="46225" s="160" customFormat="1" x14ac:dyDescent="0.3"/>
    <row r="46226" s="160" customFormat="1" x14ac:dyDescent="0.3"/>
    <row r="46227" s="160" customFormat="1" x14ac:dyDescent="0.3"/>
    <row r="46228" s="160" customFormat="1" x14ac:dyDescent="0.3"/>
    <row r="46229" s="160" customFormat="1" x14ac:dyDescent="0.3"/>
    <row r="46230" s="160" customFormat="1" x14ac:dyDescent="0.3"/>
    <row r="46231" s="160" customFormat="1" x14ac:dyDescent="0.3"/>
    <row r="46232" s="160" customFormat="1" x14ac:dyDescent="0.3"/>
    <row r="46233" s="160" customFormat="1" x14ac:dyDescent="0.3"/>
    <row r="46234" s="160" customFormat="1" x14ac:dyDescent="0.3"/>
    <row r="46235" s="160" customFormat="1" x14ac:dyDescent="0.3"/>
    <row r="46236" s="160" customFormat="1" x14ac:dyDescent="0.3"/>
    <row r="46237" s="160" customFormat="1" x14ac:dyDescent="0.3"/>
    <row r="46238" s="160" customFormat="1" x14ac:dyDescent="0.3"/>
    <row r="46239" s="160" customFormat="1" x14ac:dyDescent="0.3"/>
    <row r="46240" s="160" customFormat="1" x14ac:dyDescent="0.3"/>
    <row r="46241" s="160" customFormat="1" x14ac:dyDescent="0.3"/>
    <row r="46242" s="160" customFormat="1" x14ac:dyDescent="0.3"/>
    <row r="46243" s="160" customFormat="1" x14ac:dyDescent="0.3"/>
    <row r="46244" s="160" customFormat="1" x14ac:dyDescent="0.3"/>
    <row r="46245" s="160" customFormat="1" x14ac:dyDescent="0.3"/>
    <row r="46246" s="160" customFormat="1" x14ac:dyDescent="0.3"/>
    <row r="46247" s="160" customFormat="1" x14ac:dyDescent="0.3"/>
    <row r="46248" s="160" customFormat="1" x14ac:dyDescent="0.3"/>
    <row r="46249" s="160" customFormat="1" x14ac:dyDescent="0.3"/>
    <row r="46250" s="160" customFormat="1" x14ac:dyDescent="0.3"/>
    <row r="46251" s="160" customFormat="1" x14ac:dyDescent="0.3"/>
    <row r="46252" s="160" customFormat="1" x14ac:dyDescent="0.3"/>
    <row r="46253" s="160" customFormat="1" x14ac:dyDescent="0.3"/>
    <row r="46254" s="160" customFormat="1" x14ac:dyDescent="0.3"/>
    <row r="46255" s="160" customFormat="1" x14ac:dyDescent="0.3"/>
    <row r="46256" s="160" customFormat="1" x14ac:dyDescent="0.3"/>
    <row r="46257" s="160" customFormat="1" x14ac:dyDescent="0.3"/>
    <row r="46258" s="160" customFormat="1" x14ac:dyDescent="0.3"/>
    <row r="46259" s="160" customFormat="1" x14ac:dyDescent="0.3"/>
    <row r="46260" s="160" customFormat="1" x14ac:dyDescent="0.3"/>
    <row r="46261" s="160" customFormat="1" x14ac:dyDescent="0.3"/>
    <row r="46262" s="160" customFormat="1" x14ac:dyDescent="0.3"/>
    <row r="46263" s="160" customFormat="1" x14ac:dyDescent="0.3"/>
    <row r="46264" s="160" customFormat="1" x14ac:dyDescent="0.3"/>
    <row r="46265" s="160" customFormat="1" x14ac:dyDescent="0.3"/>
    <row r="46266" s="160" customFormat="1" x14ac:dyDescent="0.3"/>
    <row r="46267" s="160" customFormat="1" x14ac:dyDescent="0.3"/>
    <row r="46268" s="160" customFormat="1" x14ac:dyDescent="0.3"/>
    <row r="46269" s="160" customFormat="1" x14ac:dyDescent="0.3"/>
    <row r="46270" s="160" customFormat="1" x14ac:dyDescent="0.3"/>
    <row r="46271" s="160" customFormat="1" x14ac:dyDescent="0.3"/>
    <row r="46272" s="160" customFormat="1" x14ac:dyDescent="0.3"/>
    <row r="46273" s="160" customFormat="1" x14ac:dyDescent="0.3"/>
    <row r="46274" s="160" customFormat="1" x14ac:dyDescent="0.3"/>
    <row r="46275" s="160" customFormat="1" x14ac:dyDescent="0.3"/>
    <row r="46276" s="160" customFormat="1" x14ac:dyDescent="0.3"/>
    <row r="46277" s="160" customFormat="1" x14ac:dyDescent="0.3"/>
    <row r="46278" s="160" customFormat="1" x14ac:dyDescent="0.3"/>
    <row r="46279" s="160" customFormat="1" x14ac:dyDescent="0.3"/>
    <row r="46280" s="160" customFormat="1" x14ac:dyDescent="0.3"/>
    <row r="46281" s="160" customFormat="1" x14ac:dyDescent="0.3"/>
    <row r="46282" s="160" customFormat="1" x14ac:dyDescent="0.3"/>
    <row r="46283" s="160" customFormat="1" x14ac:dyDescent="0.3"/>
    <row r="46284" s="160" customFormat="1" x14ac:dyDescent="0.3"/>
    <row r="46285" s="160" customFormat="1" x14ac:dyDescent="0.3"/>
    <row r="46286" s="160" customFormat="1" x14ac:dyDescent="0.3"/>
    <row r="46287" s="160" customFormat="1" x14ac:dyDescent="0.3"/>
    <row r="46288" s="160" customFormat="1" x14ac:dyDescent="0.3"/>
    <row r="46289" s="160" customFormat="1" x14ac:dyDescent="0.3"/>
    <row r="46290" s="160" customFormat="1" x14ac:dyDescent="0.3"/>
    <row r="46291" s="160" customFormat="1" x14ac:dyDescent="0.3"/>
    <row r="46292" s="160" customFormat="1" x14ac:dyDescent="0.3"/>
    <row r="46293" s="160" customFormat="1" x14ac:dyDescent="0.3"/>
    <row r="46294" s="160" customFormat="1" x14ac:dyDescent="0.3"/>
    <row r="46295" s="160" customFormat="1" x14ac:dyDescent="0.3"/>
    <row r="46296" s="160" customFormat="1" x14ac:dyDescent="0.3"/>
    <row r="46297" s="160" customFormat="1" x14ac:dyDescent="0.3"/>
    <row r="46298" s="160" customFormat="1" x14ac:dyDescent="0.3"/>
    <row r="46299" s="160" customFormat="1" x14ac:dyDescent="0.3"/>
    <row r="46300" s="160" customFormat="1" x14ac:dyDescent="0.3"/>
    <row r="46301" s="160" customFormat="1" x14ac:dyDescent="0.3"/>
    <row r="46302" s="160" customFormat="1" x14ac:dyDescent="0.3"/>
    <row r="46303" s="160" customFormat="1" x14ac:dyDescent="0.3"/>
    <row r="46304" s="160" customFormat="1" x14ac:dyDescent="0.3"/>
    <row r="46305" s="160" customFormat="1" x14ac:dyDescent="0.3"/>
    <row r="46306" s="160" customFormat="1" x14ac:dyDescent="0.3"/>
    <row r="46307" s="160" customFormat="1" x14ac:dyDescent="0.3"/>
    <row r="46308" s="160" customFormat="1" x14ac:dyDescent="0.3"/>
    <row r="46309" s="160" customFormat="1" x14ac:dyDescent="0.3"/>
    <row r="46310" s="160" customFormat="1" x14ac:dyDescent="0.3"/>
    <row r="46311" s="160" customFormat="1" x14ac:dyDescent="0.3"/>
    <row r="46312" s="160" customFormat="1" x14ac:dyDescent="0.3"/>
    <row r="46313" s="160" customFormat="1" x14ac:dyDescent="0.3"/>
    <row r="46314" s="160" customFormat="1" x14ac:dyDescent="0.3"/>
    <row r="46315" s="160" customFormat="1" x14ac:dyDescent="0.3"/>
    <row r="46316" s="160" customFormat="1" x14ac:dyDescent="0.3"/>
    <row r="46317" s="160" customFormat="1" x14ac:dyDescent="0.3"/>
    <row r="46318" s="160" customFormat="1" x14ac:dyDescent="0.3"/>
    <row r="46319" s="160" customFormat="1" x14ac:dyDescent="0.3"/>
    <row r="46320" s="160" customFormat="1" x14ac:dyDescent="0.3"/>
    <row r="46321" s="160" customFormat="1" x14ac:dyDescent="0.3"/>
    <row r="46322" s="160" customFormat="1" x14ac:dyDescent="0.3"/>
    <row r="46323" s="160" customFormat="1" x14ac:dyDescent="0.3"/>
    <row r="46324" s="160" customFormat="1" x14ac:dyDescent="0.3"/>
    <row r="46325" s="160" customFormat="1" x14ac:dyDescent="0.3"/>
    <row r="46326" s="160" customFormat="1" x14ac:dyDescent="0.3"/>
    <row r="46327" s="160" customFormat="1" x14ac:dyDescent="0.3"/>
    <row r="46328" s="160" customFormat="1" x14ac:dyDescent="0.3"/>
    <row r="46329" s="160" customFormat="1" x14ac:dyDescent="0.3"/>
    <row r="46330" s="160" customFormat="1" x14ac:dyDescent="0.3"/>
    <row r="46331" s="160" customFormat="1" x14ac:dyDescent="0.3"/>
    <row r="46332" s="160" customFormat="1" x14ac:dyDescent="0.3"/>
    <row r="46333" s="160" customFormat="1" x14ac:dyDescent="0.3"/>
    <row r="46334" s="160" customFormat="1" x14ac:dyDescent="0.3"/>
    <row r="46335" s="160" customFormat="1" x14ac:dyDescent="0.3"/>
    <row r="46336" s="160" customFormat="1" x14ac:dyDescent="0.3"/>
    <row r="46337" s="160" customFormat="1" x14ac:dyDescent="0.3"/>
    <row r="46338" s="160" customFormat="1" x14ac:dyDescent="0.3"/>
    <row r="46339" s="160" customFormat="1" x14ac:dyDescent="0.3"/>
    <row r="46340" s="160" customFormat="1" x14ac:dyDescent="0.3"/>
    <row r="46341" s="160" customFormat="1" x14ac:dyDescent="0.3"/>
    <row r="46342" s="160" customFormat="1" x14ac:dyDescent="0.3"/>
    <row r="46343" s="160" customFormat="1" x14ac:dyDescent="0.3"/>
    <row r="46344" s="160" customFormat="1" x14ac:dyDescent="0.3"/>
    <row r="46345" s="160" customFormat="1" x14ac:dyDescent="0.3"/>
    <row r="46346" s="160" customFormat="1" x14ac:dyDescent="0.3"/>
    <row r="46347" s="160" customFormat="1" x14ac:dyDescent="0.3"/>
    <row r="46348" s="160" customFormat="1" x14ac:dyDescent="0.3"/>
    <row r="46349" s="160" customFormat="1" x14ac:dyDescent="0.3"/>
    <row r="46350" s="160" customFormat="1" x14ac:dyDescent="0.3"/>
    <row r="46351" s="160" customFormat="1" x14ac:dyDescent="0.3"/>
    <row r="46352" s="160" customFormat="1" x14ac:dyDescent="0.3"/>
    <row r="46353" s="160" customFormat="1" x14ac:dyDescent="0.3"/>
    <row r="46354" s="160" customFormat="1" x14ac:dyDescent="0.3"/>
    <row r="46355" s="160" customFormat="1" x14ac:dyDescent="0.3"/>
    <row r="46356" s="160" customFormat="1" x14ac:dyDescent="0.3"/>
    <row r="46357" s="160" customFormat="1" x14ac:dyDescent="0.3"/>
    <row r="46358" s="160" customFormat="1" x14ac:dyDescent="0.3"/>
    <row r="46359" s="160" customFormat="1" x14ac:dyDescent="0.3"/>
    <row r="46360" s="160" customFormat="1" x14ac:dyDescent="0.3"/>
    <row r="46361" s="160" customFormat="1" x14ac:dyDescent="0.3"/>
    <row r="46362" s="160" customFormat="1" x14ac:dyDescent="0.3"/>
    <row r="46363" s="160" customFormat="1" x14ac:dyDescent="0.3"/>
    <row r="46364" s="160" customFormat="1" x14ac:dyDescent="0.3"/>
    <row r="46365" s="160" customFormat="1" x14ac:dyDescent="0.3"/>
    <row r="46366" s="160" customFormat="1" x14ac:dyDescent="0.3"/>
    <row r="46367" s="160" customFormat="1" x14ac:dyDescent="0.3"/>
    <row r="46368" s="160" customFormat="1" x14ac:dyDescent="0.3"/>
    <row r="46369" s="160" customFormat="1" x14ac:dyDescent="0.3"/>
    <row r="46370" s="160" customFormat="1" x14ac:dyDescent="0.3"/>
    <row r="46371" s="160" customFormat="1" x14ac:dyDescent="0.3"/>
    <row r="46372" s="160" customFormat="1" x14ac:dyDescent="0.3"/>
    <row r="46373" s="160" customFormat="1" x14ac:dyDescent="0.3"/>
    <row r="46374" s="160" customFormat="1" x14ac:dyDescent="0.3"/>
    <row r="46375" s="160" customFormat="1" x14ac:dyDescent="0.3"/>
    <row r="46376" s="160" customFormat="1" x14ac:dyDescent="0.3"/>
    <row r="46377" s="160" customFormat="1" x14ac:dyDescent="0.3"/>
    <row r="46378" s="160" customFormat="1" x14ac:dyDescent="0.3"/>
    <row r="46379" s="160" customFormat="1" x14ac:dyDescent="0.3"/>
    <row r="46380" s="160" customFormat="1" x14ac:dyDescent="0.3"/>
    <row r="46381" s="160" customFormat="1" x14ac:dyDescent="0.3"/>
    <row r="46382" s="160" customFormat="1" x14ac:dyDescent="0.3"/>
    <row r="46383" s="160" customFormat="1" x14ac:dyDescent="0.3"/>
    <row r="46384" s="160" customFormat="1" x14ac:dyDescent="0.3"/>
    <row r="46385" s="160" customFormat="1" x14ac:dyDescent="0.3"/>
    <row r="46386" s="160" customFormat="1" x14ac:dyDescent="0.3"/>
    <row r="46387" s="160" customFormat="1" x14ac:dyDescent="0.3"/>
    <row r="46388" s="160" customFormat="1" x14ac:dyDescent="0.3"/>
    <row r="46389" s="160" customFormat="1" x14ac:dyDescent="0.3"/>
    <row r="46390" s="160" customFormat="1" x14ac:dyDescent="0.3"/>
    <row r="46391" s="160" customFormat="1" x14ac:dyDescent="0.3"/>
    <row r="46392" s="160" customFormat="1" x14ac:dyDescent="0.3"/>
    <row r="46393" s="160" customFormat="1" x14ac:dyDescent="0.3"/>
    <row r="46394" s="160" customFormat="1" x14ac:dyDescent="0.3"/>
    <row r="46395" s="160" customFormat="1" x14ac:dyDescent="0.3"/>
    <row r="46396" s="160" customFormat="1" x14ac:dyDescent="0.3"/>
    <row r="46397" s="160" customFormat="1" x14ac:dyDescent="0.3"/>
    <row r="46398" s="160" customFormat="1" x14ac:dyDescent="0.3"/>
    <row r="46399" s="160" customFormat="1" x14ac:dyDescent="0.3"/>
    <row r="46400" s="160" customFormat="1" x14ac:dyDescent="0.3"/>
    <row r="46401" s="160" customFormat="1" x14ac:dyDescent="0.3"/>
    <row r="46402" s="160" customFormat="1" x14ac:dyDescent="0.3"/>
    <row r="46403" s="160" customFormat="1" x14ac:dyDescent="0.3"/>
    <row r="46404" s="160" customFormat="1" x14ac:dyDescent="0.3"/>
    <row r="46405" s="160" customFormat="1" x14ac:dyDescent="0.3"/>
    <row r="46406" s="160" customFormat="1" x14ac:dyDescent="0.3"/>
    <row r="46407" s="160" customFormat="1" x14ac:dyDescent="0.3"/>
    <row r="46408" s="160" customFormat="1" x14ac:dyDescent="0.3"/>
    <row r="46409" s="160" customFormat="1" x14ac:dyDescent="0.3"/>
    <row r="46410" s="160" customFormat="1" x14ac:dyDescent="0.3"/>
    <row r="46411" s="160" customFormat="1" x14ac:dyDescent="0.3"/>
    <row r="46412" s="160" customFormat="1" x14ac:dyDescent="0.3"/>
    <row r="46413" s="160" customFormat="1" x14ac:dyDescent="0.3"/>
    <row r="46414" s="160" customFormat="1" x14ac:dyDescent="0.3"/>
    <row r="46415" s="160" customFormat="1" x14ac:dyDescent="0.3"/>
    <row r="46416" s="160" customFormat="1" x14ac:dyDescent="0.3"/>
    <row r="46417" s="160" customFormat="1" x14ac:dyDescent="0.3"/>
    <row r="46418" s="160" customFormat="1" x14ac:dyDescent="0.3"/>
    <row r="46419" s="160" customFormat="1" x14ac:dyDescent="0.3"/>
    <row r="46420" s="160" customFormat="1" x14ac:dyDescent="0.3"/>
    <row r="46421" s="160" customFormat="1" x14ac:dyDescent="0.3"/>
    <row r="46422" s="160" customFormat="1" x14ac:dyDescent="0.3"/>
    <row r="46423" s="160" customFormat="1" x14ac:dyDescent="0.3"/>
    <row r="46424" s="160" customFormat="1" x14ac:dyDescent="0.3"/>
    <row r="46425" s="160" customFormat="1" x14ac:dyDescent="0.3"/>
    <row r="46426" s="160" customFormat="1" x14ac:dyDescent="0.3"/>
    <row r="46427" s="160" customFormat="1" x14ac:dyDescent="0.3"/>
    <row r="46428" s="160" customFormat="1" x14ac:dyDescent="0.3"/>
    <row r="46429" s="160" customFormat="1" x14ac:dyDescent="0.3"/>
    <row r="46430" s="160" customFormat="1" x14ac:dyDescent="0.3"/>
    <row r="46431" s="160" customFormat="1" x14ac:dyDescent="0.3"/>
    <row r="46432" s="160" customFormat="1" x14ac:dyDescent="0.3"/>
    <row r="46433" s="160" customFormat="1" x14ac:dyDescent="0.3"/>
    <row r="46434" s="160" customFormat="1" x14ac:dyDescent="0.3"/>
    <row r="46435" s="160" customFormat="1" x14ac:dyDescent="0.3"/>
    <row r="46436" s="160" customFormat="1" x14ac:dyDescent="0.3"/>
    <row r="46437" s="160" customFormat="1" x14ac:dyDescent="0.3"/>
    <row r="46438" s="160" customFormat="1" x14ac:dyDescent="0.3"/>
    <row r="46439" s="160" customFormat="1" x14ac:dyDescent="0.3"/>
    <row r="46440" s="160" customFormat="1" x14ac:dyDescent="0.3"/>
    <row r="46441" s="160" customFormat="1" x14ac:dyDescent="0.3"/>
    <row r="46442" s="160" customFormat="1" x14ac:dyDescent="0.3"/>
    <row r="46443" s="160" customFormat="1" x14ac:dyDescent="0.3"/>
    <row r="46444" s="160" customFormat="1" x14ac:dyDescent="0.3"/>
    <row r="46445" s="160" customFormat="1" x14ac:dyDescent="0.3"/>
    <row r="46446" s="160" customFormat="1" x14ac:dyDescent="0.3"/>
    <row r="46447" s="160" customFormat="1" x14ac:dyDescent="0.3"/>
    <row r="46448" s="160" customFormat="1" x14ac:dyDescent="0.3"/>
    <row r="46449" s="160" customFormat="1" x14ac:dyDescent="0.3"/>
    <row r="46450" s="160" customFormat="1" x14ac:dyDescent="0.3"/>
    <row r="46451" s="160" customFormat="1" x14ac:dyDescent="0.3"/>
    <row r="46452" s="160" customFormat="1" x14ac:dyDescent="0.3"/>
    <row r="46453" s="160" customFormat="1" x14ac:dyDescent="0.3"/>
    <row r="46454" s="160" customFormat="1" x14ac:dyDescent="0.3"/>
    <row r="46455" s="160" customFormat="1" x14ac:dyDescent="0.3"/>
    <row r="46456" s="160" customFormat="1" x14ac:dyDescent="0.3"/>
    <row r="46457" s="160" customFormat="1" x14ac:dyDescent="0.3"/>
    <row r="46458" s="160" customFormat="1" x14ac:dyDescent="0.3"/>
    <row r="46459" s="160" customFormat="1" x14ac:dyDescent="0.3"/>
    <row r="46460" s="160" customFormat="1" x14ac:dyDescent="0.3"/>
    <row r="46461" s="160" customFormat="1" x14ac:dyDescent="0.3"/>
    <row r="46462" s="160" customFormat="1" x14ac:dyDescent="0.3"/>
    <row r="46463" s="160" customFormat="1" x14ac:dyDescent="0.3"/>
    <row r="46464" s="160" customFormat="1" x14ac:dyDescent="0.3"/>
    <row r="46465" s="160" customFormat="1" x14ac:dyDescent="0.3"/>
    <row r="46466" s="160" customFormat="1" x14ac:dyDescent="0.3"/>
    <row r="46467" s="160" customFormat="1" x14ac:dyDescent="0.3"/>
    <row r="46468" s="160" customFormat="1" x14ac:dyDescent="0.3"/>
    <row r="46469" s="160" customFormat="1" x14ac:dyDescent="0.3"/>
    <row r="46470" s="160" customFormat="1" x14ac:dyDescent="0.3"/>
    <row r="46471" s="160" customFormat="1" x14ac:dyDescent="0.3"/>
    <row r="46472" s="160" customFormat="1" x14ac:dyDescent="0.3"/>
    <row r="46473" s="160" customFormat="1" x14ac:dyDescent="0.3"/>
    <row r="46474" s="160" customFormat="1" x14ac:dyDescent="0.3"/>
    <row r="46475" s="160" customFormat="1" x14ac:dyDescent="0.3"/>
    <row r="46476" s="160" customFormat="1" x14ac:dyDescent="0.3"/>
    <row r="46477" s="160" customFormat="1" x14ac:dyDescent="0.3"/>
    <row r="46478" s="160" customFormat="1" x14ac:dyDescent="0.3"/>
    <row r="46479" s="160" customFormat="1" x14ac:dyDescent="0.3"/>
    <row r="46480" s="160" customFormat="1" x14ac:dyDescent="0.3"/>
    <row r="46481" s="160" customFormat="1" x14ac:dyDescent="0.3"/>
    <row r="46482" s="160" customFormat="1" x14ac:dyDescent="0.3"/>
    <row r="46483" s="160" customFormat="1" x14ac:dyDescent="0.3"/>
    <row r="46484" s="160" customFormat="1" x14ac:dyDescent="0.3"/>
    <row r="46485" s="160" customFormat="1" x14ac:dyDescent="0.3"/>
    <row r="46486" s="160" customFormat="1" x14ac:dyDescent="0.3"/>
    <row r="46487" s="160" customFormat="1" x14ac:dyDescent="0.3"/>
    <row r="46488" s="160" customFormat="1" x14ac:dyDescent="0.3"/>
    <row r="46489" s="160" customFormat="1" x14ac:dyDescent="0.3"/>
    <row r="46490" s="160" customFormat="1" x14ac:dyDescent="0.3"/>
    <row r="46491" s="160" customFormat="1" x14ac:dyDescent="0.3"/>
    <row r="46492" s="160" customFormat="1" x14ac:dyDescent="0.3"/>
    <row r="46493" s="160" customFormat="1" x14ac:dyDescent="0.3"/>
    <row r="46494" s="160" customFormat="1" x14ac:dyDescent="0.3"/>
    <row r="46495" s="160" customFormat="1" x14ac:dyDescent="0.3"/>
    <row r="46496" s="160" customFormat="1" x14ac:dyDescent="0.3"/>
    <row r="46497" s="160" customFormat="1" x14ac:dyDescent="0.3"/>
    <row r="46498" s="160" customFormat="1" x14ac:dyDescent="0.3"/>
    <row r="46499" s="160" customFormat="1" x14ac:dyDescent="0.3"/>
    <row r="46500" s="160" customFormat="1" x14ac:dyDescent="0.3"/>
    <row r="46501" s="160" customFormat="1" x14ac:dyDescent="0.3"/>
    <row r="46502" s="160" customFormat="1" x14ac:dyDescent="0.3"/>
    <row r="46503" s="160" customFormat="1" x14ac:dyDescent="0.3"/>
    <row r="46504" s="160" customFormat="1" x14ac:dyDescent="0.3"/>
    <row r="46505" s="160" customFormat="1" x14ac:dyDescent="0.3"/>
    <row r="46506" s="160" customFormat="1" x14ac:dyDescent="0.3"/>
    <row r="46507" s="160" customFormat="1" x14ac:dyDescent="0.3"/>
    <row r="46508" s="160" customFormat="1" x14ac:dyDescent="0.3"/>
    <row r="46509" s="160" customFormat="1" x14ac:dyDescent="0.3"/>
    <row r="46510" s="160" customFormat="1" x14ac:dyDescent="0.3"/>
    <row r="46511" s="160" customFormat="1" x14ac:dyDescent="0.3"/>
    <row r="46512" s="160" customFormat="1" x14ac:dyDescent="0.3"/>
    <row r="46513" s="160" customFormat="1" x14ac:dyDescent="0.3"/>
    <row r="46514" s="160" customFormat="1" x14ac:dyDescent="0.3"/>
    <row r="46515" s="160" customFormat="1" x14ac:dyDescent="0.3"/>
    <row r="46516" s="160" customFormat="1" x14ac:dyDescent="0.3"/>
    <row r="46517" s="160" customFormat="1" x14ac:dyDescent="0.3"/>
    <row r="46518" s="160" customFormat="1" x14ac:dyDescent="0.3"/>
    <row r="46519" s="160" customFormat="1" x14ac:dyDescent="0.3"/>
    <row r="46520" s="160" customFormat="1" x14ac:dyDescent="0.3"/>
    <row r="46521" s="160" customFormat="1" x14ac:dyDescent="0.3"/>
    <row r="46522" s="160" customFormat="1" x14ac:dyDescent="0.3"/>
    <row r="46523" s="160" customFormat="1" x14ac:dyDescent="0.3"/>
    <row r="46524" s="160" customFormat="1" x14ac:dyDescent="0.3"/>
    <row r="46525" s="160" customFormat="1" x14ac:dyDescent="0.3"/>
    <row r="46526" s="160" customFormat="1" x14ac:dyDescent="0.3"/>
    <row r="46527" s="160" customFormat="1" x14ac:dyDescent="0.3"/>
    <row r="46528" s="160" customFormat="1" x14ac:dyDescent="0.3"/>
    <row r="46529" s="160" customFormat="1" x14ac:dyDescent="0.3"/>
    <row r="46530" s="160" customFormat="1" x14ac:dyDescent="0.3"/>
    <row r="46531" s="160" customFormat="1" x14ac:dyDescent="0.3"/>
    <row r="46532" s="160" customFormat="1" x14ac:dyDescent="0.3"/>
    <row r="46533" s="160" customFormat="1" x14ac:dyDescent="0.3"/>
    <row r="46534" s="160" customFormat="1" x14ac:dyDescent="0.3"/>
    <row r="46535" s="160" customFormat="1" x14ac:dyDescent="0.3"/>
    <row r="46536" s="160" customFormat="1" x14ac:dyDescent="0.3"/>
    <row r="46537" s="160" customFormat="1" x14ac:dyDescent="0.3"/>
    <row r="46538" s="160" customFormat="1" x14ac:dyDescent="0.3"/>
    <row r="46539" s="160" customFormat="1" x14ac:dyDescent="0.3"/>
    <row r="46540" s="160" customFormat="1" x14ac:dyDescent="0.3"/>
    <row r="46541" s="160" customFormat="1" x14ac:dyDescent="0.3"/>
    <row r="46542" s="160" customFormat="1" x14ac:dyDescent="0.3"/>
    <row r="46543" s="160" customFormat="1" x14ac:dyDescent="0.3"/>
    <row r="46544" s="160" customFormat="1" x14ac:dyDescent="0.3"/>
    <row r="46545" s="160" customFormat="1" x14ac:dyDescent="0.3"/>
    <row r="46546" s="160" customFormat="1" x14ac:dyDescent="0.3"/>
    <row r="46547" s="160" customFormat="1" x14ac:dyDescent="0.3"/>
    <row r="46548" s="160" customFormat="1" x14ac:dyDescent="0.3"/>
    <row r="46549" s="160" customFormat="1" x14ac:dyDescent="0.3"/>
    <row r="46550" s="160" customFormat="1" x14ac:dyDescent="0.3"/>
    <row r="46551" s="160" customFormat="1" x14ac:dyDescent="0.3"/>
    <row r="46552" s="160" customFormat="1" x14ac:dyDescent="0.3"/>
    <row r="46553" s="160" customFormat="1" x14ac:dyDescent="0.3"/>
    <row r="46554" s="160" customFormat="1" x14ac:dyDescent="0.3"/>
    <row r="46555" s="160" customFormat="1" x14ac:dyDescent="0.3"/>
    <row r="46556" s="160" customFormat="1" x14ac:dyDescent="0.3"/>
    <row r="46557" s="160" customFormat="1" x14ac:dyDescent="0.3"/>
    <row r="46558" s="160" customFormat="1" x14ac:dyDescent="0.3"/>
    <row r="46559" s="160" customFormat="1" x14ac:dyDescent="0.3"/>
    <row r="46560" s="160" customFormat="1" x14ac:dyDescent="0.3"/>
    <row r="46561" s="160" customFormat="1" x14ac:dyDescent="0.3"/>
    <row r="46562" s="160" customFormat="1" x14ac:dyDescent="0.3"/>
    <row r="46563" s="160" customFormat="1" x14ac:dyDescent="0.3"/>
    <row r="46564" s="160" customFormat="1" x14ac:dyDescent="0.3"/>
    <row r="46565" s="160" customFormat="1" x14ac:dyDescent="0.3"/>
    <row r="46566" s="160" customFormat="1" x14ac:dyDescent="0.3"/>
    <row r="46567" s="160" customFormat="1" x14ac:dyDescent="0.3"/>
    <row r="46568" s="160" customFormat="1" x14ac:dyDescent="0.3"/>
    <row r="46569" s="160" customFormat="1" x14ac:dyDescent="0.3"/>
    <row r="46570" s="160" customFormat="1" x14ac:dyDescent="0.3"/>
    <row r="46571" s="160" customFormat="1" x14ac:dyDescent="0.3"/>
    <row r="46572" s="160" customFormat="1" x14ac:dyDescent="0.3"/>
    <row r="46573" s="160" customFormat="1" x14ac:dyDescent="0.3"/>
    <row r="46574" s="160" customFormat="1" x14ac:dyDescent="0.3"/>
    <row r="46575" s="160" customFormat="1" x14ac:dyDescent="0.3"/>
    <row r="46576" s="160" customFormat="1" x14ac:dyDescent="0.3"/>
    <row r="46577" s="160" customFormat="1" x14ac:dyDescent="0.3"/>
    <row r="46578" s="160" customFormat="1" x14ac:dyDescent="0.3"/>
    <row r="46579" s="160" customFormat="1" x14ac:dyDescent="0.3"/>
    <row r="46580" s="160" customFormat="1" x14ac:dyDescent="0.3"/>
    <row r="46581" s="160" customFormat="1" x14ac:dyDescent="0.3"/>
    <row r="46582" s="160" customFormat="1" x14ac:dyDescent="0.3"/>
    <row r="46583" s="160" customFormat="1" x14ac:dyDescent="0.3"/>
    <row r="46584" s="160" customFormat="1" x14ac:dyDescent="0.3"/>
    <row r="46585" s="160" customFormat="1" x14ac:dyDescent="0.3"/>
    <row r="46586" s="160" customFormat="1" x14ac:dyDescent="0.3"/>
    <row r="46587" s="160" customFormat="1" x14ac:dyDescent="0.3"/>
    <row r="46588" s="160" customFormat="1" x14ac:dyDescent="0.3"/>
    <row r="46589" s="160" customFormat="1" x14ac:dyDescent="0.3"/>
    <row r="46590" s="160" customFormat="1" x14ac:dyDescent="0.3"/>
    <row r="46591" s="160" customFormat="1" x14ac:dyDescent="0.3"/>
    <row r="46592" s="160" customFormat="1" x14ac:dyDescent="0.3"/>
    <row r="46593" s="160" customFormat="1" x14ac:dyDescent="0.3"/>
    <row r="46594" s="160" customFormat="1" x14ac:dyDescent="0.3"/>
    <row r="46595" s="160" customFormat="1" x14ac:dyDescent="0.3"/>
    <row r="46596" s="160" customFormat="1" x14ac:dyDescent="0.3"/>
    <row r="46597" s="160" customFormat="1" x14ac:dyDescent="0.3"/>
    <row r="46598" s="160" customFormat="1" x14ac:dyDescent="0.3"/>
    <row r="46599" s="160" customFormat="1" x14ac:dyDescent="0.3"/>
    <row r="46600" s="160" customFormat="1" x14ac:dyDescent="0.3"/>
    <row r="46601" s="160" customFormat="1" x14ac:dyDescent="0.3"/>
    <row r="46602" s="160" customFormat="1" x14ac:dyDescent="0.3"/>
    <row r="46603" s="160" customFormat="1" x14ac:dyDescent="0.3"/>
    <row r="46604" s="160" customFormat="1" x14ac:dyDescent="0.3"/>
    <row r="46605" s="160" customFormat="1" x14ac:dyDescent="0.3"/>
    <row r="46606" s="160" customFormat="1" x14ac:dyDescent="0.3"/>
    <row r="46607" s="160" customFormat="1" x14ac:dyDescent="0.3"/>
    <row r="46608" s="160" customFormat="1" x14ac:dyDescent="0.3"/>
    <row r="46609" s="160" customFormat="1" x14ac:dyDescent="0.3"/>
    <row r="46610" s="160" customFormat="1" x14ac:dyDescent="0.3"/>
    <row r="46611" s="160" customFormat="1" x14ac:dyDescent="0.3"/>
    <row r="46612" s="160" customFormat="1" x14ac:dyDescent="0.3"/>
    <row r="46613" s="160" customFormat="1" x14ac:dyDescent="0.3"/>
    <row r="46614" s="160" customFormat="1" x14ac:dyDescent="0.3"/>
    <row r="46615" s="160" customFormat="1" x14ac:dyDescent="0.3"/>
    <row r="46616" s="160" customFormat="1" x14ac:dyDescent="0.3"/>
    <row r="46617" s="160" customFormat="1" x14ac:dyDescent="0.3"/>
    <row r="46618" s="160" customFormat="1" x14ac:dyDescent="0.3"/>
    <row r="46619" s="160" customFormat="1" x14ac:dyDescent="0.3"/>
    <row r="46620" s="160" customFormat="1" x14ac:dyDescent="0.3"/>
    <row r="46621" s="160" customFormat="1" x14ac:dyDescent="0.3"/>
    <row r="46622" s="160" customFormat="1" x14ac:dyDescent="0.3"/>
    <row r="46623" s="160" customFormat="1" x14ac:dyDescent="0.3"/>
    <row r="46624" s="160" customFormat="1" x14ac:dyDescent="0.3"/>
    <row r="46625" s="160" customFormat="1" x14ac:dyDescent="0.3"/>
    <row r="46626" s="160" customFormat="1" x14ac:dyDescent="0.3"/>
    <row r="46627" s="160" customFormat="1" x14ac:dyDescent="0.3"/>
    <row r="46628" s="160" customFormat="1" x14ac:dyDescent="0.3"/>
    <row r="46629" s="160" customFormat="1" x14ac:dyDescent="0.3"/>
    <row r="46630" s="160" customFormat="1" x14ac:dyDescent="0.3"/>
    <row r="46631" s="160" customFormat="1" x14ac:dyDescent="0.3"/>
    <row r="46632" s="160" customFormat="1" x14ac:dyDescent="0.3"/>
    <row r="46633" s="160" customFormat="1" x14ac:dyDescent="0.3"/>
    <row r="46634" s="160" customFormat="1" x14ac:dyDescent="0.3"/>
    <row r="46635" s="160" customFormat="1" x14ac:dyDescent="0.3"/>
    <row r="46636" s="160" customFormat="1" x14ac:dyDescent="0.3"/>
    <row r="46637" s="160" customFormat="1" x14ac:dyDescent="0.3"/>
    <row r="46638" s="160" customFormat="1" x14ac:dyDescent="0.3"/>
    <row r="46639" s="160" customFormat="1" x14ac:dyDescent="0.3"/>
    <row r="46640" s="160" customFormat="1" x14ac:dyDescent="0.3"/>
    <row r="46641" s="160" customFormat="1" x14ac:dyDescent="0.3"/>
    <row r="46642" s="160" customFormat="1" x14ac:dyDescent="0.3"/>
    <row r="46643" s="160" customFormat="1" x14ac:dyDescent="0.3"/>
    <row r="46644" s="160" customFormat="1" x14ac:dyDescent="0.3"/>
    <row r="46645" s="160" customFormat="1" x14ac:dyDescent="0.3"/>
    <row r="46646" s="160" customFormat="1" x14ac:dyDescent="0.3"/>
    <row r="46647" s="160" customFormat="1" x14ac:dyDescent="0.3"/>
    <row r="46648" s="160" customFormat="1" x14ac:dyDescent="0.3"/>
    <row r="46649" s="160" customFormat="1" x14ac:dyDescent="0.3"/>
    <row r="46650" s="160" customFormat="1" x14ac:dyDescent="0.3"/>
    <row r="46651" s="160" customFormat="1" x14ac:dyDescent="0.3"/>
    <row r="46652" s="160" customFormat="1" x14ac:dyDescent="0.3"/>
    <row r="46653" s="160" customFormat="1" x14ac:dyDescent="0.3"/>
    <row r="46654" s="160" customFormat="1" x14ac:dyDescent="0.3"/>
    <row r="46655" s="160" customFormat="1" x14ac:dyDescent="0.3"/>
    <row r="46656" s="160" customFormat="1" x14ac:dyDescent="0.3"/>
    <row r="46657" s="160" customFormat="1" x14ac:dyDescent="0.3"/>
    <row r="46658" s="160" customFormat="1" x14ac:dyDescent="0.3"/>
    <row r="46659" s="160" customFormat="1" x14ac:dyDescent="0.3"/>
    <row r="46660" s="160" customFormat="1" x14ac:dyDescent="0.3"/>
    <row r="46661" s="160" customFormat="1" x14ac:dyDescent="0.3"/>
    <row r="46662" s="160" customFormat="1" x14ac:dyDescent="0.3"/>
    <row r="46663" s="160" customFormat="1" x14ac:dyDescent="0.3"/>
    <row r="46664" s="160" customFormat="1" x14ac:dyDescent="0.3"/>
    <row r="46665" s="160" customFormat="1" x14ac:dyDescent="0.3"/>
    <row r="46666" s="160" customFormat="1" x14ac:dyDescent="0.3"/>
    <row r="46667" s="160" customFormat="1" x14ac:dyDescent="0.3"/>
    <row r="46668" s="160" customFormat="1" x14ac:dyDescent="0.3"/>
    <row r="46669" s="160" customFormat="1" x14ac:dyDescent="0.3"/>
    <row r="46670" s="160" customFormat="1" x14ac:dyDescent="0.3"/>
    <row r="46671" s="160" customFormat="1" x14ac:dyDescent="0.3"/>
    <row r="46672" s="160" customFormat="1" x14ac:dyDescent="0.3"/>
    <row r="46673" s="160" customFormat="1" x14ac:dyDescent="0.3"/>
    <row r="46674" s="160" customFormat="1" x14ac:dyDescent="0.3"/>
    <row r="46675" s="160" customFormat="1" x14ac:dyDescent="0.3"/>
    <row r="46676" s="160" customFormat="1" x14ac:dyDescent="0.3"/>
    <row r="46677" s="160" customFormat="1" x14ac:dyDescent="0.3"/>
    <row r="46678" s="160" customFormat="1" x14ac:dyDescent="0.3"/>
    <row r="46679" s="160" customFormat="1" x14ac:dyDescent="0.3"/>
    <row r="46680" s="160" customFormat="1" x14ac:dyDescent="0.3"/>
    <row r="46681" s="160" customFormat="1" x14ac:dyDescent="0.3"/>
    <row r="46682" s="160" customFormat="1" x14ac:dyDescent="0.3"/>
    <row r="46683" s="160" customFormat="1" x14ac:dyDescent="0.3"/>
    <row r="46684" s="160" customFormat="1" x14ac:dyDescent="0.3"/>
    <row r="46685" s="160" customFormat="1" x14ac:dyDescent="0.3"/>
    <row r="46686" s="160" customFormat="1" x14ac:dyDescent="0.3"/>
    <row r="46687" s="160" customFormat="1" x14ac:dyDescent="0.3"/>
    <row r="46688" s="160" customFormat="1" x14ac:dyDescent="0.3"/>
    <row r="46689" s="160" customFormat="1" x14ac:dyDescent="0.3"/>
    <row r="46690" s="160" customFormat="1" x14ac:dyDescent="0.3"/>
    <row r="46691" s="160" customFormat="1" x14ac:dyDescent="0.3"/>
    <row r="46692" s="160" customFormat="1" x14ac:dyDescent="0.3"/>
    <row r="46693" s="160" customFormat="1" x14ac:dyDescent="0.3"/>
    <row r="46694" s="160" customFormat="1" x14ac:dyDescent="0.3"/>
    <row r="46695" s="160" customFormat="1" x14ac:dyDescent="0.3"/>
    <row r="46696" s="160" customFormat="1" x14ac:dyDescent="0.3"/>
    <row r="46697" s="160" customFormat="1" x14ac:dyDescent="0.3"/>
    <row r="46698" s="160" customFormat="1" x14ac:dyDescent="0.3"/>
    <row r="46699" s="160" customFormat="1" x14ac:dyDescent="0.3"/>
    <row r="46700" s="160" customFormat="1" x14ac:dyDescent="0.3"/>
    <row r="46701" s="160" customFormat="1" x14ac:dyDescent="0.3"/>
    <row r="46702" s="160" customFormat="1" x14ac:dyDescent="0.3"/>
    <row r="46703" s="160" customFormat="1" x14ac:dyDescent="0.3"/>
    <row r="46704" s="160" customFormat="1" x14ac:dyDescent="0.3"/>
    <row r="46705" s="160" customFormat="1" x14ac:dyDescent="0.3"/>
    <row r="46706" s="160" customFormat="1" x14ac:dyDescent="0.3"/>
    <row r="46707" s="160" customFormat="1" x14ac:dyDescent="0.3"/>
    <row r="46708" s="160" customFormat="1" x14ac:dyDescent="0.3"/>
    <row r="46709" s="160" customFormat="1" x14ac:dyDescent="0.3"/>
    <row r="46710" s="160" customFormat="1" x14ac:dyDescent="0.3"/>
    <row r="46711" s="160" customFormat="1" x14ac:dyDescent="0.3"/>
    <row r="46712" s="160" customFormat="1" x14ac:dyDescent="0.3"/>
    <row r="46713" s="160" customFormat="1" x14ac:dyDescent="0.3"/>
    <row r="46714" s="160" customFormat="1" x14ac:dyDescent="0.3"/>
    <row r="46715" s="160" customFormat="1" x14ac:dyDescent="0.3"/>
    <row r="46716" s="160" customFormat="1" x14ac:dyDescent="0.3"/>
    <row r="46717" s="160" customFormat="1" x14ac:dyDescent="0.3"/>
    <row r="46718" s="160" customFormat="1" x14ac:dyDescent="0.3"/>
    <row r="46719" s="160" customFormat="1" x14ac:dyDescent="0.3"/>
    <row r="46720" s="160" customFormat="1" x14ac:dyDescent="0.3"/>
    <row r="46721" s="160" customFormat="1" x14ac:dyDescent="0.3"/>
    <row r="46722" s="160" customFormat="1" x14ac:dyDescent="0.3"/>
    <row r="46723" s="160" customFormat="1" x14ac:dyDescent="0.3"/>
    <row r="46724" s="160" customFormat="1" x14ac:dyDescent="0.3"/>
    <row r="46725" s="160" customFormat="1" x14ac:dyDescent="0.3"/>
    <row r="46726" s="160" customFormat="1" x14ac:dyDescent="0.3"/>
    <row r="46727" s="160" customFormat="1" x14ac:dyDescent="0.3"/>
    <row r="46728" s="160" customFormat="1" x14ac:dyDescent="0.3"/>
    <row r="46729" s="160" customFormat="1" x14ac:dyDescent="0.3"/>
    <row r="46730" s="160" customFormat="1" x14ac:dyDescent="0.3"/>
    <row r="46731" s="160" customFormat="1" x14ac:dyDescent="0.3"/>
    <row r="46732" s="160" customFormat="1" x14ac:dyDescent="0.3"/>
    <row r="46733" s="160" customFormat="1" x14ac:dyDescent="0.3"/>
    <row r="46734" s="160" customFormat="1" x14ac:dyDescent="0.3"/>
    <row r="46735" s="160" customFormat="1" x14ac:dyDescent="0.3"/>
    <row r="46736" s="160" customFormat="1" x14ac:dyDescent="0.3"/>
    <row r="46737" s="160" customFormat="1" x14ac:dyDescent="0.3"/>
    <row r="46738" s="160" customFormat="1" x14ac:dyDescent="0.3"/>
    <row r="46739" s="160" customFormat="1" x14ac:dyDescent="0.3"/>
    <row r="46740" s="160" customFormat="1" x14ac:dyDescent="0.3"/>
    <row r="46741" s="160" customFormat="1" x14ac:dyDescent="0.3"/>
    <row r="46742" s="160" customFormat="1" x14ac:dyDescent="0.3"/>
    <row r="46743" s="160" customFormat="1" x14ac:dyDescent="0.3"/>
    <row r="46744" s="160" customFormat="1" x14ac:dyDescent="0.3"/>
    <row r="46745" s="160" customFormat="1" x14ac:dyDescent="0.3"/>
    <row r="46746" s="160" customFormat="1" x14ac:dyDescent="0.3"/>
    <row r="46747" s="160" customFormat="1" x14ac:dyDescent="0.3"/>
    <row r="46748" s="160" customFormat="1" x14ac:dyDescent="0.3"/>
    <row r="46749" s="160" customFormat="1" x14ac:dyDescent="0.3"/>
    <row r="46750" s="160" customFormat="1" x14ac:dyDescent="0.3"/>
    <row r="46751" s="160" customFormat="1" x14ac:dyDescent="0.3"/>
    <row r="46752" s="160" customFormat="1" x14ac:dyDescent="0.3"/>
    <row r="46753" s="160" customFormat="1" x14ac:dyDescent="0.3"/>
    <row r="46754" s="160" customFormat="1" x14ac:dyDescent="0.3"/>
    <row r="46755" s="160" customFormat="1" x14ac:dyDescent="0.3"/>
    <row r="46756" s="160" customFormat="1" x14ac:dyDescent="0.3"/>
    <row r="46757" s="160" customFormat="1" x14ac:dyDescent="0.3"/>
    <row r="46758" s="160" customFormat="1" x14ac:dyDescent="0.3"/>
    <row r="46759" s="160" customFormat="1" x14ac:dyDescent="0.3"/>
    <row r="46760" s="160" customFormat="1" x14ac:dyDescent="0.3"/>
    <row r="46761" s="160" customFormat="1" x14ac:dyDescent="0.3"/>
    <row r="46762" s="160" customFormat="1" x14ac:dyDescent="0.3"/>
    <row r="46763" s="160" customFormat="1" x14ac:dyDescent="0.3"/>
    <row r="46764" s="160" customFormat="1" x14ac:dyDescent="0.3"/>
    <row r="46765" s="160" customFormat="1" x14ac:dyDescent="0.3"/>
    <row r="46766" s="160" customFormat="1" x14ac:dyDescent="0.3"/>
    <row r="46767" s="160" customFormat="1" x14ac:dyDescent="0.3"/>
    <row r="46768" s="160" customFormat="1" x14ac:dyDescent="0.3"/>
    <row r="46769" s="160" customFormat="1" x14ac:dyDescent="0.3"/>
    <row r="46770" s="160" customFormat="1" x14ac:dyDescent="0.3"/>
    <row r="46771" s="160" customFormat="1" x14ac:dyDescent="0.3"/>
    <row r="46772" s="160" customFormat="1" x14ac:dyDescent="0.3"/>
    <row r="46773" s="160" customFormat="1" x14ac:dyDescent="0.3"/>
    <row r="46774" s="160" customFormat="1" x14ac:dyDescent="0.3"/>
    <row r="46775" s="160" customFormat="1" x14ac:dyDescent="0.3"/>
    <row r="46776" s="160" customFormat="1" x14ac:dyDescent="0.3"/>
    <row r="46777" s="160" customFormat="1" x14ac:dyDescent="0.3"/>
    <row r="46778" s="160" customFormat="1" x14ac:dyDescent="0.3"/>
    <row r="46779" s="160" customFormat="1" x14ac:dyDescent="0.3"/>
    <row r="46780" s="160" customFormat="1" x14ac:dyDescent="0.3"/>
    <row r="46781" s="160" customFormat="1" x14ac:dyDescent="0.3"/>
    <row r="46782" s="160" customFormat="1" x14ac:dyDescent="0.3"/>
    <row r="46783" s="160" customFormat="1" x14ac:dyDescent="0.3"/>
    <row r="46784" s="160" customFormat="1" x14ac:dyDescent="0.3"/>
    <row r="46785" s="160" customFormat="1" x14ac:dyDescent="0.3"/>
    <row r="46786" s="160" customFormat="1" x14ac:dyDescent="0.3"/>
    <row r="46787" s="160" customFormat="1" x14ac:dyDescent="0.3"/>
    <row r="46788" s="160" customFormat="1" x14ac:dyDescent="0.3"/>
    <row r="46789" s="160" customFormat="1" x14ac:dyDescent="0.3"/>
    <row r="46790" s="160" customFormat="1" x14ac:dyDescent="0.3"/>
    <row r="46791" s="160" customFormat="1" x14ac:dyDescent="0.3"/>
    <row r="46792" s="160" customFormat="1" x14ac:dyDescent="0.3"/>
    <row r="46793" s="160" customFormat="1" x14ac:dyDescent="0.3"/>
    <row r="46794" s="160" customFormat="1" x14ac:dyDescent="0.3"/>
    <row r="46795" s="160" customFormat="1" x14ac:dyDescent="0.3"/>
    <row r="46796" s="160" customFormat="1" x14ac:dyDescent="0.3"/>
    <row r="46797" s="160" customFormat="1" x14ac:dyDescent="0.3"/>
    <row r="46798" s="160" customFormat="1" x14ac:dyDescent="0.3"/>
    <row r="46799" s="160" customFormat="1" x14ac:dyDescent="0.3"/>
    <row r="46800" s="160" customFormat="1" x14ac:dyDescent="0.3"/>
    <row r="46801" s="160" customFormat="1" x14ac:dyDescent="0.3"/>
    <row r="46802" s="160" customFormat="1" x14ac:dyDescent="0.3"/>
    <row r="46803" s="160" customFormat="1" x14ac:dyDescent="0.3"/>
    <row r="46804" s="160" customFormat="1" x14ac:dyDescent="0.3"/>
    <row r="46805" s="160" customFormat="1" x14ac:dyDescent="0.3"/>
    <row r="46806" s="160" customFormat="1" x14ac:dyDescent="0.3"/>
    <row r="46807" s="160" customFormat="1" x14ac:dyDescent="0.3"/>
    <row r="46808" s="160" customFormat="1" x14ac:dyDescent="0.3"/>
    <row r="46809" s="160" customFormat="1" x14ac:dyDescent="0.3"/>
    <row r="46810" s="160" customFormat="1" x14ac:dyDescent="0.3"/>
    <row r="46811" s="160" customFormat="1" x14ac:dyDescent="0.3"/>
    <row r="46812" s="160" customFormat="1" x14ac:dyDescent="0.3"/>
    <row r="46813" s="160" customFormat="1" x14ac:dyDescent="0.3"/>
    <row r="46814" s="160" customFormat="1" x14ac:dyDescent="0.3"/>
    <row r="46815" s="160" customFormat="1" x14ac:dyDescent="0.3"/>
    <row r="46816" s="160" customFormat="1" x14ac:dyDescent="0.3"/>
    <row r="46817" s="160" customFormat="1" x14ac:dyDescent="0.3"/>
    <row r="46818" s="160" customFormat="1" x14ac:dyDescent="0.3"/>
    <row r="46819" s="160" customFormat="1" x14ac:dyDescent="0.3"/>
    <row r="46820" s="160" customFormat="1" x14ac:dyDescent="0.3"/>
    <row r="46821" s="160" customFormat="1" x14ac:dyDescent="0.3"/>
    <row r="46822" s="160" customFormat="1" x14ac:dyDescent="0.3"/>
    <row r="46823" s="160" customFormat="1" x14ac:dyDescent="0.3"/>
    <row r="46824" s="160" customFormat="1" x14ac:dyDescent="0.3"/>
    <row r="46825" s="160" customFormat="1" x14ac:dyDescent="0.3"/>
    <row r="46826" s="160" customFormat="1" x14ac:dyDescent="0.3"/>
    <row r="46827" s="160" customFormat="1" x14ac:dyDescent="0.3"/>
    <row r="46828" s="160" customFormat="1" x14ac:dyDescent="0.3"/>
    <row r="46829" s="160" customFormat="1" x14ac:dyDescent="0.3"/>
    <row r="46830" s="160" customFormat="1" x14ac:dyDescent="0.3"/>
    <row r="46831" s="160" customFormat="1" x14ac:dyDescent="0.3"/>
    <row r="46832" s="160" customFormat="1" x14ac:dyDescent="0.3"/>
    <row r="46833" s="160" customFormat="1" x14ac:dyDescent="0.3"/>
    <row r="46834" s="160" customFormat="1" x14ac:dyDescent="0.3"/>
    <row r="46835" s="160" customFormat="1" x14ac:dyDescent="0.3"/>
    <row r="46836" s="160" customFormat="1" x14ac:dyDescent="0.3"/>
    <row r="46837" s="160" customFormat="1" x14ac:dyDescent="0.3"/>
    <row r="46838" s="160" customFormat="1" x14ac:dyDescent="0.3"/>
    <row r="46839" s="160" customFormat="1" x14ac:dyDescent="0.3"/>
    <row r="46840" s="160" customFormat="1" x14ac:dyDescent="0.3"/>
    <row r="46841" s="160" customFormat="1" x14ac:dyDescent="0.3"/>
    <row r="46842" s="160" customFormat="1" x14ac:dyDescent="0.3"/>
    <row r="46843" s="160" customFormat="1" x14ac:dyDescent="0.3"/>
    <row r="46844" s="160" customFormat="1" x14ac:dyDescent="0.3"/>
    <row r="46845" s="160" customFormat="1" x14ac:dyDescent="0.3"/>
    <row r="46846" s="160" customFormat="1" x14ac:dyDescent="0.3"/>
    <row r="46847" s="160" customFormat="1" x14ac:dyDescent="0.3"/>
    <row r="46848" s="160" customFormat="1" x14ac:dyDescent="0.3"/>
    <row r="46849" s="160" customFormat="1" x14ac:dyDescent="0.3"/>
    <row r="46850" s="160" customFormat="1" x14ac:dyDescent="0.3"/>
    <row r="46851" s="160" customFormat="1" x14ac:dyDescent="0.3"/>
    <row r="46852" s="160" customFormat="1" x14ac:dyDescent="0.3"/>
    <row r="46853" s="160" customFormat="1" x14ac:dyDescent="0.3"/>
    <row r="46854" s="160" customFormat="1" x14ac:dyDescent="0.3"/>
    <row r="46855" s="160" customFormat="1" x14ac:dyDescent="0.3"/>
    <row r="46856" s="160" customFormat="1" x14ac:dyDescent="0.3"/>
    <row r="46857" s="160" customFormat="1" x14ac:dyDescent="0.3"/>
    <row r="46858" s="160" customFormat="1" x14ac:dyDescent="0.3"/>
    <row r="46859" s="160" customFormat="1" x14ac:dyDescent="0.3"/>
    <row r="46860" s="160" customFormat="1" x14ac:dyDescent="0.3"/>
    <row r="46861" s="160" customFormat="1" x14ac:dyDescent="0.3"/>
    <row r="46862" s="160" customFormat="1" x14ac:dyDescent="0.3"/>
    <row r="46863" s="160" customFormat="1" x14ac:dyDescent="0.3"/>
    <row r="46864" s="160" customFormat="1" x14ac:dyDescent="0.3"/>
    <row r="46865" s="160" customFormat="1" x14ac:dyDescent="0.3"/>
    <row r="46866" s="160" customFormat="1" x14ac:dyDescent="0.3"/>
    <row r="46867" s="160" customFormat="1" x14ac:dyDescent="0.3"/>
    <row r="46868" s="160" customFormat="1" x14ac:dyDescent="0.3"/>
    <row r="46869" s="160" customFormat="1" x14ac:dyDescent="0.3"/>
    <row r="46870" s="160" customFormat="1" x14ac:dyDescent="0.3"/>
    <row r="46871" s="160" customFormat="1" x14ac:dyDescent="0.3"/>
    <row r="46872" s="160" customFormat="1" x14ac:dyDescent="0.3"/>
    <row r="46873" s="160" customFormat="1" x14ac:dyDescent="0.3"/>
    <row r="46874" s="160" customFormat="1" x14ac:dyDescent="0.3"/>
    <row r="46875" s="160" customFormat="1" x14ac:dyDescent="0.3"/>
    <row r="46876" s="160" customFormat="1" x14ac:dyDescent="0.3"/>
    <row r="46877" s="160" customFormat="1" x14ac:dyDescent="0.3"/>
    <row r="46878" s="160" customFormat="1" x14ac:dyDescent="0.3"/>
    <row r="46879" s="160" customFormat="1" x14ac:dyDescent="0.3"/>
    <row r="46880" s="160" customFormat="1" x14ac:dyDescent="0.3"/>
    <row r="46881" s="160" customFormat="1" x14ac:dyDescent="0.3"/>
    <row r="46882" s="160" customFormat="1" x14ac:dyDescent="0.3"/>
    <row r="46883" s="160" customFormat="1" x14ac:dyDescent="0.3"/>
    <row r="46884" s="160" customFormat="1" x14ac:dyDescent="0.3"/>
    <row r="46885" s="160" customFormat="1" x14ac:dyDescent="0.3"/>
    <row r="46886" s="160" customFormat="1" x14ac:dyDescent="0.3"/>
    <row r="46887" s="160" customFormat="1" x14ac:dyDescent="0.3"/>
    <row r="46888" s="160" customFormat="1" x14ac:dyDescent="0.3"/>
    <row r="46889" s="160" customFormat="1" x14ac:dyDescent="0.3"/>
    <row r="46890" s="160" customFormat="1" x14ac:dyDescent="0.3"/>
    <row r="46891" s="160" customFormat="1" x14ac:dyDescent="0.3"/>
    <row r="46892" s="160" customFormat="1" x14ac:dyDescent="0.3"/>
    <row r="46893" s="160" customFormat="1" x14ac:dyDescent="0.3"/>
    <row r="46894" s="160" customFormat="1" x14ac:dyDescent="0.3"/>
    <row r="46895" s="160" customFormat="1" x14ac:dyDescent="0.3"/>
    <row r="46896" s="160" customFormat="1" x14ac:dyDescent="0.3"/>
    <row r="46897" s="160" customFormat="1" x14ac:dyDescent="0.3"/>
    <row r="46898" s="160" customFormat="1" x14ac:dyDescent="0.3"/>
    <row r="46899" s="160" customFormat="1" x14ac:dyDescent="0.3"/>
    <row r="46900" s="160" customFormat="1" x14ac:dyDescent="0.3"/>
    <row r="46901" s="160" customFormat="1" x14ac:dyDescent="0.3"/>
    <row r="46902" s="160" customFormat="1" x14ac:dyDescent="0.3"/>
    <row r="46903" s="160" customFormat="1" x14ac:dyDescent="0.3"/>
    <row r="46904" s="160" customFormat="1" x14ac:dyDescent="0.3"/>
    <row r="46905" s="160" customFormat="1" x14ac:dyDescent="0.3"/>
    <row r="46906" s="160" customFormat="1" x14ac:dyDescent="0.3"/>
    <row r="46907" s="160" customFormat="1" x14ac:dyDescent="0.3"/>
    <row r="46908" s="160" customFormat="1" x14ac:dyDescent="0.3"/>
    <row r="46909" s="160" customFormat="1" x14ac:dyDescent="0.3"/>
    <row r="46910" s="160" customFormat="1" x14ac:dyDescent="0.3"/>
    <row r="46911" s="160" customFormat="1" x14ac:dyDescent="0.3"/>
    <row r="46912" s="160" customFormat="1" x14ac:dyDescent="0.3"/>
    <row r="46913" s="160" customFormat="1" x14ac:dyDescent="0.3"/>
    <row r="46914" s="160" customFormat="1" x14ac:dyDescent="0.3"/>
    <row r="46915" s="160" customFormat="1" x14ac:dyDescent="0.3"/>
    <row r="46916" s="160" customFormat="1" x14ac:dyDescent="0.3"/>
    <row r="46917" s="160" customFormat="1" x14ac:dyDescent="0.3"/>
    <row r="46918" s="160" customFormat="1" x14ac:dyDescent="0.3"/>
    <row r="46919" s="160" customFormat="1" x14ac:dyDescent="0.3"/>
    <row r="46920" s="160" customFormat="1" x14ac:dyDescent="0.3"/>
    <row r="46921" s="160" customFormat="1" x14ac:dyDescent="0.3"/>
    <row r="46922" s="160" customFormat="1" x14ac:dyDescent="0.3"/>
    <row r="46923" s="160" customFormat="1" x14ac:dyDescent="0.3"/>
    <row r="46924" s="160" customFormat="1" x14ac:dyDescent="0.3"/>
    <row r="46925" s="160" customFormat="1" x14ac:dyDescent="0.3"/>
    <row r="46926" s="160" customFormat="1" x14ac:dyDescent="0.3"/>
    <row r="46927" s="160" customFormat="1" x14ac:dyDescent="0.3"/>
    <row r="46928" s="160" customFormat="1" x14ac:dyDescent="0.3"/>
    <row r="46929" s="160" customFormat="1" x14ac:dyDescent="0.3"/>
    <row r="46930" s="160" customFormat="1" x14ac:dyDescent="0.3"/>
    <row r="46931" s="160" customFormat="1" x14ac:dyDescent="0.3"/>
    <row r="46932" s="160" customFormat="1" x14ac:dyDescent="0.3"/>
    <row r="46933" s="160" customFormat="1" x14ac:dyDescent="0.3"/>
    <row r="46934" s="160" customFormat="1" x14ac:dyDescent="0.3"/>
    <row r="46935" s="160" customFormat="1" x14ac:dyDescent="0.3"/>
    <row r="46936" s="160" customFormat="1" x14ac:dyDescent="0.3"/>
    <row r="46937" s="160" customFormat="1" x14ac:dyDescent="0.3"/>
    <row r="46938" s="160" customFormat="1" x14ac:dyDescent="0.3"/>
    <row r="46939" s="160" customFormat="1" x14ac:dyDescent="0.3"/>
    <row r="46940" s="160" customFormat="1" x14ac:dyDescent="0.3"/>
    <row r="46941" s="160" customFormat="1" x14ac:dyDescent="0.3"/>
    <row r="46942" s="160" customFormat="1" x14ac:dyDescent="0.3"/>
    <row r="46943" s="160" customFormat="1" x14ac:dyDescent="0.3"/>
    <row r="46944" s="160" customFormat="1" x14ac:dyDescent="0.3"/>
    <row r="46945" s="160" customFormat="1" x14ac:dyDescent="0.3"/>
    <row r="46946" s="160" customFormat="1" x14ac:dyDescent="0.3"/>
    <row r="46947" s="160" customFormat="1" x14ac:dyDescent="0.3"/>
    <row r="46948" s="160" customFormat="1" x14ac:dyDescent="0.3"/>
    <row r="46949" s="160" customFormat="1" x14ac:dyDescent="0.3"/>
    <row r="46950" s="160" customFormat="1" x14ac:dyDescent="0.3"/>
    <row r="46951" s="160" customFormat="1" x14ac:dyDescent="0.3"/>
    <row r="46952" s="160" customFormat="1" x14ac:dyDescent="0.3"/>
    <row r="46953" s="160" customFormat="1" x14ac:dyDescent="0.3"/>
    <row r="46954" s="160" customFormat="1" x14ac:dyDescent="0.3"/>
    <row r="46955" s="160" customFormat="1" x14ac:dyDescent="0.3"/>
    <row r="46956" s="160" customFormat="1" x14ac:dyDescent="0.3"/>
    <row r="46957" s="160" customFormat="1" x14ac:dyDescent="0.3"/>
    <row r="46958" s="160" customFormat="1" x14ac:dyDescent="0.3"/>
    <row r="46959" s="160" customFormat="1" x14ac:dyDescent="0.3"/>
    <row r="46960" s="160" customFormat="1" x14ac:dyDescent="0.3"/>
    <row r="46961" s="160" customFormat="1" x14ac:dyDescent="0.3"/>
    <row r="46962" s="160" customFormat="1" x14ac:dyDescent="0.3"/>
    <row r="46963" s="160" customFormat="1" x14ac:dyDescent="0.3"/>
    <row r="46964" s="160" customFormat="1" x14ac:dyDescent="0.3"/>
    <row r="46965" s="160" customFormat="1" x14ac:dyDescent="0.3"/>
    <row r="46966" s="160" customFormat="1" x14ac:dyDescent="0.3"/>
    <row r="46967" s="160" customFormat="1" x14ac:dyDescent="0.3"/>
    <row r="46968" s="160" customFormat="1" x14ac:dyDescent="0.3"/>
    <row r="46969" s="160" customFormat="1" x14ac:dyDescent="0.3"/>
    <row r="46970" s="160" customFormat="1" x14ac:dyDescent="0.3"/>
    <row r="46971" s="160" customFormat="1" x14ac:dyDescent="0.3"/>
    <row r="46972" s="160" customFormat="1" x14ac:dyDescent="0.3"/>
    <row r="46973" s="160" customFormat="1" x14ac:dyDescent="0.3"/>
    <row r="46974" s="160" customFormat="1" x14ac:dyDescent="0.3"/>
    <row r="46975" s="160" customFormat="1" x14ac:dyDescent="0.3"/>
    <row r="46976" s="160" customFormat="1" x14ac:dyDescent="0.3"/>
    <row r="46977" s="160" customFormat="1" x14ac:dyDescent="0.3"/>
    <row r="46978" s="160" customFormat="1" x14ac:dyDescent="0.3"/>
    <row r="46979" s="160" customFormat="1" x14ac:dyDescent="0.3"/>
    <row r="46980" s="160" customFormat="1" x14ac:dyDescent="0.3"/>
    <row r="46981" s="160" customFormat="1" x14ac:dyDescent="0.3"/>
    <row r="46982" s="160" customFormat="1" x14ac:dyDescent="0.3"/>
    <row r="46983" s="160" customFormat="1" x14ac:dyDescent="0.3"/>
    <row r="46984" s="160" customFormat="1" x14ac:dyDescent="0.3"/>
    <row r="46985" s="160" customFormat="1" x14ac:dyDescent="0.3"/>
    <row r="46986" s="160" customFormat="1" x14ac:dyDescent="0.3"/>
    <row r="46987" s="160" customFormat="1" x14ac:dyDescent="0.3"/>
    <row r="46988" s="160" customFormat="1" x14ac:dyDescent="0.3"/>
    <row r="46989" s="160" customFormat="1" x14ac:dyDescent="0.3"/>
    <row r="46990" s="160" customFormat="1" x14ac:dyDescent="0.3"/>
    <row r="46991" s="160" customFormat="1" x14ac:dyDescent="0.3"/>
    <row r="46992" s="160" customFormat="1" x14ac:dyDescent="0.3"/>
    <row r="46993" s="160" customFormat="1" x14ac:dyDescent="0.3"/>
    <row r="46994" s="160" customFormat="1" x14ac:dyDescent="0.3"/>
    <row r="46995" s="160" customFormat="1" x14ac:dyDescent="0.3"/>
    <row r="46996" s="160" customFormat="1" x14ac:dyDescent="0.3"/>
    <row r="46997" s="160" customFormat="1" x14ac:dyDescent="0.3"/>
    <row r="46998" s="160" customFormat="1" x14ac:dyDescent="0.3"/>
    <row r="46999" s="160" customFormat="1" x14ac:dyDescent="0.3"/>
    <row r="47000" s="160" customFormat="1" x14ac:dyDescent="0.3"/>
    <row r="47001" s="160" customFormat="1" x14ac:dyDescent="0.3"/>
    <row r="47002" s="160" customFormat="1" x14ac:dyDescent="0.3"/>
    <row r="47003" s="160" customFormat="1" x14ac:dyDescent="0.3"/>
    <row r="47004" s="160" customFormat="1" x14ac:dyDescent="0.3"/>
    <row r="47005" s="160" customFormat="1" x14ac:dyDescent="0.3"/>
    <row r="47006" s="160" customFormat="1" x14ac:dyDescent="0.3"/>
    <row r="47007" s="160" customFormat="1" x14ac:dyDescent="0.3"/>
    <row r="47008" s="160" customFormat="1" x14ac:dyDescent="0.3"/>
    <row r="47009" s="160" customFormat="1" x14ac:dyDescent="0.3"/>
    <row r="47010" s="160" customFormat="1" x14ac:dyDescent="0.3"/>
    <row r="47011" s="160" customFormat="1" x14ac:dyDescent="0.3"/>
    <row r="47012" s="160" customFormat="1" x14ac:dyDescent="0.3"/>
    <row r="47013" s="160" customFormat="1" x14ac:dyDescent="0.3"/>
    <row r="47014" s="160" customFormat="1" x14ac:dyDescent="0.3"/>
    <row r="47015" s="160" customFormat="1" x14ac:dyDescent="0.3"/>
    <row r="47016" s="160" customFormat="1" x14ac:dyDescent="0.3"/>
    <row r="47017" s="160" customFormat="1" x14ac:dyDescent="0.3"/>
    <row r="47018" s="160" customFormat="1" x14ac:dyDescent="0.3"/>
    <row r="47019" s="160" customFormat="1" x14ac:dyDescent="0.3"/>
    <row r="47020" s="160" customFormat="1" x14ac:dyDescent="0.3"/>
    <row r="47021" s="160" customFormat="1" x14ac:dyDescent="0.3"/>
    <row r="47022" s="160" customFormat="1" x14ac:dyDescent="0.3"/>
    <row r="47023" s="160" customFormat="1" x14ac:dyDescent="0.3"/>
    <row r="47024" s="160" customFormat="1" x14ac:dyDescent="0.3"/>
    <row r="47025" s="160" customFormat="1" x14ac:dyDescent="0.3"/>
    <row r="47026" s="160" customFormat="1" x14ac:dyDescent="0.3"/>
    <row r="47027" s="160" customFormat="1" x14ac:dyDescent="0.3"/>
    <row r="47028" s="160" customFormat="1" x14ac:dyDescent="0.3"/>
    <row r="47029" s="160" customFormat="1" x14ac:dyDescent="0.3"/>
    <row r="47030" s="160" customFormat="1" x14ac:dyDescent="0.3"/>
    <row r="47031" s="160" customFormat="1" x14ac:dyDescent="0.3"/>
    <row r="47032" s="160" customFormat="1" x14ac:dyDescent="0.3"/>
    <row r="47033" s="160" customFormat="1" x14ac:dyDescent="0.3"/>
    <row r="47034" s="160" customFormat="1" x14ac:dyDescent="0.3"/>
    <row r="47035" s="160" customFormat="1" x14ac:dyDescent="0.3"/>
    <row r="47036" s="160" customFormat="1" x14ac:dyDescent="0.3"/>
    <row r="47037" s="160" customFormat="1" x14ac:dyDescent="0.3"/>
    <row r="47038" s="160" customFormat="1" x14ac:dyDescent="0.3"/>
    <row r="47039" s="160" customFormat="1" x14ac:dyDescent="0.3"/>
    <row r="47040" s="160" customFormat="1" x14ac:dyDescent="0.3"/>
    <row r="47041" s="160" customFormat="1" x14ac:dyDescent="0.3"/>
    <row r="47042" s="160" customFormat="1" x14ac:dyDescent="0.3"/>
    <row r="47043" s="160" customFormat="1" x14ac:dyDescent="0.3"/>
    <row r="47044" s="160" customFormat="1" x14ac:dyDescent="0.3"/>
    <row r="47045" s="160" customFormat="1" x14ac:dyDescent="0.3"/>
    <row r="47046" s="160" customFormat="1" x14ac:dyDescent="0.3"/>
    <row r="47047" s="160" customFormat="1" x14ac:dyDescent="0.3"/>
    <row r="47048" s="160" customFormat="1" x14ac:dyDescent="0.3"/>
    <row r="47049" s="160" customFormat="1" x14ac:dyDescent="0.3"/>
    <row r="47050" s="160" customFormat="1" x14ac:dyDescent="0.3"/>
    <row r="47051" s="160" customFormat="1" x14ac:dyDescent="0.3"/>
    <row r="47052" s="160" customFormat="1" x14ac:dyDescent="0.3"/>
    <row r="47053" s="160" customFormat="1" x14ac:dyDescent="0.3"/>
    <row r="47054" s="160" customFormat="1" x14ac:dyDescent="0.3"/>
    <row r="47055" s="160" customFormat="1" x14ac:dyDescent="0.3"/>
    <row r="47056" s="160" customFormat="1" x14ac:dyDescent="0.3"/>
    <row r="47057" s="160" customFormat="1" x14ac:dyDescent="0.3"/>
    <row r="47058" s="160" customFormat="1" x14ac:dyDescent="0.3"/>
    <row r="47059" s="160" customFormat="1" x14ac:dyDescent="0.3"/>
    <row r="47060" s="160" customFormat="1" x14ac:dyDescent="0.3"/>
    <row r="47061" s="160" customFormat="1" x14ac:dyDescent="0.3"/>
    <row r="47062" s="160" customFormat="1" x14ac:dyDescent="0.3"/>
    <row r="47063" s="160" customFormat="1" x14ac:dyDescent="0.3"/>
    <row r="47064" s="160" customFormat="1" x14ac:dyDescent="0.3"/>
    <row r="47065" s="160" customFormat="1" x14ac:dyDescent="0.3"/>
    <row r="47066" s="160" customFormat="1" x14ac:dyDescent="0.3"/>
    <row r="47067" s="160" customFormat="1" x14ac:dyDescent="0.3"/>
    <row r="47068" s="160" customFormat="1" x14ac:dyDescent="0.3"/>
    <row r="47069" s="160" customFormat="1" x14ac:dyDescent="0.3"/>
    <row r="47070" s="160" customFormat="1" x14ac:dyDescent="0.3"/>
    <row r="47071" s="160" customFormat="1" x14ac:dyDescent="0.3"/>
    <row r="47072" s="160" customFormat="1" x14ac:dyDescent="0.3"/>
    <row r="47073" s="160" customFormat="1" x14ac:dyDescent="0.3"/>
    <row r="47074" s="160" customFormat="1" x14ac:dyDescent="0.3"/>
    <row r="47075" s="160" customFormat="1" x14ac:dyDescent="0.3"/>
    <row r="47076" s="160" customFormat="1" x14ac:dyDescent="0.3"/>
    <row r="47077" s="160" customFormat="1" x14ac:dyDescent="0.3"/>
    <row r="47078" s="160" customFormat="1" x14ac:dyDescent="0.3"/>
    <row r="47079" s="160" customFormat="1" x14ac:dyDescent="0.3"/>
    <row r="47080" s="160" customFormat="1" x14ac:dyDescent="0.3"/>
    <row r="47081" s="160" customFormat="1" x14ac:dyDescent="0.3"/>
    <row r="47082" s="160" customFormat="1" x14ac:dyDescent="0.3"/>
    <row r="47083" s="160" customFormat="1" x14ac:dyDescent="0.3"/>
    <row r="47084" s="160" customFormat="1" x14ac:dyDescent="0.3"/>
    <row r="47085" s="160" customFormat="1" x14ac:dyDescent="0.3"/>
    <row r="47086" s="160" customFormat="1" x14ac:dyDescent="0.3"/>
    <row r="47087" s="160" customFormat="1" x14ac:dyDescent="0.3"/>
    <row r="47088" s="160" customFormat="1" x14ac:dyDescent="0.3"/>
    <row r="47089" s="160" customFormat="1" x14ac:dyDescent="0.3"/>
    <row r="47090" s="160" customFormat="1" x14ac:dyDescent="0.3"/>
    <row r="47091" s="160" customFormat="1" x14ac:dyDescent="0.3"/>
    <row r="47092" s="160" customFormat="1" x14ac:dyDescent="0.3"/>
    <row r="47093" s="160" customFormat="1" x14ac:dyDescent="0.3"/>
    <row r="47094" s="160" customFormat="1" x14ac:dyDescent="0.3"/>
    <row r="47095" s="160" customFormat="1" x14ac:dyDescent="0.3"/>
    <row r="47096" s="160" customFormat="1" x14ac:dyDescent="0.3"/>
    <row r="47097" s="160" customFormat="1" x14ac:dyDescent="0.3"/>
    <row r="47098" s="160" customFormat="1" x14ac:dyDescent="0.3"/>
    <row r="47099" s="160" customFormat="1" x14ac:dyDescent="0.3"/>
    <row r="47100" s="160" customFormat="1" x14ac:dyDescent="0.3"/>
    <row r="47101" s="160" customFormat="1" x14ac:dyDescent="0.3"/>
    <row r="47102" s="160" customFormat="1" x14ac:dyDescent="0.3"/>
    <row r="47103" s="160" customFormat="1" x14ac:dyDescent="0.3"/>
    <row r="47104" s="160" customFormat="1" x14ac:dyDescent="0.3"/>
    <row r="47105" s="160" customFormat="1" x14ac:dyDescent="0.3"/>
    <row r="47106" s="160" customFormat="1" x14ac:dyDescent="0.3"/>
    <row r="47107" s="160" customFormat="1" x14ac:dyDescent="0.3"/>
    <row r="47108" s="160" customFormat="1" x14ac:dyDescent="0.3"/>
    <row r="47109" s="160" customFormat="1" x14ac:dyDescent="0.3"/>
    <row r="47110" s="160" customFormat="1" x14ac:dyDescent="0.3"/>
    <row r="47111" s="160" customFormat="1" x14ac:dyDescent="0.3"/>
    <row r="47112" s="160" customFormat="1" x14ac:dyDescent="0.3"/>
    <row r="47113" s="160" customFormat="1" x14ac:dyDescent="0.3"/>
    <row r="47114" s="160" customFormat="1" x14ac:dyDescent="0.3"/>
    <row r="47115" s="160" customFormat="1" x14ac:dyDescent="0.3"/>
    <row r="47116" s="160" customFormat="1" x14ac:dyDescent="0.3"/>
    <row r="47117" s="160" customFormat="1" x14ac:dyDescent="0.3"/>
    <row r="47118" s="160" customFormat="1" x14ac:dyDescent="0.3"/>
    <row r="47119" s="160" customFormat="1" x14ac:dyDescent="0.3"/>
    <row r="47120" s="160" customFormat="1" x14ac:dyDescent="0.3"/>
    <row r="47121" s="160" customFormat="1" x14ac:dyDescent="0.3"/>
    <row r="47122" s="160" customFormat="1" x14ac:dyDescent="0.3"/>
    <row r="47123" s="160" customFormat="1" x14ac:dyDescent="0.3"/>
    <row r="47124" s="160" customFormat="1" x14ac:dyDescent="0.3"/>
    <row r="47125" s="160" customFormat="1" x14ac:dyDescent="0.3"/>
    <row r="47126" s="160" customFormat="1" x14ac:dyDescent="0.3"/>
    <row r="47127" s="160" customFormat="1" x14ac:dyDescent="0.3"/>
    <row r="47128" s="160" customFormat="1" x14ac:dyDescent="0.3"/>
    <row r="47129" s="160" customFormat="1" x14ac:dyDescent="0.3"/>
    <row r="47130" s="160" customFormat="1" x14ac:dyDescent="0.3"/>
    <row r="47131" s="160" customFormat="1" x14ac:dyDescent="0.3"/>
    <row r="47132" s="160" customFormat="1" x14ac:dyDescent="0.3"/>
    <row r="47133" s="160" customFormat="1" x14ac:dyDescent="0.3"/>
    <row r="47134" s="160" customFormat="1" x14ac:dyDescent="0.3"/>
    <row r="47135" s="160" customFormat="1" x14ac:dyDescent="0.3"/>
    <row r="47136" s="160" customFormat="1" x14ac:dyDescent="0.3"/>
    <row r="47137" s="160" customFormat="1" x14ac:dyDescent="0.3"/>
    <row r="47138" s="160" customFormat="1" x14ac:dyDescent="0.3"/>
    <row r="47139" s="160" customFormat="1" x14ac:dyDescent="0.3"/>
    <row r="47140" s="160" customFormat="1" x14ac:dyDescent="0.3"/>
    <row r="47141" s="160" customFormat="1" x14ac:dyDescent="0.3"/>
    <row r="47142" s="160" customFormat="1" x14ac:dyDescent="0.3"/>
    <row r="47143" s="160" customFormat="1" x14ac:dyDescent="0.3"/>
    <row r="47144" s="160" customFormat="1" x14ac:dyDescent="0.3"/>
    <row r="47145" s="160" customFormat="1" x14ac:dyDescent="0.3"/>
    <row r="47146" s="160" customFormat="1" x14ac:dyDescent="0.3"/>
    <row r="47147" s="160" customFormat="1" x14ac:dyDescent="0.3"/>
    <row r="47148" s="160" customFormat="1" x14ac:dyDescent="0.3"/>
    <row r="47149" s="160" customFormat="1" x14ac:dyDescent="0.3"/>
    <row r="47150" s="160" customFormat="1" x14ac:dyDescent="0.3"/>
    <row r="47151" s="160" customFormat="1" x14ac:dyDescent="0.3"/>
    <row r="47152" s="160" customFormat="1" x14ac:dyDescent="0.3"/>
    <row r="47153" s="160" customFormat="1" x14ac:dyDescent="0.3"/>
    <row r="47154" s="160" customFormat="1" x14ac:dyDescent="0.3"/>
    <row r="47155" s="160" customFormat="1" x14ac:dyDescent="0.3"/>
    <row r="47156" s="160" customFormat="1" x14ac:dyDescent="0.3"/>
    <row r="47157" s="160" customFormat="1" x14ac:dyDescent="0.3"/>
    <row r="47158" s="160" customFormat="1" x14ac:dyDescent="0.3"/>
    <row r="47159" s="160" customFormat="1" x14ac:dyDescent="0.3"/>
    <row r="47160" s="160" customFormat="1" x14ac:dyDescent="0.3"/>
    <row r="47161" s="160" customFormat="1" x14ac:dyDescent="0.3"/>
    <row r="47162" s="160" customFormat="1" x14ac:dyDescent="0.3"/>
    <row r="47163" s="160" customFormat="1" x14ac:dyDescent="0.3"/>
    <row r="47164" s="160" customFormat="1" x14ac:dyDescent="0.3"/>
    <row r="47165" s="160" customFormat="1" x14ac:dyDescent="0.3"/>
    <row r="47166" s="160" customFormat="1" x14ac:dyDescent="0.3"/>
    <row r="47167" s="160" customFormat="1" x14ac:dyDescent="0.3"/>
    <row r="47168" s="160" customFormat="1" x14ac:dyDescent="0.3"/>
    <row r="47169" s="160" customFormat="1" x14ac:dyDescent="0.3"/>
    <row r="47170" s="160" customFormat="1" x14ac:dyDescent="0.3"/>
    <row r="47171" s="160" customFormat="1" x14ac:dyDescent="0.3"/>
    <row r="47172" s="160" customFormat="1" x14ac:dyDescent="0.3"/>
    <row r="47173" s="160" customFormat="1" x14ac:dyDescent="0.3"/>
    <row r="47174" s="160" customFormat="1" x14ac:dyDescent="0.3"/>
    <row r="47175" s="160" customFormat="1" x14ac:dyDescent="0.3"/>
    <row r="47176" s="160" customFormat="1" x14ac:dyDescent="0.3"/>
    <row r="47177" s="160" customFormat="1" x14ac:dyDescent="0.3"/>
    <row r="47178" s="160" customFormat="1" x14ac:dyDescent="0.3"/>
    <row r="47179" s="160" customFormat="1" x14ac:dyDescent="0.3"/>
    <row r="47180" s="160" customFormat="1" x14ac:dyDescent="0.3"/>
    <row r="47181" s="160" customFormat="1" x14ac:dyDescent="0.3"/>
    <row r="47182" s="160" customFormat="1" x14ac:dyDescent="0.3"/>
    <row r="47183" s="160" customFormat="1" x14ac:dyDescent="0.3"/>
    <row r="47184" s="160" customFormat="1" x14ac:dyDescent="0.3"/>
    <row r="47185" s="160" customFormat="1" x14ac:dyDescent="0.3"/>
    <row r="47186" s="160" customFormat="1" x14ac:dyDescent="0.3"/>
    <row r="47187" s="160" customFormat="1" x14ac:dyDescent="0.3"/>
    <row r="47188" s="160" customFormat="1" x14ac:dyDescent="0.3"/>
    <row r="47189" s="160" customFormat="1" x14ac:dyDescent="0.3"/>
    <row r="47190" s="160" customFormat="1" x14ac:dyDescent="0.3"/>
    <row r="47191" s="160" customFormat="1" x14ac:dyDescent="0.3"/>
    <row r="47192" s="160" customFormat="1" x14ac:dyDescent="0.3"/>
    <row r="47193" s="160" customFormat="1" x14ac:dyDescent="0.3"/>
    <row r="47194" s="160" customFormat="1" x14ac:dyDescent="0.3"/>
    <row r="47195" s="160" customFormat="1" x14ac:dyDescent="0.3"/>
    <row r="47196" s="160" customFormat="1" x14ac:dyDescent="0.3"/>
    <row r="47197" s="160" customFormat="1" x14ac:dyDescent="0.3"/>
    <row r="47198" s="160" customFormat="1" x14ac:dyDescent="0.3"/>
    <row r="47199" s="160" customFormat="1" x14ac:dyDescent="0.3"/>
    <row r="47200" s="160" customFormat="1" x14ac:dyDescent="0.3"/>
    <row r="47201" s="160" customFormat="1" x14ac:dyDescent="0.3"/>
    <row r="47202" s="160" customFormat="1" x14ac:dyDescent="0.3"/>
    <row r="47203" s="160" customFormat="1" x14ac:dyDescent="0.3"/>
    <row r="47204" s="160" customFormat="1" x14ac:dyDescent="0.3"/>
    <row r="47205" s="160" customFormat="1" x14ac:dyDescent="0.3"/>
    <row r="47206" s="160" customFormat="1" x14ac:dyDescent="0.3"/>
    <row r="47207" s="160" customFormat="1" x14ac:dyDescent="0.3"/>
    <row r="47208" s="160" customFormat="1" x14ac:dyDescent="0.3"/>
    <row r="47209" s="160" customFormat="1" x14ac:dyDescent="0.3"/>
    <row r="47210" s="160" customFormat="1" x14ac:dyDescent="0.3"/>
    <row r="47211" s="160" customFormat="1" x14ac:dyDescent="0.3"/>
    <row r="47212" s="160" customFormat="1" x14ac:dyDescent="0.3"/>
    <row r="47213" s="160" customFormat="1" x14ac:dyDescent="0.3"/>
    <row r="47214" s="160" customFormat="1" x14ac:dyDescent="0.3"/>
    <row r="47215" s="160" customFormat="1" x14ac:dyDescent="0.3"/>
    <row r="47216" s="160" customFormat="1" x14ac:dyDescent="0.3"/>
    <row r="47217" s="160" customFormat="1" x14ac:dyDescent="0.3"/>
    <row r="47218" s="160" customFormat="1" x14ac:dyDescent="0.3"/>
    <row r="47219" s="160" customFormat="1" x14ac:dyDescent="0.3"/>
    <row r="47220" s="160" customFormat="1" x14ac:dyDescent="0.3"/>
    <row r="47221" s="160" customFormat="1" x14ac:dyDescent="0.3"/>
    <row r="47222" s="160" customFormat="1" x14ac:dyDescent="0.3"/>
    <row r="47223" s="160" customFormat="1" x14ac:dyDescent="0.3"/>
    <row r="47224" s="160" customFormat="1" x14ac:dyDescent="0.3"/>
    <row r="47225" s="160" customFormat="1" x14ac:dyDescent="0.3"/>
    <row r="47226" s="160" customFormat="1" x14ac:dyDescent="0.3"/>
    <row r="47227" s="160" customFormat="1" x14ac:dyDescent="0.3"/>
    <row r="47228" s="160" customFormat="1" x14ac:dyDescent="0.3"/>
    <row r="47229" s="160" customFormat="1" x14ac:dyDescent="0.3"/>
    <row r="47230" s="160" customFormat="1" x14ac:dyDescent="0.3"/>
    <row r="47231" s="160" customFormat="1" x14ac:dyDescent="0.3"/>
    <row r="47232" s="160" customFormat="1" x14ac:dyDescent="0.3"/>
    <row r="47233" s="160" customFormat="1" x14ac:dyDescent="0.3"/>
    <row r="47234" s="160" customFormat="1" x14ac:dyDescent="0.3"/>
    <row r="47235" s="160" customFormat="1" x14ac:dyDescent="0.3"/>
    <row r="47236" s="160" customFormat="1" x14ac:dyDescent="0.3"/>
    <row r="47237" s="160" customFormat="1" x14ac:dyDescent="0.3"/>
    <row r="47238" s="160" customFormat="1" x14ac:dyDescent="0.3"/>
    <row r="47239" s="160" customFormat="1" x14ac:dyDescent="0.3"/>
    <row r="47240" s="160" customFormat="1" x14ac:dyDescent="0.3"/>
    <row r="47241" s="160" customFormat="1" x14ac:dyDescent="0.3"/>
    <row r="47242" s="160" customFormat="1" x14ac:dyDescent="0.3"/>
    <row r="47243" s="160" customFormat="1" x14ac:dyDescent="0.3"/>
    <row r="47244" s="160" customFormat="1" x14ac:dyDescent="0.3"/>
    <row r="47245" s="160" customFormat="1" x14ac:dyDescent="0.3"/>
    <row r="47246" s="160" customFormat="1" x14ac:dyDescent="0.3"/>
    <row r="47247" s="160" customFormat="1" x14ac:dyDescent="0.3"/>
    <row r="47248" s="160" customFormat="1" x14ac:dyDescent="0.3"/>
    <row r="47249" s="160" customFormat="1" x14ac:dyDescent="0.3"/>
    <row r="47250" s="160" customFormat="1" x14ac:dyDescent="0.3"/>
    <row r="47251" s="160" customFormat="1" x14ac:dyDescent="0.3"/>
    <row r="47252" s="160" customFormat="1" x14ac:dyDescent="0.3"/>
    <row r="47253" s="160" customFormat="1" x14ac:dyDescent="0.3"/>
    <row r="47254" s="160" customFormat="1" x14ac:dyDescent="0.3"/>
    <row r="47255" s="160" customFormat="1" x14ac:dyDescent="0.3"/>
    <row r="47256" s="160" customFormat="1" x14ac:dyDescent="0.3"/>
    <row r="47257" s="160" customFormat="1" x14ac:dyDescent="0.3"/>
    <row r="47258" s="160" customFormat="1" x14ac:dyDescent="0.3"/>
    <row r="47259" s="160" customFormat="1" x14ac:dyDescent="0.3"/>
    <row r="47260" s="160" customFormat="1" x14ac:dyDescent="0.3"/>
    <row r="47261" s="160" customFormat="1" x14ac:dyDescent="0.3"/>
    <row r="47262" s="160" customFormat="1" x14ac:dyDescent="0.3"/>
    <row r="47263" s="160" customFormat="1" x14ac:dyDescent="0.3"/>
    <row r="47264" s="160" customFormat="1" x14ac:dyDescent="0.3"/>
    <row r="47265" s="160" customFormat="1" x14ac:dyDescent="0.3"/>
    <row r="47266" s="160" customFormat="1" x14ac:dyDescent="0.3"/>
    <row r="47267" s="160" customFormat="1" x14ac:dyDescent="0.3"/>
    <row r="47268" s="160" customFormat="1" x14ac:dyDescent="0.3"/>
    <row r="47269" s="160" customFormat="1" x14ac:dyDescent="0.3"/>
    <row r="47270" s="160" customFormat="1" x14ac:dyDescent="0.3"/>
    <row r="47271" s="160" customFormat="1" x14ac:dyDescent="0.3"/>
    <row r="47272" s="160" customFormat="1" x14ac:dyDescent="0.3"/>
    <row r="47273" s="160" customFormat="1" x14ac:dyDescent="0.3"/>
    <row r="47274" s="160" customFormat="1" x14ac:dyDescent="0.3"/>
    <row r="47275" s="160" customFormat="1" x14ac:dyDescent="0.3"/>
    <row r="47276" s="160" customFormat="1" x14ac:dyDescent="0.3"/>
    <row r="47277" s="160" customFormat="1" x14ac:dyDescent="0.3"/>
    <row r="47278" s="160" customFormat="1" x14ac:dyDescent="0.3"/>
    <row r="47279" s="160" customFormat="1" x14ac:dyDescent="0.3"/>
    <row r="47280" s="160" customFormat="1" x14ac:dyDescent="0.3"/>
    <row r="47281" s="160" customFormat="1" x14ac:dyDescent="0.3"/>
    <row r="47282" s="160" customFormat="1" x14ac:dyDescent="0.3"/>
    <row r="47283" s="160" customFormat="1" x14ac:dyDescent="0.3"/>
    <row r="47284" s="160" customFormat="1" x14ac:dyDescent="0.3"/>
    <row r="47285" s="160" customFormat="1" x14ac:dyDescent="0.3"/>
    <row r="47286" s="160" customFormat="1" x14ac:dyDescent="0.3"/>
    <row r="47287" s="160" customFormat="1" x14ac:dyDescent="0.3"/>
    <row r="47288" s="160" customFormat="1" x14ac:dyDescent="0.3"/>
    <row r="47289" s="160" customFormat="1" x14ac:dyDescent="0.3"/>
    <row r="47290" s="160" customFormat="1" x14ac:dyDescent="0.3"/>
    <row r="47291" s="160" customFormat="1" x14ac:dyDescent="0.3"/>
    <row r="47292" s="160" customFormat="1" x14ac:dyDescent="0.3"/>
    <row r="47293" s="160" customFormat="1" x14ac:dyDescent="0.3"/>
    <row r="47294" s="160" customFormat="1" x14ac:dyDescent="0.3"/>
    <row r="47295" s="160" customFormat="1" x14ac:dyDescent="0.3"/>
    <row r="47296" s="160" customFormat="1" x14ac:dyDescent="0.3"/>
    <row r="47297" s="160" customFormat="1" x14ac:dyDescent="0.3"/>
    <row r="47298" s="160" customFormat="1" x14ac:dyDescent="0.3"/>
    <row r="47299" s="160" customFormat="1" x14ac:dyDescent="0.3"/>
    <row r="47300" s="160" customFormat="1" x14ac:dyDescent="0.3"/>
    <row r="47301" s="160" customFormat="1" x14ac:dyDescent="0.3"/>
    <row r="47302" s="160" customFormat="1" x14ac:dyDescent="0.3"/>
    <row r="47303" s="160" customFormat="1" x14ac:dyDescent="0.3"/>
    <row r="47304" s="160" customFormat="1" x14ac:dyDescent="0.3"/>
    <row r="47305" s="160" customFormat="1" x14ac:dyDescent="0.3"/>
    <row r="47306" s="160" customFormat="1" x14ac:dyDescent="0.3"/>
    <row r="47307" s="160" customFormat="1" x14ac:dyDescent="0.3"/>
    <row r="47308" s="160" customFormat="1" x14ac:dyDescent="0.3"/>
    <row r="47309" s="160" customFormat="1" x14ac:dyDescent="0.3"/>
    <row r="47310" s="160" customFormat="1" x14ac:dyDescent="0.3"/>
    <row r="47311" s="160" customFormat="1" x14ac:dyDescent="0.3"/>
    <row r="47312" s="160" customFormat="1" x14ac:dyDescent="0.3"/>
    <row r="47313" s="160" customFormat="1" x14ac:dyDescent="0.3"/>
    <row r="47314" s="160" customFormat="1" x14ac:dyDescent="0.3"/>
    <row r="47315" s="160" customFormat="1" x14ac:dyDescent="0.3"/>
    <row r="47316" s="160" customFormat="1" x14ac:dyDescent="0.3"/>
    <row r="47317" s="160" customFormat="1" x14ac:dyDescent="0.3"/>
    <row r="47318" s="160" customFormat="1" x14ac:dyDescent="0.3"/>
    <row r="47319" s="160" customFormat="1" x14ac:dyDescent="0.3"/>
    <row r="47320" s="160" customFormat="1" x14ac:dyDescent="0.3"/>
    <row r="47321" s="160" customFormat="1" x14ac:dyDescent="0.3"/>
    <row r="47322" s="160" customFormat="1" x14ac:dyDescent="0.3"/>
    <row r="47323" s="160" customFormat="1" x14ac:dyDescent="0.3"/>
    <row r="47324" s="160" customFormat="1" x14ac:dyDescent="0.3"/>
    <row r="47325" s="160" customFormat="1" x14ac:dyDescent="0.3"/>
    <row r="47326" s="160" customFormat="1" x14ac:dyDescent="0.3"/>
    <row r="47327" s="160" customFormat="1" x14ac:dyDescent="0.3"/>
    <row r="47328" s="160" customFormat="1" x14ac:dyDescent="0.3"/>
    <row r="47329" s="160" customFormat="1" x14ac:dyDescent="0.3"/>
    <row r="47330" s="160" customFormat="1" x14ac:dyDescent="0.3"/>
    <row r="47331" s="160" customFormat="1" x14ac:dyDescent="0.3"/>
    <row r="47332" s="160" customFormat="1" x14ac:dyDescent="0.3"/>
    <row r="47333" s="160" customFormat="1" x14ac:dyDescent="0.3"/>
    <row r="47334" s="160" customFormat="1" x14ac:dyDescent="0.3"/>
    <row r="47335" s="160" customFormat="1" x14ac:dyDescent="0.3"/>
    <row r="47336" s="160" customFormat="1" x14ac:dyDescent="0.3"/>
    <row r="47337" s="160" customFormat="1" x14ac:dyDescent="0.3"/>
    <row r="47338" s="160" customFormat="1" x14ac:dyDescent="0.3"/>
    <row r="47339" s="160" customFormat="1" x14ac:dyDescent="0.3"/>
    <row r="47340" s="160" customFormat="1" x14ac:dyDescent="0.3"/>
    <row r="47341" s="160" customFormat="1" x14ac:dyDescent="0.3"/>
    <row r="47342" s="160" customFormat="1" x14ac:dyDescent="0.3"/>
    <row r="47343" s="160" customFormat="1" x14ac:dyDescent="0.3"/>
    <row r="47344" s="160" customFormat="1" x14ac:dyDescent="0.3"/>
    <row r="47345" s="160" customFormat="1" x14ac:dyDescent="0.3"/>
    <row r="47346" s="160" customFormat="1" x14ac:dyDescent="0.3"/>
    <row r="47347" s="160" customFormat="1" x14ac:dyDescent="0.3"/>
    <row r="47348" s="160" customFormat="1" x14ac:dyDescent="0.3"/>
    <row r="47349" s="160" customFormat="1" x14ac:dyDescent="0.3"/>
    <row r="47350" s="160" customFormat="1" x14ac:dyDescent="0.3"/>
    <row r="47351" s="160" customFormat="1" x14ac:dyDescent="0.3"/>
    <row r="47352" s="160" customFormat="1" x14ac:dyDescent="0.3"/>
    <row r="47353" s="160" customFormat="1" x14ac:dyDescent="0.3"/>
    <row r="47354" s="160" customFormat="1" x14ac:dyDescent="0.3"/>
    <row r="47355" s="160" customFormat="1" x14ac:dyDescent="0.3"/>
    <row r="47356" s="160" customFormat="1" x14ac:dyDescent="0.3"/>
    <row r="47357" s="160" customFormat="1" x14ac:dyDescent="0.3"/>
    <row r="47358" s="160" customFormat="1" x14ac:dyDescent="0.3"/>
    <row r="47359" s="160" customFormat="1" x14ac:dyDescent="0.3"/>
    <row r="47360" s="160" customFormat="1" x14ac:dyDescent="0.3"/>
    <row r="47361" s="160" customFormat="1" x14ac:dyDescent="0.3"/>
    <row r="47362" s="160" customFormat="1" x14ac:dyDescent="0.3"/>
    <row r="47363" s="160" customFormat="1" x14ac:dyDescent="0.3"/>
    <row r="47364" s="160" customFormat="1" x14ac:dyDescent="0.3"/>
    <row r="47365" s="160" customFormat="1" x14ac:dyDescent="0.3"/>
    <row r="47366" s="160" customFormat="1" x14ac:dyDescent="0.3"/>
    <row r="47367" s="160" customFormat="1" x14ac:dyDescent="0.3"/>
    <row r="47368" s="160" customFormat="1" x14ac:dyDescent="0.3"/>
    <row r="47369" s="160" customFormat="1" x14ac:dyDescent="0.3"/>
    <row r="47370" s="160" customFormat="1" x14ac:dyDescent="0.3"/>
    <row r="47371" s="160" customFormat="1" x14ac:dyDescent="0.3"/>
    <row r="47372" s="160" customFormat="1" x14ac:dyDescent="0.3"/>
    <row r="47373" s="160" customFormat="1" x14ac:dyDescent="0.3"/>
    <row r="47374" s="160" customFormat="1" x14ac:dyDescent="0.3"/>
    <row r="47375" s="160" customFormat="1" x14ac:dyDescent="0.3"/>
    <row r="47376" s="160" customFormat="1" x14ac:dyDescent="0.3"/>
    <row r="47377" s="160" customFormat="1" x14ac:dyDescent="0.3"/>
    <row r="47378" s="160" customFormat="1" x14ac:dyDescent="0.3"/>
    <row r="47379" s="160" customFormat="1" x14ac:dyDescent="0.3"/>
    <row r="47380" s="160" customFormat="1" x14ac:dyDescent="0.3"/>
    <row r="47381" s="160" customFormat="1" x14ac:dyDescent="0.3"/>
    <row r="47382" s="160" customFormat="1" x14ac:dyDescent="0.3"/>
    <row r="47383" s="160" customFormat="1" x14ac:dyDescent="0.3"/>
    <row r="47384" s="160" customFormat="1" x14ac:dyDescent="0.3"/>
    <row r="47385" s="160" customFormat="1" x14ac:dyDescent="0.3"/>
    <row r="47386" s="160" customFormat="1" x14ac:dyDescent="0.3"/>
    <row r="47387" s="160" customFormat="1" x14ac:dyDescent="0.3"/>
    <row r="47388" s="160" customFormat="1" x14ac:dyDescent="0.3"/>
    <row r="47389" s="160" customFormat="1" x14ac:dyDescent="0.3"/>
    <row r="47390" s="160" customFormat="1" x14ac:dyDescent="0.3"/>
    <row r="47391" s="160" customFormat="1" x14ac:dyDescent="0.3"/>
    <row r="47392" s="160" customFormat="1" x14ac:dyDescent="0.3"/>
    <row r="47393" s="160" customFormat="1" x14ac:dyDescent="0.3"/>
    <row r="47394" s="160" customFormat="1" x14ac:dyDescent="0.3"/>
    <row r="47395" s="160" customFormat="1" x14ac:dyDescent="0.3"/>
    <row r="47396" s="160" customFormat="1" x14ac:dyDescent="0.3"/>
    <row r="47397" s="160" customFormat="1" x14ac:dyDescent="0.3"/>
    <row r="47398" s="160" customFormat="1" x14ac:dyDescent="0.3"/>
    <row r="47399" s="160" customFormat="1" x14ac:dyDescent="0.3"/>
    <row r="47400" s="160" customFormat="1" x14ac:dyDescent="0.3"/>
    <row r="47401" s="160" customFormat="1" x14ac:dyDescent="0.3"/>
    <row r="47402" s="160" customFormat="1" x14ac:dyDescent="0.3"/>
    <row r="47403" s="160" customFormat="1" x14ac:dyDescent="0.3"/>
    <row r="47404" s="160" customFormat="1" x14ac:dyDescent="0.3"/>
    <row r="47405" s="160" customFormat="1" x14ac:dyDescent="0.3"/>
    <row r="47406" s="160" customFormat="1" x14ac:dyDescent="0.3"/>
    <row r="47407" s="160" customFormat="1" x14ac:dyDescent="0.3"/>
    <row r="47408" s="160" customFormat="1" x14ac:dyDescent="0.3"/>
    <row r="47409" s="160" customFormat="1" x14ac:dyDescent="0.3"/>
    <row r="47410" s="160" customFormat="1" x14ac:dyDescent="0.3"/>
    <row r="47411" s="160" customFormat="1" x14ac:dyDescent="0.3"/>
    <row r="47412" s="160" customFormat="1" x14ac:dyDescent="0.3"/>
    <row r="47413" s="160" customFormat="1" x14ac:dyDescent="0.3"/>
    <row r="47414" s="160" customFormat="1" x14ac:dyDescent="0.3"/>
    <row r="47415" s="160" customFormat="1" x14ac:dyDescent="0.3"/>
    <row r="47416" s="160" customFormat="1" x14ac:dyDescent="0.3"/>
    <row r="47417" s="160" customFormat="1" x14ac:dyDescent="0.3"/>
    <row r="47418" s="160" customFormat="1" x14ac:dyDescent="0.3"/>
    <row r="47419" s="160" customFormat="1" x14ac:dyDescent="0.3"/>
    <row r="47420" s="160" customFormat="1" x14ac:dyDescent="0.3"/>
    <row r="47421" s="160" customFormat="1" x14ac:dyDescent="0.3"/>
    <row r="47422" s="160" customFormat="1" x14ac:dyDescent="0.3"/>
    <row r="47423" s="160" customFormat="1" x14ac:dyDescent="0.3"/>
    <row r="47424" s="160" customFormat="1" x14ac:dyDescent="0.3"/>
    <row r="47425" s="160" customFormat="1" x14ac:dyDescent="0.3"/>
    <row r="47426" s="160" customFormat="1" x14ac:dyDescent="0.3"/>
    <row r="47427" s="160" customFormat="1" x14ac:dyDescent="0.3"/>
    <row r="47428" s="160" customFormat="1" x14ac:dyDescent="0.3"/>
    <row r="47429" s="160" customFormat="1" x14ac:dyDescent="0.3"/>
    <row r="47430" s="160" customFormat="1" x14ac:dyDescent="0.3"/>
    <row r="47431" s="160" customFormat="1" x14ac:dyDescent="0.3"/>
    <row r="47432" s="160" customFormat="1" x14ac:dyDescent="0.3"/>
    <row r="47433" s="160" customFormat="1" x14ac:dyDescent="0.3"/>
    <row r="47434" s="160" customFormat="1" x14ac:dyDescent="0.3"/>
    <row r="47435" s="160" customFormat="1" x14ac:dyDescent="0.3"/>
    <row r="47436" s="160" customFormat="1" x14ac:dyDescent="0.3"/>
    <row r="47437" s="160" customFormat="1" x14ac:dyDescent="0.3"/>
    <row r="47438" s="160" customFormat="1" x14ac:dyDescent="0.3"/>
    <row r="47439" s="160" customFormat="1" x14ac:dyDescent="0.3"/>
    <row r="47440" s="160" customFormat="1" x14ac:dyDescent="0.3"/>
    <row r="47441" s="160" customFormat="1" x14ac:dyDescent="0.3"/>
    <row r="47442" s="160" customFormat="1" x14ac:dyDescent="0.3"/>
    <row r="47443" s="160" customFormat="1" x14ac:dyDescent="0.3"/>
    <row r="47444" s="160" customFormat="1" x14ac:dyDescent="0.3"/>
    <row r="47445" s="160" customFormat="1" x14ac:dyDescent="0.3"/>
    <row r="47446" s="160" customFormat="1" x14ac:dyDescent="0.3"/>
    <row r="47447" s="160" customFormat="1" x14ac:dyDescent="0.3"/>
    <row r="47448" s="160" customFormat="1" x14ac:dyDescent="0.3"/>
    <row r="47449" s="160" customFormat="1" x14ac:dyDescent="0.3"/>
    <row r="47450" s="160" customFormat="1" x14ac:dyDescent="0.3"/>
    <row r="47451" s="160" customFormat="1" x14ac:dyDescent="0.3"/>
    <row r="47452" s="160" customFormat="1" x14ac:dyDescent="0.3"/>
    <row r="47453" s="160" customFormat="1" x14ac:dyDescent="0.3"/>
    <row r="47454" s="160" customFormat="1" x14ac:dyDescent="0.3"/>
    <row r="47455" s="160" customFormat="1" x14ac:dyDescent="0.3"/>
    <row r="47456" s="160" customFormat="1" x14ac:dyDescent="0.3"/>
    <row r="47457" s="160" customFormat="1" x14ac:dyDescent="0.3"/>
    <row r="47458" s="160" customFormat="1" x14ac:dyDescent="0.3"/>
    <row r="47459" s="160" customFormat="1" x14ac:dyDescent="0.3"/>
    <row r="47460" s="160" customFormat="1" x14ac:dyDescent="0.3"/>
    <row r="47461" s="160" customFormat="1" x14ac:dyDescent="0.3"/>
    <row r="47462" s="160" customFormat="1" x14ac:dyDescent="0.3"/>
    <row r="47463" s="160" customFormat="1" x14ac:dyDescent="0.3"/>
    <row r="47464" s="160" customFormat="1" x14ac:dyDescent="0.3"/>
    <row r="47465" s="160" customFormat="1" x14ac:dyDescent="0.3"/>
    <row r="47466" s="160" customFormat="1" x14ac:dyDescent="0.3"/>
    <row r="47467" s="160" customFormat="1" x14ac:dyDescent="0.3"/>
    <row r="47468" s="160" customFormat="1" x14ac:dyDescent="0.3"/>
    <row r="47469" s="160" customFormat="1" x14ac:dyDescent="0.3"/>
    <row r="47470" s="160" customFormat="1" x14ac:dyDescent="0.3"/>
    <row r="47471" s="160" customFormat="1" x14ac:dyDescent="0.3"/>
    <row r="47472" s="160" customFormat="1" x14ac:dyDescent="0.3"/>
    <row r="47473" s="160" customFormat="1" x14ac:dyDescent="0.3"/>
    <row r="47474" s="160" customFormat="1" x14ac:dyDescent="0.3"/>
    <row r="47475" s="160" customFormat="1" x14ac:dyDescent="0.3"/>
    <row r="47476" s="160" customFormat="1" x14ac:dyDescent="0.3"/>
    <row r="47477" s="160" customFormat="1" x14ac:dyDescent="0.3"/>
    <row r="47478" s="160" customFormat="1" x14ac:dyDescent="0.3"/>
    <row r="47479" s="160" customFormat="1" x14ac:dyDescent="0.3"/>
    <row r="47480" s="160" customFormat="1" x14ac:dyDescent="0.3"/>
    <row r="47481" s="160" customFormat="1" x14ac:dyDescent="0.3"/>
    <row r="47482" s="160" customFormat="1" x14ac:dyDescent="0.3"/>
    <row r="47483" s="160" customFormat="1" x14ac:dyDescent="0.3"/>
    <row r="47484" s="160" customFormat="1" x14ac:dyDescent="0.3"/>
    <row r="47485" s="160" customFormat="1" x14ac:dyDescent="0.3"/>
    <row r="47486" s="160" customFormat="1" x14ac:dyDescent="0.3"/>
    <row r="47487" s="160" customFormat="1" x14ac:dyDescent="0.3"/>
    <row r="47488" s="160" customFormat="1" x14ac:dyDescent="0.3"/>
    <row r="47489" s="160" customFormat="1" x14ac:dyDescent="0.3"/>
    <row r="47490" s="160" customFormat="1" x14ac:dyDescent="0.3"/>
    <row r="47491" s="160" customFormat="1" x14ac:dyDescent="0.3"/>
    <row r="47492" s="160" customFormat="1" x14ac:dyDescent="0.3"/>
    <row r="47493" s="160" customFormat="1" x14ac:dyDescent="0.3"/>
    <row r="47494" s="160" customFormat="1" x14ac:dyDescent="0.3"/>
    <row r="47495" s="160" customFormat="1" x14ac:dyDescent="0.3"/>
    <row r="47496" s="160" customFormat="1" x14ac:dyDescent="0.3"/>
    <row r="47497" s="160" customFormat="1" x14ac:dyDescent="0.3"/>
    <row r="47498" s="160" customFormat="1" x14ac:dyDescent="0.3"/>
    <row r="47499" s="160" customFormat="1" x14ac:dyDescent="0.3"/>
    <row r="47500" s="160" customFormat="1" x14ac:dyDescent="0.3"/>
    <row r="47501" s="160" customFormat="1" x14ac:dyDescent="0.3"/>
    <row r="47502" s="160" customFormat="1" x14ac:dyDescent="0.3"/>
    <row r="47503" s="160" customFormat="1" x14ac:dyDescent="0.3"/>
    <row r="47504" s="160" customFormat="1" x14ac:dyDescent="0.3"/>
    <row r="47505" s="160" customFormat="1" x14ac:dyDescent="0.3"/>
    <row r="47506" s="160" customFormat="1" x14ac:dyDescent="0.3"/>
    <row r="47507" s="160" customFormat="1" x14ac:dyDescent="0.3"/>
    <row r="47508" s="160" customFormat="1" x14ac:dyDescent="0.3"/>
    <row r="47509" s="160" customFormat="1" x14ac:dyDescent="0.3"/>
    <row r="47510" s="160" customFormat="1" x14ac:dyDescent="0.3"/>
    <row r="47511" s="160" customFormat="1" x14ac:dyDescent="0.3"/>
    <row r="47512" s="160" customFormat="1" x14ac:dyDescent="0.3"/>
    <row r="47513" s="160" customFormat="1" x14ac:dyDescent="0.3"/>
    <row r="47514" s="160" customFormat="1" x14ac:dyDescent="0.3"/>
    <row r="47515" s="160" customFormat="1" x14ac:dyDescent="0.3"/>
    <row r="47516" s="160" customFormat="1" x14ac:dyDescent="0.3"/>
    <row r="47517" s="160" customFormat="1" x14ac:dyDescent="0.3"/>
    <row r="47518" s="160" customFormat="1" x14ac:dyDescent="0.3"/>
    <row r="47519" s="160" customFormat="1" x14ac:dyDescent="0.3"/>
    <row r="47520" s="160" customFormat="1" x14ac:dyDescent="0.3"/>
    <row r="47521" s="160" customFormat="1" x14ac:dyDescent="0.3"/>
    <row r="47522" s="160" customFormat="1" x14ac:dyDescent="0.3"/>
    <row r="47523" s="160" customFormat="1" x14ac:dyDescent="0.3"/>
    <row r="47524" s="160" customFormat="1" x14ac:dyDescent="0.3"/>
    <row r="47525" s="160" customFormat="1" x14ac:dyDescent="0.3"/>
    <row r="47526" s="160" customFormat="1" x14ac:dyDescent="0.3"/>
    <row r="47527" s="160" customFormat="1" x14ac:dyDescent="0.3"/>
    <row r="47528" s="160" customFormat="1" x14ac:dyDescent="0.3"/>
    <row r="47529" s="160" customFormat="1" x14ac:dyDescent="0.3"/>
    <row r="47530" s="160" customFormat="1" x14ac:dyDescent="0.3"/>
    <row r="47531" s="160" customFormat="1" x14ac:dyDescent="0.3"/>
    <row r="47532" s="160" customFormat="1" x14ac:dyDescent="0.3"/>
    <row r="47533" s="160" customFormat="1" x14ac:dyDescent="0.3"/>
    <row r="47534" s="160" customFormat="1" x14ac:dyDescent="0.3"/>
    <row r="47535" s="160" customFormat="1" x14ac:dyDescent="0.3"/>
    <row r="47536" s="160" customFormat="1" x14ac:dyDescent="0.3"/>
    <row r="47537" s="160" customFormat="1" x14ac:dyDescent="0.3"/>
    <row r="47538" s="160" customFormat="1" x14ac:dyDescent="0.3"/>
    <row r="47539" s="160" customFormat="1" x14ac:dyDescent="0.3"/>
    <row r="47540" s="160" customFormat="1" x14ac:dyDescent="0.3"/>
    <row r="47541" s="160" customFormat="1" x14ac:dyDescent="0.3"/>
    <row r="47542" s="160" customFormat="1" x14ac:dyDescent="0.3"/>
    <row r="47543" s="160" customFormat="1" x14ac:dyDescent="0.3"/>
    <row r="47544" s="160" customFormat="1" x14ac:dyDescent="0.3"/>
    <row r="47545" s="160" customFormat="1" x14ac:dyDescent="0.3"/>
    <row r="47546" s="160" customFormat="1" x14ac:dyDescent="0.3"/>
    <row r="47547" s="160" customFormat="1" x14ac:dyDescent="0.3"/>
    <row r="47548" s="160" customFormat="1" x14ac:dyDescent="0.3"/>
    <row r="47549" s="160" customFormat="1" x14ac:dyDescent="0.3"/>
    <row r="47550" s="160" customFormat="1" x14ac:dyDescent="0.3"/>
    <row r="47551" s="160" customFormat="1" x14ac:dyDescent="0.3"/>
    <row r="47552" s="160" customFormat="1" x14ac:dyDescent="0.3"/>
    <row r="47553" s="160" customFormat="1" x14ac:dyDescent="0.3"/>
    <row r="47554" s="160" customFormat="1" x14ac:dyDescent="0.3"/>
    <row r="47555" s="160" customFormat="1" x14ac:dyDescent="0.3"/>
    <row r="47556" s="160" customFormat="1" x14ac:dyDescent="0.3"/>
    <row r="47557" s="160" customFormat="1" x14ac:dyDescent="0.3"/>
    <row r="47558" s="160" customFormat="1" x14ac:dyDescent="0.3"/>
    <row r="47559" s="160" customFormat="1" x14ac:dyDescent="0.3"/>
    <row r="47560" s="160" customFormat="1" x14ac:dyDescent="0.3"/>
    <row r="47561" s="160" customFormat="1" x14ac:dyDescent="0.3"/>
    <row r="47562" s="160" customFormat="1" x14ac:dyDescent="0.3"/>
    <row r="47563" s="160" customFormat="1" x14ac:dyDescent="0.3"/>
    <row r="47564" s="160" customFormat="1" x14ac:dyDescent="0.3"/>
    <row r="47565" s="160" customFormat="1" x14ac:dyDescent="0.3"/>
    <row r="47566" s="160" customFormat="1" x14ac:dyDescent="0.3"/>
    <row r="47567" s="160" customFormat="1" x14ac:dyDescent="0.3"/>
    <row r="47568" s="160" customFormat="1" x14ac:dyDescent="0.3"/>
    <row r="47569" s="160" customFormat="1" x14ac:dyDescent="0.3"/>
    <row r="47570" s="160" customFormat="1" x14ac:dyDescent="0.3"/>
    <row r="47571" s="160" customFormat="1" x14ac:dyDescent="0.3"/>
    <row r="47572" s="160" customFormat="1" x14ac:dyDescent="0.3"/>
    <row r="47573" s="160" customFormat="1" x14ac:dyDescent="0.3"/>
    <row r="47574" s="160" customFormat="1" x14ac:dyDescent="0.3"/>
    <row r="47575" s="160" customFormat="1" x14ac:dyDescent="0.3"/>
    <row r="47576" s="160" customFormat="1" x14ac:dyDescent="0.3"/>
    <row r="47577" s="160" customFormat="1" x14ac:dyDescent="0.3"/>
    <row r="47578" s="160" customFormat="1" x14ac:dyDescent="0.3"/>
    <row r="47579" s="160" customFormat="1" x14ac:dyDescent="0.3"/>
    <row r="47580" s="160" customFormat="1" x14ac:dyDescent="0.3"/>
    <row r="47581" s="160" customFormat="1" x14ac:dyDescent="0.3"/>
    <row r="47582" s="160" customFormat="1" x14ac:dyDescent="0.3"/>
    <row r="47583" s="160" customFormat="1" x14ac:dyDescent="0.3"/>
    <row r="47584" s="160" customFormat="1" x14ac:dyDescent="0.3"/>
    <row r="47585" s="160" customFormat="1" x14ac:dyDescent="0.3"/>
    <row r="47586" s="160" customFormat="1" x14ac:dyDescent="0.3"/>
    <row r="47587" s="160" customFormat="1" x14ac:dyDescent="0.3"/>
    <row r="47588" s="160" customFormat="1" x14ac:dyDescent="0.3"/>
    <row r="47589" s="160" customFormat="1" x14ac:dyDescent="0.3"/>
    <row r="47590" s="160" customFormat="1" x14ac:dyDescent="0.3"/>
    <row r="47591" s="160" customFormat="1" x14ac:dyDescent="0.3"/>
    <row r="47592" s="160" customFormat="1" x14ac:dyDescent="0.3"/>
    <row r="47593" s="160" customFormat="1" x14ac:dyDescent="0.3"/>
    <row r="47594" s="160" customFormat="1" x14ac:dyDescent="0.3"/>
    <row r="47595" s="160" customFormat="1" x14ac:dyDescent="0.3"/>
    <row r="47596" s="160" customFormat="1" x14ac:dyDescent="0.3"/>
    <row r="47597" s="160" customFormat="1" x14ac:dyDescent="0.3"/>
    <row r="47598" s="160" customFormat="1" x14ac:dyDescent="0.3"/>
    <row r="47599" s="160" customFormat="1" x14ac:dyDescent="0.3"/>
    <row r="47600" s="160" customFormat="1" x14ac:dyDescent="0.3"/>
    <row r="47601" s="160" customFormat="1" x14ac:dyDescent="0.3"/>
    <row r="47602" s="160" customFormat="1" x14ac:dyDescent="0.3"/>
    <row r="47603" s="160" customFormat="1" x14ac:dyDescent="0.3"/>
    <row r="47604" s="160" customFormat="1" x14ac:dyDescent="0.3"/>
    <row r="47605" s="160" customFormat="1" x14ac:dyDescent="0.3"/>
    <row r="47606" s="160" customFormat="1" x14ac:dyDescent="0.3"/>
    <row r="47607" s="160" customFormat="1" x14ac:dyDescent="0.3"/>
    <row r="47608" s="160" customFormat="1" x14ac:dyDescent="0.3"/>
    <row r="47609" s="160" customFormat="1" x14ac:dyDescent="0.3"/>
    <row r="47610" s="160" customFormat="1" x14ac:dyDescent="0.3"/>
    <row r="47611" s="160" customFormat="1" x14ac:dyDescent="0.3"/>
    <row r="47612" s="160" customFormat="1" x14ac:dyDescent="0.3"/>
    <row r="47613" s="160" customFormat="1" x14ac:dyDescent="0.3"/>
    <row r="47614" s="160" customFormat="1" x14ac:dyDescent="0.3"/>
    <row r="47615" s="160" customFormat="1" x14ac:dyDescent="0.3"/>
    <row r="47616" s="160" customFormat="1" x14ac:dyDescent="0.3"/>
    <row r="47617" s="160" customFormat="1" x14ac:dyDescent="0.3"/>
    <row r="47618" s="160" customFormat="1" x14ac:dyDescent="0.3"/>
    <row r="47619" s="160" customFormat="1" x14ac:dyDescent="0.3"/>
    <row r="47620" s="160" customFormat="1" x14ac:dyDescent="0.3"/>
    <row r="47621" s="160" customFormat="1" x14ac:dyDescent="0.3"/>
    <row r="47622" s="160" customFormat="1" x14ac:dyDescent="0.3"/>
    <row r="47623" s="160" customFormat="1" x14ac:dyDescent="0.3"/>
    <row r="47624" s="160" customFormat="1" x14ac:dyDescent="0.3"/>
    <row r="47625" s="160" customFormat="1" x14ac:dyDescent="0.3"/>
    <row r="47626" s="160" customFormat="1" x14ac:dyDescent="0.3"/>
    <row r="47627" s="160" customFormat="1" x14ac:dyDescent="0.3"/>
    <row r="47628" s="160" customFormat="1" x14ac:dyDescent="0.3"/>
    <row r="47629" s="160" customFormat="1" x14ac:dyDescent="0.3"/>
    <row r="47630" s="160" customFormat="1" x14ac:dyDescent="0.3"/>
    <row r="47631" s="160" customFormat="1" x14ac:dyDescent="0.3"/>
    <row r="47632" s="160" customFormat="1" x14ac:dyDescent="0.3"/>
    <row r="47633" s="160" customFormat="1" x14ac:dyDescent="0.3"/>
    <row r="47634" s="160" customFormat="1" x14ac:dyDescent="0.3"/>
    <row r="47635" s="160" customFormat="1" x14ac:dyDescent="0.3"/>
    <row r="47636" s="160" customFormat="1" x14ac:dyDescent="0.3"/>
    <row r="47637" s="160" customFormat="1" x14ac:dyDescent="0.3"/>
    <row r="47638" s="160" customFormat="1" x14ac:dyDescent="0.3"/>
    <row r="47639" s="160" customFormat="1" x14ac:dyDescent="0.3"/>
    <row r="47640" s="160" customFormat="1" x14ac:dyDescent="0.3"/>
    <row r="47641" s="160" customFormat="1" x14ac:dyDescent="0.3"/>
    <row r="47642" s="160" customFormat="1" x14ac:dyDescent="0.3"/>
    <row r="47643" s="160" customFormat="1" x14ac:dyDescent="0.3"/>
    <row r="47644" s="160" customFormat="1" x14ac:dyDescent="0.3"/>
    <row r="47645" s="160" customFormat="1" x14ac:dyDescent="0.3"/>
    <row r="47646" s="160" customFormat="1" x14ac:dyDescent="0.3"/>
    <row r="47647" s="160" customFormat="1" x14ac:dyDescent="0.3"/>
    <row r="47648" s="160" customFormat="1" x14ac:dyDescent="0.3"/>
    <row r="47649" s="160" customFormat="1" x14ac:dyDescent="0.3"/>
    <row r="47650" s="160" customFormat="1" x14ac:dyDescent="0.3"/>
    <row r="47651" s="160" customFormat="1" x14ac:dyDescent="0.3"/>
    <row r="47652" s="160" customFormat="1" x14ac:dyDescent="0.3"/>
    <row r="47653" s="160" customFormat="1" x14ac:dyDescent="0.3"/>
    <row r="47654" s="160" customFormat="1" x14ac:dyDescent="0.3"/>
    <row r="47655" s="160" customFormat="1" x14ac:dyDescent="0.3"/>
    <row r="47656" s="160" customFormat="1" x14ac:dyDescent="0.3"/>
    <row r="47657" s="160" customFormat="1" x14ac:dyDescent="0.3"/>
    <row r="47658" s="160" customFormat="1" x14ac:dyDescent="0.3"/>
    <row r="47659" s="160" customFormat="1" x14ac:dyDescent="0.3"/>
    <row r="47660" s="160" customFormat="1" x14ac:dyDescent="0.3"/>
    <row r="47661" s="160" customFormat="1" x14ac:dyDescent="0.3"/>
    <row r="47662" s="160" customFormat="1" x14ac:dyDescent="0.3"/>
    <row r="47663" s="160" customFormat="1" x14ac:dyDescent="0.3"/>
    <row r="47664" s="160" customFormat="1" x14ac:dyDescent="0.3"/>
    <row r="47665" s="160" customFormat="1" x14ac:dyDescent="0.3"/>
    <row r="47666" s="160" customFormat="1" x14ac:dyDescent="0.3"/>
    <row r="47667" s="160" customFormat="1" x14ac:dyDescent="0.3"/>
    <row r="47668" s="160" customFormat="1" x14ac:dyDescent="0.3"/>
    <row r="47669" s="160" customFormat="1" x14ac:dyDescent="0.3"/>
    <row r="47670" s="160" customFormat="1" x14ac:dyDescent="0.3"/>
    <row r="47671" s="160" customFormat="1" x14ac:dyDescent="0.3"/>
    <row r="47672" s="160" customFormat="1" x14ac:dyDescent="0.3"/>
    <row r="47673" s="160" customFormat="1" x14ac:dyDescent="0.3"/>
    <row r="47674" s="160" customFormat="1" x14ac:dyDescent="0.3"/>
    <row r="47675" s="160" customFormat="1" x14ac:dyDescent="0.3"/>
    <row r="47676" s="160" customFormat="1" x14ac:dyDescent="0.3"/>
    <row r="47677" s="160" customFormat="1" x14ac:dyDescent="0.3"/>
    <row r="47678" s="160" customFormat="1" x14ac:dyDescent="0.3"/>
    <row r="47679" s="160" customFormat="1" x14ac:dyDescent="0.3"/>
    <row r="47680" s="160" customFormat="1" x14ac:dyDescent="0.3"/>
    <row r="47681" s="160" customFormat="1" x14ac:dyDescent="0.3"/>
    <row r="47682" s="160" customFormat="1" x14ac:dyDescent="0.3"/>
    <row r="47683" s="160" customFormat="1" x14ac:dyDescent="0.3"/>
    <row r="47684" s="160" customFormat="1" x14ac:dyDescent="0.3"/>
    <row r="47685" s="160" customFormat="1" x14ac:dyDescent="0.3"/>
    <row r="47686" s="160" customFormat="1" x14ac:dyDescent="0.3"/>
    <row r="47687" s="160" customFormat="1" x14ac:dyDescent="0.3"/>
    <row r="47688" s="160" customFormat="1" x14ac:dyDescent="0.3"/>
    <row r="47689" s="160" customFormat="1" x14ac:dyDescent="0.3"/>
    <row r="47690" s="160" customFormat="1" x14ac:dyDescent="0.3"/>
    <row r="47691" s="160" customFormat="1" x14ac:dyDescent="0.3"/>
    <row r="47692" s="160" customFormat="1" x14ac:dyDescent="0.3"/>
    <row r="47693" s="160" customFormat="1" x14ac:dyDescent="0.3"/>
    <row r="47694" s="160" customFormat="1" x14ac:dyDescent="0.3"/>
    <row r="47695" s="160" customFormat="1" x14ac:dyDescent="0.3"/>
    <row r="47696" s="160" customFormat="1" x14ac:dyDescent="0.3"/>
    <row r="47697" s="160" customFormat="1" x14ac:dyDescent="0.3"/>
    <row r="47698" s="160" customFormat="1" x14ac:dyDescent="0.3"/>
    <row r="47699" s="160" customFormat="1" x14ac:dyDescent="0.3"/>
    <row r="47700" s="160" customFormat="1" x14ac:dyDescent="0.3"/>
    <row r="47701" s="160" customFormat="1" x14ac:dyDescent="0.3"/>
    <row r="47702" s="160" customFormat="1" x14ac:dyDescent="0.3"/>
    <row r="47703" s="160" customFormat="1" x14ac:dyDescent="0.3"/>
    <row r="47704" s="160" customFormat="1" x14ac:dyDescent="0.3"/>
    <row r="47705" s="160" customFormat="1" x14ac:dyDescent="0.3"/>
    <row r="47706" s="160" customFormat="1" x14ac:dyDescent="0.3"/>
    <row r="47707" s="160" customFormat="1" x14ac:dyDescent="0.3"/>
    <row r="47708" s="160" customFormat="1" x14ac:dyDescent="0.3"/>
    <row r="47709" s="160" customFormat="1" x14ac:dyDescent="0.3"/>
    <row r="47710" s="160" customFormat="1" x14ac:dyDescent="0.3"/>
    <row r="47711" s="160" customFormat="1" x14ac:dyDescent="0.3"/>
    <row r="47712" s="160" customFormat="1" x14ac:dyDescent="0.3"/>
    <row r="47713" s="160" customFormat="1" x14ac:dyDescent="0.3"/>
    <row r="47714" s="160" customFormat="1" x14ac:dyDescent="0.3"/>
    <row r="47715" s="160" customFormat="1" x14ac:dyDescent="0.3"/>
    <row r="47716" s="160" customFormat="1" x14ac:dyDescent="0.3"/>
    <row r="47717" s="160" customFormat="1" x14ac:dyDescent="0.3"/>
    <row r="47718" s="160" customFormat="1" x14ac:dyDescent="0.3"/>
    <row r="47719" s="160" customFormat="1" x14ac:dyDescent="0.3"/>
    <row r="47720" s="160" customFormat="1" x14ac:dyDescent="0.3"/>
    <row r="47721" s="160" customFormat="1" x14ac:dyDescent="0.3"/>
    <row r="47722" s="160" customFormat="1" x14ac:dyDescent="0.3"/>
    <row r="47723" s="160" customFormat="1" x14ac:dyDescent="0.3"/>
    <row r="47724" s="160" customFormat="1" x14ac:dyDescent="0.3"/>
    <row r="47725" s="160" customFormat="1" x14ac:dyDescent="0.3"/>
    <row r="47726" s="160" customFormat="1" x14ac:dyDescent="0.3"/>
    <row r="47727" s="160" customFormat="1" x14ac:dyDescent="0.3"/>
    <row r="47728" s="160" customFormat="1" x14ac:dyDescent="0.3"/>
    <row r="47729" s="160" customFormat="1" x14ac:dyDescent="0.3"/>
    <row r="47730" s="160" customFormat="1" x14ac:dyDescent="0.3"/>
    <row r="47731" s="160" customFormat="1" x14ac:dyDescent="0.3"/>
    <row r="47732" s="160" customFormat="1" x14ac:dyDescent="0.3"/>
    <row r="47733" s="160" customFormat="1" x14ac:dyDescent="0.3"/>
    <row r="47734" s="160" customFormat="1" x14ac:dyDescent="0.3"/>
    <row r="47735" s="160" customFormat="1" x14ac:dyDescent="0.3"/>
    <row r="47736" s="160" customFormat="1" x14ac:dyDescent="0.3"/>
    <row r="47737" s="160" customFormat="1" x14ac:dyDescent="0.3"/>
    <row r="47738" s="160" customFormat="1" x14ac:dyDescent="0.3"/>
    <row r="47739" s="160" customFormat="1" x14ac:dyDescent="0.3"/>
    <row r="47740" s="160" customFormat="1" x14ac:dyDescent="0.3"/>
    <row r="47741" s="160" customFormat="1" x14ac:dyDescent="0.3"/>
    <row r="47742" s="160" customFormat="1" x14ac:dyDescent="0.3"/>
    <row r="47743" s="160" customFormat="1" x14ac:dyDescent="0.3"/>
    <row r="47744" s="160" customFormat="1" x14ac:dyDescent="0.3"/>
    <row r="47745" s="160" customFormat="1" x14ac:dyDescent="0.3"/>
    <row r="47746" s="160" customFormat="1" x14ac:dyDescent="0.3"/>
    <row r="47747" s="160" customFormat="1" x14ac:dyDescent="0.3"/>
    <row r="47748" s="160" customFormat="1" x14ac:dyDescent="0.3"/>
    <row r="47749" s="160" customFormat="1" x14ac:dyDescent="0.3"/>
    <row r="47750" s="160" customFormat="1" x14ac:dyDescent="0.3"/>
    <row r="47751" s="160" customFormat="1" x14ac:dyDescent="0.3"/>
    <row r="47752" s="160" customFormat="1" x14ac:dyDescent="0.3"/>
    <row r="47753" s="160" customFormat="1" x14ac:dyDescent="0.3"/>
    <row r="47754" s="160" customFormat="1" x14ac:dyDescent="0.3"/>
    <row r="47755" s="160" customFormat="1" x14ac:dyDescent="0.3"/>
    <row r="47756" s="160" customFormat="1" x14ac:dyDescent="0.3"/>
    <row r="47757" s="160" customFormat="1" x14ac:dyDescent="0.3"/>
    <row r="47758" s="160" customFormat="1" x14ac:dyDescent="0.3"/>
    <row r="47759" s="160" customFormat="1" x14ac:dyDescent="0.3"/>
    <row r="47760" s="160" customFormat="1" x14ac:dyDescent="0.3"/>
    <row r="47761" s="160" customFormat="1" x14ac:dyDescent="0.3"/>
    <row r="47762" s="160" customFormat="1" x14ac:dyDescent="0.3"/>
    <row r="47763" s="160" customFormat="1" x14ac:dyDescent="0.3"/>
    <row r="47764" s="160" customFormat="1" x14ac:dyDescent="0.3"/>
    <row r="47765" s="160" customFormat="1" x14ac:dyDescent="0.3"/>
    <row r="47766" s="160" customFormat="1" x14ac:dyDescent="0.3"/>
    <row r="47767" s="160" customFormat="1" x14ac:dyDescent="0.3"/>
    <row r="47768" s="160" customFormat="1" x14ac:dyDescent="0.3"/>
    <row r="47769" s="160" customFormat="1" x14ac:dyDescent="0.3"/>
    <row r="47770" s="160" customFormat="1" x14ac:dyDescent="0.3"/>
    <row r="47771" s="160" customFormat="1" x14ac:dyDescent="0.3"/>
    <row r="47772" s="160" customFormat="1" x14ac:dyDescent="0.3"/>
    <row r="47773" s="160" customFormat="1" x14ac:dyDescent="0.3"/>
    <row r="47774" s="160" customFormat="1" x14ac:dyDescent="0.3"/>
    <row r="47775" s="160" customFormat="1" x14ac:dyDescent="0.3"/>
    <row r="47776" s="160" customFormat="1" x14ac:dyDescent="0.3"/>
    <row r="47777" s="160" customFormat="1" x14ac:dyDescent="0.3"/>
    <row r="47778" s="160" customFormat="1" x14ac:dyDescent="0.3"/>
    <row r="47779" s="160" customFormat="1" x14ac:dyDescent="0.3"/>
    <row r="47780" s="160" customFormat="1" x14ac:dyDescent="0.3"/>
    <row r="47781" s="160" customFormat="1" x14ac:dyDescent="0.3"/>
    <row r="47782" s="160" customFormat="1" x14ac:dyDescent="0.3"/>
    <row r="47783" s="160" customFormat="1" x14ac:dyDescent="0.3"/>
    <row r="47784" s="160" customFormat="1" x14ac:dyDescent="0.3"/>
    <row r="47785" s="160" customFormat="1" x14ac:dyDescent="0.3"/>
    <row r="47786" s="160" customFormat="1" x14ac:dyDescent="0.3"/>
    <row r="47787" s="160" customFormat="1" x14ac:dyDescent="0.3"/>
    <row r="47788" s="160" customFormat="1" x14ac:dyDescent="0.3"/>
    <row r="47789" s="160" customFormat="1" x14ac:dyDescent="0.3"/>
    <row r="47790" s="160" customFormat="1" x14ac:dyDescent="0.3"/>
    <row r="47791" s="160" customFormat="1" x14ac:dyDescent="0.3"/>
    <row r="47792" s="160" customFormat="1" x14ac:dyDescent="0.3"/>
    <row r="47793" s="160" customFormat="1" x14ac:dyDescent="0.3"/>
    <row r="47794" s="160" customFormat="1" x14ac:dyDescent="0.3"/>
    <row r="47795" s="160" customFormat="1" x14ac:dyDescent="0.3"/>
    <row r="47796" s="160" customFormat="1" x14ac:dyDescent="0.3"/>
    <row r="47797" s="160" customFormat="1" x14ac:dyDescent="0.3"/>
    <row r="47798" s="160" customFormat="1" x14ac:dyDescent="0.3"/>
    <row r="47799" s="160" customFormat="1" x14ac:dyDescent="0.3"/>
    <row r="47800" s="160" customFormat="1" x14ac:dyDescent="0.3"/>
    <row r="47801" s="160" customFormat="1" x14ac:dyDescent="0.3"/>
    <row r="47802" s="160" customFormat="1" x14ac:dyDescent="0.3"/>
    <row r="47803" s="160" customFormat="1" x14ac:dyDescent="0.3"/>
    <row r="47804" s="160" customFormat="1" x14ac:dyDescent="0.3"/>
    <row r="47805" s="160" customFormat="1" x14ac:dyDescent="0.3"/>
    <row r="47806" s="160" customFormat="1" x14ac:dyDescent="0.3"/>
    <row r="47807" s="160" customFormat="1" x14ac:dyDescent="0.3"/>
    <row r="47808" s="160" customFormat="1" x14ac:dyDescent="0.3"/>
    <row r="47809" s="160" customFormat="1" x14ac:dyDescent="0.3"/>
    <row r="47810" s="160" customFormat="1" x14ac:dyDescent="0.3"/>
    <row r="47811" s="160" customFormat="1" x14ac:dyDescent="0.3"/>
    <row r="47812" s="160" customFormat="1" x14ac:dyDescent="0.3"/>
    <row r="47813" s="160" customFormat="1" x14ac:dyDescent="0.3"/>
    <row r="47814" s="160" customFormat="1" x14ac:dyDescent="0.3"/>
    <row r="47815" s="160" customFormat="1" x14ac:dyDescent="0.3"/>
    <row r="47816" s="160" customFormat="1" x14ac:dyDescent="0.3"/>
    <row r="47817" s="160" customFormat="1" x14ac:dyDescent="0.3"/>
    <row r="47818" s="160" customFormat="1" x14ac:dyDescent="0.3"/>
    <row r="47819" s="160" customFormat="1" x14ac:dyDescent="0.3"/>
    <row r="47820" s="160" customFormat="1" x14ac:dyDescent="0.3"/>
    <row r="47821" s="160" customFormat="1" x14ac:dyDescent="0.3"/>
    <row r="47822" s="160" customFormat="1" x14ac:dyDescent="0.3"/>
    <row r="47823" s="160" customFormat="1" x14ac:dyDescent="0.3"/>
    <row r="47824" s="160" customFormat="1" x14ac:dyDescent="0.3"/>
    <row r="47825" s="160" customFormat="1" x14ac:dyDescent="0.3"/>
    <row r="47826" s="160" customFormat="1" x14ac:dyDescent="0.3"/>
    <row r="47827" s="160" customFormat="1" x14ac:dyDescent="0.3"/>
    <row r="47828" s="160" customFormat="1" x14ac:dyDescent="0.3"/>
    <row r="47829" s="160" customFormat="1" x14ac:dyDescent="0.3"/>
    <row r="47830" s="160" customFormat="1" x14ac:dyDescent="0.3"/>
    <row r="47831" s="160" customFormat="1" x14ac:dyDescent="0.3"/>
    <row r="47832" s="160" customFormat="1" x14ac:dyDescent="0.3"/>
    <row r="47833" s="160" customFormat="1" x14ac:dyDescent="0.3"/>
    <row r="47834" s="160" customFormat="1" x14ac:dyDescent="0.3"/>
    <row r="47835" s="160" customFormat="1" x14ac:dyDescent="0.3"/>
    <row r="47836" s="160" customFormat="1" x14ac:dyDescent="0.3"/>
    <row r="47837" s="160" customFormat="1" x14ac:dyDescent="0.3"/>
    <row r="47838" s="160" customFormat="1" x14ac:dyDescent="0.3"/>
    <row r="47839" s="160" customFormat="1" x14ac:dyDescent="0.3"/>
    <row r="47840" s="160" customFormat="1" x14ac:dyDescent="0.3"/>
    <row r="47841" s="160" customFormat="1" x14ac:dyDescent="0.3"/>
    <row r="47842" s="160" customFormat="1" x14ac:dyDescent="0.3"/>
    <row r="47843" s="160" customFormat="1" x14ac:dyDescent="0.3"/>
    <row r="47844" s="160" customFormat="1" x14ac:dyDescent="0.3"/>
    <row r="47845" s="160" customFormat="1" x14ac:dyDescent="0.3"/>
    <row r="47846" s="160" customFormat="1" x14ac:dyDescent="0.3"/>
    <row r="47847" s="160" customFormat="1" x14ac:dyDescent="0.3"/>
    <row r="47848" s="160" customFormat="1" x14ac:dyDescent="0.3"/>
    <row r="47849" s="160" customFormat="1" x14ac:dyDescent="0.3"/>
    <row r="47850" s="160" customFormat="1" x14ac:dyDescent="0.3"/>
    <row r="47851" s="160" customFormat="1" x14ac:dyDescent="0.3"/>
    <row r="47852" s="160" customFormat="1" x14ac:dyDescent="0.3"/>
    <row r="47853" s="160" customFormat="1" x14ac:dyDescent="0.3"/>
    <row r="47854" s="160" customFormat="1" x14ac:dyDescent="0.3"/>
    <row r="47855" s="160" customFormat="1" x14ac:dyDescent="0.3"/>
    <row r="47856" s="160" customFormat="1" x14ac:dyDescent="0.3"/>
    <row r="47857" s="160" customFormat="1" x14ac:dyDescent="0.3"/>
    <row r="47858" s="160" customFormat="1" x14ac:dyDescent="0.3"/>
    <row r="47859" s="160" customFormat="1" x14ac:dyDescent="0.3"/>
    <row r="47860" s="160" customFormat="1" x14ac:dyDescent="0.3"/>
    <row r="47861" s="160" customFormat="1" x14ac:dyDescent="0.3"/>
    <row r="47862" s="160" customFormat="1" x14ac:dyDescent="0.3"/>
    <row r="47863" s="160" customFormat="1" x14ac:dyDescent="0.3"/>
    <row r="47864" s="160" customFormat="1" x14ac:dyDescent="0.3"/>
    <row r="47865" s="160" customFormat="1" x14ac:dyDescent="0.3"/>
    <row r="47866" s="160" customFormat="1" x14ac:dyDescent="0.3"/>
    <row r="47867" s="160" customFormat="1" x14ac:dyDescent="0.3"/>
    <row r="47868" s="160" customFormat="1" x14ac:dyDescent="0.3"/>
    <row r="47869" s="160" customFormat="1" x14ac:dyDescent="0.3"/>
    <row r="47870" s="160" customFormat="1" x14ac:dyDescent="0.3"/>
    <row r="47871" s="160" customFormat="1" x14ac:dyDescent="0.3"/>
    <row r="47872" s="160" customFormat="1" x14ac:dyDescent="0.3"/>
    <row r="47873" s="160" customFormat="1" x14ac:dyDescent="0.3"/>
    <row r="47874" s="160" customFormat="1" x14ac:dyDescent="0.3"/>
    <row r="47875" s="160" customFormat="1" x14ac:dyDescent="0.3"/>
    <row r="47876" s="160" customFormat="1" x14ac:dyDescent="0.3"/>
    <row r="47877" s="160" customFormat="1" x14ac:dyDescent="0.3"/>
    <row r="47878" s="160" customFormat="1" x14ac:dyDescent="0.3"/>
    <row r="47879" s="160" customFormat="1" x14ac:dyDescent="0.3"/>
    <row r="47880" s="160" customFormat="1" x14ac:dyDescent="0.3"/>
    <row r="47881" s="160" customFormat="1" x14ac:dyDescent="0.3"/>
    <row r="47882" s="160" customFormat="1" x14ac:dyDescent="0.3"/>
    <row r="47883" s="160" customFormat="1" x14ac:dyDescent="0.3"/>
    <row r="47884" s="160" customFormat="1" x14ac:dyDescent="0.3"/>
    <row r="47885" s="160" customFormat="1" x14ac:dyDescent="0.3"/>
    <row r="47886" s="160" customFormat="1" x14ac:dyDescent="0.3"/>
    <row r="47887" s="160" customFormat="1" x14ac:dyDescent="0.3"/>
    <row r="47888" s="160" customFormat="1" x14ac:dyDescent="0.3"/>
    <row r="47889" s="160" customFormat="1" x14ac:dyDescent="0.3"/>
    <row r="47890" s="160" customFormat="1" x14ac:dyDescent="0.3"/>
    <row r="47891" s="160" customFormat="1" x14ac:dyDescent="0.3"/>
    <row r="47892" s="160" customFormat="1" x14ac:dyDescent="0.3"/>
    <row r="47893" s="160" customFormat="1" x14ac:dyDescent="0.3"/>
    <row r="47894" s="160" customFormat="1" x14ac:dyDescent="0.3"/>
    <row r="47895" s="160" customFormat="1" x14ac:dyDescent="0.3"/>
    <row r="47896" s="160" customFormat="1" x14ac:dyDescent="0.3"/>
    <row r="47897" s="160" customFormat="1" x14ac:dyDescent="0.3"/>
    <row r="47898" s="160" customFormat="1" x14ac:dyDescent="0.3"/>
    <row r="47899" s="160" customFormat="1" x14ac:dyDescent="0.3"/>
    <row r="47900" s="160" customFormat="1" x14ac:dyDescent="0.3"/>
    <row r="47901" s="160" customFormat="1" x14ac:dyDescent="0.3"/>
    <row r="47902" s="160" customFormat="1" x14ac:dyDescent="0.3"/>
    <row r="47903" s="160" customFormat="1" x14ac:dyDescent="0.3"/>
    <row r="47904" s="160" customFormat="1" x14ac:dyDescent="0.3"/>
    <row r="47905" s="160" customFormat="1" x14ac:dyDescent="0.3"/>
    <row r="47906" s="160" customFormat="1" x14ac:dyDescent="0.3"/>
    <row r="47907" s="160" customFormat="1" x14ac:dyDescent="0.3"/>
    <row r="47908" s="160" customFormat="1" x14ac:dyDescent="0.3"/>
    <row r="47909" s="160" customFormat="1" x14ac:dyDescent="0.3"/>
    <row r="47910" s="160" customFormat="1" x14ac:dyDescent="0.3"/>
    <row r="47911" s="160" customFormat="1" x14ac:dyDescent="0.3"/>
    <row r="47912" s="160" customFormat="1" x14ac:dyDescent="0.3"/>
    <row r="47913" s="160" customFormat="1" x14ac:dyDescent="0.3"/>
    <row r="47914" s="160" customFormat="1" x14ac:dyDescent="0.3"/>
    <row r="47915" s="160" customFormat="1" x14ac:dyDescent="0.3"/>
    <row r="47916" s="160" customFormat="1" x14ac:dyDescent="0.3"/>
    <row r="47917" s="160" customFormat="1" x14ac:dyDescent="0.3"/>
    <row r="47918" s="160" customFormat="1" x14ac:dyDescent="0.3"/>
    <row r="47919" s="160" customFormat="1" x14ac:dyDescent="0.3"/>
    <row r="47920" s="160" customFormat="1" x14ac:dyDescent="0.3"/>
    <row r="47921" s="160" customFormat="1" x14ac:dyDescent="0.3"/>
    <row r="47922" s="160" customFormat="1" x14ac:dyDescent="0.3"/>
    <row r="47923" s="160" customFormat="1" x14ac:dyDescent="0.3"/>
    <row r="47924" s="160" customFormat="1" x14ac:dyDescent="0.3"/>
    <row r="47925" s="160" customFormat="1" x14ac:dyDescent="0.3"/>
    <row r="47926" s="160" customFormat="1" x14ac:dyDescent="0.3"/>
    <row r="47927" s="160" customFormat="1" x14ac:dyDescent="0.3"/>
    <row r="47928" s="160" customFormat="1" x14ac:dyDescent="0.3"/>
    <row r="47929" s="160" customFormat="1" x14ac:dyDescent="0.3"/>
    <row r="47930" s="160" customFormat="1" x14ac:dyDescent="0.3"/>
    <row r="47931" s="160" customFormat="1" x14ac:dyDescent="0.3"/>
    <row r="47932" s="160" customFormat="1" x14ac:dyDescent="0.3"/>
    <row r="47933" s="160" customFormat="1" x14ac:dyDescent="0.3"/>
    <row r="47934" s="160" customFormat="1" x14ac:dyDescent="0.3"/>
    <row r="47935" s="160" customFormat="1" x14ac:dyDescent="0.3"/>
    <row r="47936" s="160" customFormat="1" x14ac:dyDescent="0.3"/>
    <row r="47937" s="160" customFormat="1" x14ac:dyDescent="0.3"/>
    <row r="47938" s="160" customFormat="1" x14ac:dyDescent="0.3"/>
    <row r="47939" s="160" customFormat="1" x14ac:dyDescent="0.3"/>
    <row r="47940" s="160" customFormat="1" x14ac:dyDescent="0.3"/>
    <row r="47941" s="160" customFormat="1" x14ac:dyDescent="0.3"/>
    <row r="47942" s="160" customFormat="1" x14ac:dyDescent="0.3"/>
    <row r="47943" s="160" customFormat="1" x14ac:dyDescent="0.3"/>
    <row r="47944" s="160" customFormat="1" x14ac:dyDescent="0.3"/>
    <row r="47945" s="160" customFormat="1" x14ac:dyDescent="0.3"/>
    <row r="47946" s="160" customFormat="1" x14ac:dyDescent="0.3"/>
    <row r="47947" s="160" customFormat="1" x14ac:dyDescent="0.3"/>
    <row r="47948" s="160" customFormat="1" x14ac:dyDescent="0.3"/>
    <row r="47949" s="160" customFormat="1" x14ac:dyDescent="0.3"/>
    <row r="47950" s="160" customFormat="1" x14ac:dyDescent="0.3"/>
    <row r="47951" s="160" customFormat="1" x14ac:dyDescent="0.3"/>
    <row r="47952" s="160" customFormat="1" x14ac:dyDescent="0.3"/>
    <row r="47953" s="160" customFormat="1" x14ac:dyDescent="0.3"/>
    <row r="47954" s="160" customFormat="1" x14ac:dyDescent="0.3"/>
    <row r="47955" s="160" customFormat="1" x14ac:dyDescent="0.3"/>
    <row r="47956" s="160" customFormat="1" x14ac:dyDescent="0.3"/>
    <row r="47957" s="160" customFormat="1" x14ac:dyDescent="0.3"/>
    <row r="47958" s="160" customFormat="1" x14ac:dyDescent="0.3"/>
    <row r="47959" s="160" customFormat="1" x14ac:dyDescent="0.3"/>
    <row r="47960" s="160" customFormat="1" x14ac:dyDescent="0.3"/>
    <row r="47961" s="160" customFormat="1" x14ac:dyDescent="0.3"/>
    <row r="47962" s="160" customFormat="1" x14ac:dyDescent="0.3"/>
    <row r="47963" s="160" customFormat="1" x14ac:dyDescent="0.3"/>
    <row r="47964" s="160" customFormat="1" x14ac:dyDescent="0.3"/>
    <row r="47965" s="160" customFormat="1" x14ac:dyDescent="0.3"/>
    <row r="47966" s="160" customFormat="1" x14ac:dyDescent="0.3"/>
    <row r="47967" s="160" customFormat="1" x14ac:dyDescent="0.3"/>
    <row r="47968" s="160" customFormat="1" x14ac:dyDescent="0.3"/>
    <row r="47969" s="160" customFormat="1" x14ac:dyDescent="0.3"/>
    <row r="47970" s="160" customFormat="1" x14ac:dyDescent="0.3"/>
    <row r="47971" s="160" customFormat="1" x14ac:dyDescent="0.3"/>
    <row r="47972" s="160" customFormat="1" x14ac:dyDescent="0.3"/>
    <row r="47973" s="160" customFormat="1" x14ac:dyDescent="0.3"/>
    <row r="47974" s="160" customFormat="1" x14ac:dyDescent="0.3"/>
    <row r="47975" s="160" customFormat="1" x14ac:dyDescent="0.3"/>
    <row r="47976" s="160" customFormat="1" x14ac:dyDescent="0.3"/>
    <row r="47977" s="160" customFormat="1" x14ac:dyDescent="0.3"/>
    <row r="47978" s="160" customFormat="1" x14ac:dyDescent="0.3"/>
    <row r="47979" s="160" customFormat="1" x14ac:dyDescent="0.3"/>
    <row r="47980" s="160" customFormat="1" x14ac:dyDescent="0.3"/>
    <row r="47981" s="160" customFormat="1" x14ac:dyDescent="0.3"/>
    <row r="47982" s="160" customFormat="1" x14ac:dyDescent="0.3"/>
    <row r="47983" s="160" customFormat="1" x14ac:dyDescent="0.3"/>
    <row r="47984" s="160" customFormat="1" x14ac:dyDescent="0.3"/>
    <row r="47985" s="160" customFormat="1" x14ac:dyDescent="0.3"/>
    <row r="47986" s="160" customFormat="1" x14ac:dyDescent="0.3"/>
    <row r="47987" s="160" customFormat="1" x14ac:dyDescent="0.3"/>
    <row r="47988" s="160" customFormat="1" x14ac:dyDescent="0.3"/>
    <row r="47989" s="160" customFormat="1" x14ac:dyDescent="0.3"/>
    <row r="47990" s="160" customFormat="1" x14ac:dyDescent="0.3"/>
    <row r="47991" s="160" customFormat="1" x14ac:dyDescent="0.3"/>
    <row r="47992" s="160" customFormat="1" x14ac:dyDescent="0.3"/>
    <row r="47993" s="160" customFormat="1" x14ac:dyDescent="0.3"/>
    <row r="47994" s="160" customFormat="1" x14ac:dyDescent="0.3"/>
    <row r="47995" s="160" customFormat="1" x14ac:dyDescent="0.3"/>
    <row r="47996" s="160" customFormat="1" x14ac:dyDescent="0.3"/>
    <row r="47997" s="160" customFormat="1" x14ac:dyDescent="0.3"/>
    <row r="47998" s="160" customFormat="1" x14ac:dyDescent="0.3"/>
    <row r="47999" s="160" customFormat="1" x14ac:dyDescent="0.3"/>
    <row r="48000" s="160" customFormat="1" x14ac:dyDescent="0.3"/>
    <row r="48001" s="160" customFormat="1" x14ac:dyDescent="0.3"/>
    <row r="48002" s="160" customFormat="1" x14ac:dyDescent="0.3"/>
    <row r="48003" s="160" customFormat="1" x14ac:dyDescent="0.3"/>
    <row r="48004" s="160" customFormat="1" x14ac:dyDescent="0.3"/>
    <row r="48005" s="160" customFormat="1" x14ac:dyDescent="0.3"/>
    <row r="48006" s="160" customFormat="1" x14ac:dyDescent="0.3"/>
    <row r="48007" s="160" customFormat="1" x14ac:dyDescent="0.3"/>
    <row r="48008" s="160" customFormat="1" x14ac:dyDescent="0.3"/>
    <row r="48009" s="160" customFormat="1" x14ac:dyDescent="0.3"/>
    <row r="48010" s="160" customFormat="1" x14ac:dyDescent="0.3"/>
    <row r="48011" s="160" customFormat="1" x14ac:dyDescent="0.3"/>
    <row r="48012" s="160" customFormat="1" x14ac:dyDescent="0.3"/>
    <row r="48013" s="160" customFormat="1" x14ac:dyDescent="0.3"/>
    <row r="48014" s="160" customFormat="1" x14ac:dyDescent="0.3"/>
    <row r="48015" s="160" customFormat="1" x14ac:dyDescent="0.3"/>
    <row r="48016" s="160" customFormat="1" x14ac:dyDescent="0.3"/>
    <row r="48017" s="160" customFormat="1" x14ac:dyDescent="0.3"/>
    <row r="48018" s="160" customFormat="1" x14ac:dyDescent="0.3"/>
    <row r="48019" s="160" customFormat="1" x14ac:dyDescent="0.3"/>
    <row r="48020" s="160" customFormat="1" x14ac:dyDescent="0.3"/>
    <row r="48021" s="160" customFormat="1" x14ac:dyDescent="0.3"/>
    <row r="48022" s="160" customFormat="1" x14ac:dyDescent="0.3"/>
    <row r="48023" s="160" customFormat="1" x14ac:dyDescent="0.3"/>
    <row r="48024" s="160" customFormat="1" x14ac:dyDescent="0.3"/>
    <row r="48025" s="160" customFormat="1" x14ac:dyDescent="0.3"/>
    <row r="48026" s="160" customFormat="1" x14ac:dyDescent="0.3"/>
    <row r="48027" s="160" customFormat="1" x14ac:dyDescent="0.3"/>
    <row r="48028" s="160" customFormat="1" x14ac:dyDescent="0.3"/>
    <row r="48029" s="160" customFormat="1" x14ac:dyDescent="0.3"/>
    <row r="48030" s="160" customFormat="1" x14ac:dyDescent="0.3"/>
    <row r="48031" s="160" customFormat="1" x14ac:dyDescent="0.3"/>
    <row r="48032" s="160" customFormat="1" x14ac:dyDescent="0.3"/>
    <row r="48033" s="160" customFormat="1" x14ac:dyDescent="0.3"/>
    <row r="48034" s="160" customFormat="1" x14ac:dyDescent="0.3"/>
    <row r="48035" s="160" customFormat="1" x14ac:dyDescent="0.3"/>
    <row r="48036" s="160" customFormat="1" x14ac:dyDescent="0.3"/>
    <row r="48037" s="160" customFormat="1" x14ac:dyDescent="0.3"/>
    <row r="48038" s="160" customFormat="1" x14ac:dyDescent="0.3"/>
    <row r="48039" s="160" customFormat="1" x14ac:dyDescent="0.3"/>
    <row r="48040" s="160" customFormat="1" x14ac:dyDescent="0.3"/>
    <row r="48041" s="160" customFormat="1" x14ac:dyDescent="0.3"/>
    <row r="48042" s="160" customFormat="1" x14ac:dyDescent="0.3"/>
    <row r="48043" s="160" customFormat="1" x14ac:dyDescent="0.3"/>
    <row r="48044" s="160" customFormat="1" x14ac:dyDescent="0.3"/>
    <row r="48045" s="160" customFormat="1" x14ac:dyDescent="0.3"/>
    <row r="48046" s="160" customFormat="1" x14ac:dyDescent="0.3"/>
    <row r="48047" s="160" customFormat="1" x14ac:dyDescent="0.3"/>
    <row r="48048" s="160" customFormat="1" x14ac:dyDescent="0.3"/>
    <row r="48049" s="160" customFormat="1" x14ac:dyDescent="0.3"/>
    <row r="48050" s="160" customFormat="1" x14ac:dyDescent="0.3"/>
    <row r="48051" s="160" customFormat="1" x14ac:dyDescent="0.3"/>
    <row r="48052" s="160" customFormat="1" x14ac:dyDescent="0.3"/>
    <row r="48053" s="160" customFormat="1" x14ac:dyDescent="0.3"/>
    <row r="48054" s="160" customFormat="1" x14ac:dyDescent="0.3"/>
    <row r="48055" s="160" customFormat="1" x14ac:dyDescent="0.3"/>
    <row r="48056" s="160" customFormat="1" x14ac:dyDescent="0.3"/>
    <row r="48057" s="160" customFormat="1" x14ac:dyDescent="0.3"/>
    <row r="48058" s="160" customFormat="1" x14ac:dyDescent="0.3"/>
    <row r="48059" s="160" customFormat="1" x14ac:dyDescent="0.3"/>
    <row r="48060" s="160" customFormat="1" x14ac:dyDescent="0.3"/>
    <row r="48061" s="160" customFormat="1" x14ac:dyDescent="0.3"/>
    <row r="48062" s="160" customFormat="1" x14ac:dyDescent="0.3"/>
    <row r="48063" s="160" customFormat="1" x14ac:dyDescent="0.3"/>
    <row r="48064" s="160" customFormat="1" x14ac:dyDescent="0.3"/>
    <row r="48065" s="160" customFormat="1" x14ac:dyDescent="0.3"/>
    <row r="48066" s="160" customFormat="1" x14ac:dyDescent="0.3"/>
    <row r="48067" s="160" customFormat="1" x14ac:dyDescent="0.3"/>
    <row r="48068" s="160" customFormat="1" x14ac:dyDescent="0.3"/>
    <row r="48069" s="160" customFormat="1" x14ac:dyDescent="0.3"/>
    <row r="48070" s="160" customFormat="1" x14ac:dyDescent="0.3"/>
    <row r="48071" s="160" customFormat="1" x14ac:dyDescent="0.3"/>
    <row r="48072" s="160" customFormat="1" x14ac:dyDescent="0.3"/>
    <row r="48073" s="160" customFormat="1" x14ac:dyDescent="0.3"/>
    <row r="48074" s="160" customFormat="1" x14ac:dyDescent="0.3"/>
    <row r="48075" s="160" customFormat="1" x14ac:dyDescent="0.3"/>
    <row r="48076" s="160" customFormat="1" x14ac:dyDescent="0.3"/>
    <row r="48077" s="160" customFormat="1" x14ac:dyDescent="0.3"/>
    <row r="48078" s="160" customFormat="1" x14ac:dyDescent="0.3"/>
    <row r="48079" s="160" customFormat="1" x14ac:dyDescent="0.3"/>
    <row r="48080" s="160" customFormat="1" x14ac:dyDescent="0.3"/>
    <row r="48081" s="160" customFormat="1" x14ac:dyDescent="0.3"/>
    <row r="48082" s="160" customFormat="1" x14ac:dyDescent="0.3"/>
    <row r="48083" s="160" customFormat="1" x14ac:dyDescent="0.3"/>
    <row r="48084" s="160" customFormat="1" x14ac:dyDescent="0.3"/>
    <row r="48085" s="160" customFormat="1" x14ac:dyDescent="0.3"/>
    <row r="48086" s="160" customFormat="1" x14ac:dyDescent="0.3"/>
    <row r="48087" s="160" customFormat="1" x14ac:dyDescent="0.3"/>
    <row r="48088" s="160" customFormat="1" x14ac:dyDescent="0.3"/>
    <row r="48089" s="160" customFormat="1" x14ac:dyDescent="0.3"/>
    <row r="48090" s="160" customFormat="1" x14ac:dyDescent="0.3"/>
    <row r="48091" s="160" customFormat="1" x14ac:dyDescent="0.3"/>
    <row r="48092" s="160" customFormat="1" x14ac:dyDescent="0.3"/>
    <row r="48093" s="160" customFormat="1" x14ac:dyDescent="0.3"/>
    <row r="48094" s="160" customFormat="1" x14ac:dyDescent="0.3"/>
    <row r="48095" s="160" customFormat="1" x14ac:dyDescent="0.3"/>
    <row r="48096" s="160" customFormat="1" x14ac:dyDescent="0.3"/>
    <row r="48097" s="160" customFormat="1" x14ac:dyDescent="0.3"/>
    <row r="48098" s="160" customFormat="1" x14ac:dyDescent="0.3"/>
    <row r="48099" s="160" customFormat="1" x14ac:dyDescent="0.3"/>
    <row r="48100" s="160" customFormat="1" x14ac:dyDescent="0.3"/>
    <row r="48101" s="160" customFormat="1" x14ac:dyDescent="0.3"/>
    <row r="48102" s="160" customFormat="1" x14ac:dyDescent="0.3"/>
    <row r="48103" s="160" customFormat="1" x14ac:dyDescent="0.3"/>
    <row r="48104" s="160" customFormat="1" x14ac:dyDescent="0.3"/>
    <row r="48105" s="160" customFormat="1" x14ac:dyDescent="0.3"/>
    <row r="48106" s="160" customFormat="1" x14ac:dyDescent="0.3"/>
    <row r="48107" s="160" customFormat="1" x14ac:dyDescent="0.3"/>
    <row r="48108" s="160" customFormat="1" x14ac:dyDescent="0.3"/>
    <row r="48109" s="160" customFormat="1" x14ac:dyDescent="0.3"/>
    <row r="48110" s="160" customFormat="1" x14ac:dyDescent="0.3"/>
    <row r="48111" s="160" customFormat="1" x14ac:dyDescent="0.3"/>
    <row r="48112" s="160" customFormat="1" x14ac:dyDescent="0.3"/>
    <row r="48113" s="160" customFormat="1" x14ac:dyDescent="0.3"/>
    <row r="48114" s="160" customFormat="1" x14ac:dyDescent="0.3"/>
    <row r="48115" s="160" customFormat="1" x14ac:dyDescent="0.3"/>
    <row r="48116" s="160" customFormat="1" x14ac:dyDescent="0.3"/>
    <row r="48117" s="160" customFormat="1" x14ac:dyDescent="0.3"/>
    <row r="48118" s="160" customFormat="1" x14ac:dyDescent="0.3"/>
    <row r="48119" s="160" customFormat="1" x14ac:dyDescent="0.3"/>
    <row r="48120" s="160" customFormat="1" x14ac:dyDescent="0.3"/>
    <row r="48121" s="160" customFormat="1" x14ac:dyDescent="0.3"/>
    <row r="48122" s="160" customFormat="1" x14ac:dyDescent="0.3"/>
    <row r="48123" s="160" customFormat="1" x14ac:dyDescent="0.3"/>
    <row r="48124" s="160" customFormat="1" x14ac:dyDescent="0.3"/>
    <row r="48125" s="160" customFormat="1" x14ac:dyDescent="0.3"/>
    <row r="48126" s="160" customFormat="1" x14ac:dyDescent="0.3"/>
    <row r="48127" s="160" customFormat="1" x14ac:dyDescent="0.3"/>
    <row r="48128" s="160" customFormat="1" x14ac:dyDescent="0.3"/>
    <row r="48129" s="160" customFormat="1" x14ac:dyDescent="0.3"/>
    <row r="48130" s="160" customFormat="1" x14ac:dyDescent="0.3"/>
    <row r="48131" s="160" customFormat="1" x14ac:dyDescent="0.3"/>
    <row r="48132" s="160" customFormat="1" x14ac:dyDescent="0.3"/>
    <row r="48133" s="160" customFormat="1" x14ac:dyDescent="0.3"/>
    <row r="48134" s="160" customFormat="1" x14ac:dyDescent="0.3"/>
    <row r="48135" s="160" customFormat="1" x14ac:dyDescent="0.3"/>
    <row r="48136" s="160" customFormat="1" x14ac:dyDescent="0.3"/>
    <row r="48137" s="160" customFormat="1" x14ac:dyDescent="0.3"/>
    <row r="48138" s="160" customFormat="1" x14ac:dyDescent="0.3"/>
    <row r="48139" s="160" customFormat="1" x14ac:dyDescent="0.3"/>
    <row r="48140" s="160" customFormat="1" x14ac:dyDescent="0.3"/>
    <row r="48141" s="160" customFormat="1" x14ac:dyDescent="0.3"/>
    <row r="48142" s="160" customFormat="1" x14ac:dyDescent="0.3"/>
    <row r="48143" s="160" customFormat="1" x14ac:dyDescent="0.3"/>
    <row r="48144" s="160" customFormat="1" x14ac:dyDescent="0.3"/>
    <row r="48145" s="160" customFormat="1" x14ac:dyDescent="0.3"/>
    <row r="48146" s="160" customFormat="1" x14ac:dyDescent="0.3"/>
    <row r="48147" s="160" customFormat="1" x14ac:dyDescent="0.3"/>
    <row r="48148" s="160" customFormat="1" x14ac:dyDescent="0.3"/>
    <row r="48149" s="160" customFormat="1" x14ac:dyDescent="0.3"/>
    <row r="48150" s="160" customFormat="1" x14ac:dyDescent="0.3"/>
    <row r="48151" s="160" customFormat="1" x14ac:dyDescent="0.3"/>
    <row r="48152" s="160" customFormat="1" x14ac:dyDescent="0.3"/>
    <row r="48153" s="160" customFormat="1" x14ac:dyDescent="0.3"/>
    <row r="48154" s="160" customFormat="1" x14ac:dyDescent="0.3"/>
    <row r="48155" s="160" customFormat="1" x14ac:dyDescent="0.3"/>
    <row r="48156" s="160" customFormat="1" x14ac:dyDescent="0.3"/>
    <row r="48157" s="160" customFormat="1" x14ac:dyDescent="0.3"/>
    <row r="48158" s="160" customFormat="1" x14ac:dyDescent="0.3"/>
    <row r="48159" s="160" customFormat="1" x14ac:dyDescent="0.3"/>
    <row r="48160" s="160" customFormat="1" x14ac:dyDescent="0.3"/>
    <row r="48161" s="160" customFormat="1" x14ac:dyDescent="0.3"/>
    <row r="48162" s="160" customFormat="1" x14ac:dyDescent="0.3"/>
    <row r="48163" s="160" customFormat="1" x14ac:dyDescent="0.3"/>
    <row r="48164" s="160" customFormat="1" x14ac:dyDescent="0.3"/>
    <row r="48165" s="160" customFormat="1" x14ac:dyDescent="0.3"/>
    <row r="48166" s="160" customFormat="1" x14ac:dyDescent="0.3"/>
    <row r="48167" s="160" customFormat="1" x14ac:dyDescent="0.3"/>
    <row r="48168" s="160" customFormat="1" x14ac:dyDescent="0.3"/>
    <row r="48169" s="160" customFormat="1" x14ac:dyDescent="0.3"/>
    <row r="48170" s="160" customFormat="1" x14ac:dyDescent="0.3"/>
    <row r="48171" s="160" customFormat="1" x14ac:dyDescent="0.3"/>
    <row r="48172" s="160" customFormat="1" x14ac:dyDescent="0.3"/>
    <row r="48173" s="160" customFormat="1" x14ac:dyDescent="0.3"/>
    <row r="48174" s="160" customFormat="1" x14ac:dyDescent="0.3"/>
    <row r="48175" s="160" customFormat="1" x14ac:dyDescent="0.3"/>
    <row r="48176" s="160" customFormat="1" x14ac:dyDescent="0.3"/>
    <row r="48177" s="160" customFormat="1" x14ac:dyDescent="0.3"/>
    <row r="48178" s="160" customFormat="1" x14ac:dyDescent="0.3"/>
    <row r="48179" s="160" customFormat="1" x14ac:dyDescent="0.3"/>
    <row r="48180" s="160" customFormat="1" x14ac:dyDescent="0.3"/>
    <row r="48181" s="160" customFormat="1" x14ac:dyDescent="0.3"/>
    <row r="48182" s="160" customFormat="1" x14ac:dyDescent="0.3"/>
    <row r="48183" s="160" customFormat="1" x14ac:dyDescent="0.3"/>
    <row r="48184" s="160" customFormat="1" x14ac:dyDescent="0.3"/>
    <row r="48185" s="160" customFormat="1" x14ac:dyDescent="0.3"/>
    <row r="48186" s="160" customFormat="1" x14ac:dyDescent="0.3"/>
    <row r="48187" s="160" customFormat="1" x14ac:dyDescent="0.3"/>
    <row r="48188" s="160" customFormat="1" x14ac:dyDescent="0.3"/>
    <row r="48189" s="160" customFormat="1" x14ac:dyDescent="0.3"/>
    <row r="48190" s="160" customFormat="1" x14ac:dyDescent="0.3"/>
    <row r="48191" s="160" customFormat="1" x14ac:dyDescent="0.3"/>
    <row r="48192" s="160" customFormat="1" x14ac:dyDescent="0.3"/>
    <row r="48193" s="160" customFormat="1" x14ac:dyDescent="0.3"/>
    <row r="48194" s="160" customFormat="1" x14ac:dyDescent="0.3"/>
    <row r="48195" s="160" customFormat="1" x14ac:dyDescent="0.3"/>
    <row r="48196" s="160" customFormat="1" x14ac:dyDescent="0.3"/>
    <row r="48197" s="160" customFormat="1" x14ac:dyDescent="0.3"/>
    <row r="48198" s="160" customFormat="1" x14ac:dyDescent="0.3"/>
    <row r="48199" s="160" customFormat="1" x14ac:dyDescent="0.3"/>
    <row r="48200" s="160" customFormat="1" x14ac:dyDescent="0.3"/>
    <row r="48201" s="160" customFormat="1" x14ac:dyDescent="0.3"/>
    <row r="48202" s="160" customFormat="1" x14ac:dyDescent="0.3"/>
    <row r="48203" s="160" customFormat="1" x14ac:dyDescent="0.3"/>
    <row r="48204" s="160" customFormat="1" x14ac:dyDescent="0.3"/>
    <row r="48205" s="160" customFormat="1" x14ac:dyDescent="0.3"/>
    <row r="48206" s="160" customFormat="1" x14ac:dyDescent="0.3"/>
    <row r="48207" s="160" customFormat="1" x14ac:dyDescent="0.3"/>
    <row r="48208" s="160" customFormat="1" x14ac:dyDescent="0.3"/>
    <row r="48209" s="160" customFormat="1" x14ac:dyDescent="0.3"/>
    <row r="48210" s="160" customFormat="1" x14ac:dyDescent="0.3"/>
    <row r="48211" s="160" customFormat="1" x14ac:dyDescent="0.3"/>
    <row r="48212" s="160" customFormat="1" x14ac:dyDescent="0.3"/>
    <row r="48213" s="160" customFormat="1" x14ac:dyDescent="0.3"/>
    <row r="48214" s="160" customFormat="1" x14ac:dyDescent="0.3"/>
    <row r="48215" s="160" customFormat="1" x14ac:dyDescent="0.3"/>
    <row r="48216" s="160" customFormat="1" x14ac:dyDescent="0.3"/>
    <row r="48217" s="160" customFormat="1" x14ac:dyDescent="0.3"/>
    <row r="48218" s="160" customFormat="1" x14ac:dyDescent="0.3"/>
    <row r="48219" s="160" customFormat="1" x14ac:dyDescent="0.3"/>
    <row r="48220" s="160" customFormat="1" x14ac:dyDescent="0.3"/>
    <row r="48221" s="160" customFormat="1" x14ac:dyDescent="0.3"/>
    <row r="48222" s="160" customFormat="1" x14ac:dyDescent="0.3"/>
    <row r="48223" s="160" customFormat="1" x14ac:dyDescent="0.3"/>
    <row r="48224" s="160" customFormat="1" x14ac:dyDescent="0.3"/>
    <row r="48225" s="160" customFormat="1" x14ac:dyDescent="0.3"/>
    <row r="48226" s="160" customFormat="1" x14ac:dyDescent="0.3"/>
    <row r="48227" s="160" customFormat="1" x14ac:dyDescent="0.3"/>
    <row r="48228" s="160" customFormat="1" x14ac:dyDescent="0.3"/>
    <row r="48229" s="160" customFormat="1" x14ac:dyDescent="0.3"/>
    <row r="48230" s="160" customFormat="1" x14ac:dyDescent="0.3"/>
    <row r="48231" s="160" customFormat="1" x14ac:dyDescent="0.3"/>
    <row r="48232" s="160" customFormat="1" x14ac:dyDescent="0.3"/>
    <row r="48233" s="160" customFormat="1" x14ac:dyDescent="0.3"/>
    <row r="48234" s="160" customFormat="1" x14ac:dyDescent="0.3"/>
    <row r="48235" s="160" customFormat="1" x14ac:dyDescent="0.3"/>
    <row r="48236" s="160" customFormat="1" x14ac:dyDescent="0.3"/>
    <row r="48237" s="160" customFormat="1" x14ac:dyDescent="0.3"/>
    <row r="48238" s="160" customFormat="1" x14ac:dyDescent="0.3"/>
    <row r="48239" s="160" customFormat="1" x14ac:dyDescent="0.3"/>
    <row r="48240" s="160" customFormat="1" x14ac:dyDescent="0.3"/>
    <row r="48241" s="160" customFormat="1" x14ac:dyDescent="0.3"/>
    <row r="48242" s="160" customFormat="1" x14ac:dyDescent="0.3"/>
    <row r="48243" s="160" customFormat="1" x14ac:dyDescent="0.3"/>
    <row r="48244" s="160" customFormat="1" x14ac:dyDescent="0.3"/>
    <row r="48245" s="160" customFormat="1" x14ac:dyDescent="0.3"/>
    <row r="48246" s="160" customFormat="1" x14ac:dyDescent="0.3"/>
    <row r="48247" s="160" customFormat="1" x14ac:dyDescent="0.3"/>
    <row r="48248" s="160" customFormat="1" x14ac:dyDescent="0.3"/>
    <row r="48249" s="160" customFormat="1" x14ac:dyDescent="0.3"/>
    <row r="48250" s="160" customFormat="1" x14ac:dyDescent="0.3"/>
    <row r="48251" s="160" customFormat="1" x14ac:dyDescent="0.3"/>
    <row r="48252" s="160" customFormat="1" x14ac:dyDescent="0.3"/>
    <row r="48253" s="160" customFormat="1" x14ac:dyDescent="0.3"/>
    <row r="48254" s="160" customFormat="1" x14ac:dyDescent="0.3"/>
    <row r="48255" s="160" customFormat="1" x14ac:dyDescent="0.3"/>
    <row r="48256" s="160" customFormat="1" x14ac:dyDescent="0.3"/>
    <row r="48257" s="160" customFormat="1" x14ac:dyDescent="0.3"/>
    <row r="48258" s="160" customFormat="1" x14ac:dyDescent="0.3"/>
    <row r="48259" s="160" customFormat="1" x14ac:dyDescent="0.3"/>
    <row r="48260" s="160" customFormat="1" x14ac:dyDescent="0.3"/>
    <row r="48261" s="160" customFormat="1" x14ac:dyDescent="0.3"/>
    <row r="48262" s="160" customFormat="1" x14ac:dyDescent="0.3"/>
    <row r="48263" s="160" customFormat="1" x14ac:dyDescent="0.3"/>
    <row r="48264" s="160" customFormat="1" x14ac:dyDescent="0.3"/>
    <row r="48265" s="160" customFormat="1" x14ac:dyDescent="0.3"/>
    <row r="48266" s="160" customFormat="1" x14ac:dyDescent="0.3"/>
    <row r="48267" s="160" customFormat="1" x14ac:dyDescent="0.3"/>
    <row r="48268" s="160" customFormat="1" x14ac:dyDescent="0.3"/>
    <row r="48269" s="160" customFormat="1" x14ac:dyDescent="0.3"/>
    <row r="48270" s="160" customFormat="1" x14ac:dyDescent="0.3"/>
    <row r="48271" s="160" customFormat="1" x14ac:dyDescent="0.3"/>
    <row r="48272" s="160" customFormat="1" x14ac:dyDescent="0.3"/>
    <row r="48273" s="160" customFormat="1" x14ac:dyDescent="0.3"/>
    <row r="48274" s="160" customFormat="1" x14ac:dyDescent="0.3"/>
    <row r="48275" s="160" customFormat="1" x14ac:dyDescent="0.3"/>
    <row r="48276" s="160" customFormat="1" x14ac:dyDescent="0.3"/>
    <row r="48277" s="160" customFormat="1" x14ac:dyDescent="0.3"/>
    <row r="48278" s="160" customFormat="1" x14ac:dyDescent="0.3"/>
    <row r="48279" s="160" customFormat="1" x14ac:dyDescent="0.3"/>
    <row r="48280" s="160" customFormat="1" x14ac:dyDescent="0.3"/>
    <row r="48281" s="160" customFormat="1" x14ac:dyDescent="0.3"/>
    <row r="48282" s="160" customFormat="1" x14ac:dyDescent="0.3"/>
    <row r="48283" s="160" customFormat="1" x14ac:dyDescent="0.3"/>
    <row r="48284" s="160" customFormat="1" x14ac:dyDescent="0.3"/>
    <row r="48285" s="160" customFormat="1" x14ac:dyDescent="0.3"/>
    <row r="48286" s="160" customFormat="1" x14ac:dyDescent="0.3"/>
    <row r="48287" s="160" customFormat="1" x14ac:dyDescent="0.3"/>
    <row r="48288" s="160" customFormat="1" x14ac:dyDescent="0.3"/>
    <row r="48289" s="160" customFormat="1" x14ac:dyDescent="0.3"/>
    <row r="48290" s="160" customFormat="1" x14ac:dyDescent="0.3"/>
    <row r="48291" s="160" customFormat="1" x14ac:dyDescent="0.3"/>
    <row r="48292" s="160" customFormat="1" x14ac:dyDescent="0.3"/>
    <row r="48293" s="160" customFormat="1" x14ac:dyDescent="0.3"/>
    <row r="48294" s="160" customFormat="1" x14ac:dyDescent="0.3"/>
    <row r="48295" s="160" customFormat="1" x14ac:dyDescent="0.3"/>
    <row r="48296" s="160" customFormat="1" x14ac:dyDescent="0.3"/>
    <row r="48297" s="160" customFormat="1" x14ac:dyDescent="0.3"/>
    <row r="48298" s="160" customFormat="1" x14ac:dyDescent="0.3"/>
    <row r="48299" s="160" customFormat="1" x14ac:dyDescent="0.3"/>
    <row r="48300" s="160" customFormat="1" x14ac:dyDescent="0.3"/>
    <row r="48301" s="160" customFormat="1" x14ac:dyDescent="0.3"/>
    <row r="48302" s="160" customFormat="1" x14ac:dyDescent="0.3"/>
    <row r="48303" s="160" customFormat="1" x14ac:dyDescent="0.3"/>
    <row r="48304" s="160" customFormat="1" x14ac:dyDescent="0.3"/>
    <row r="48305" s="160" customFormat="1" x14ac:dyDescent="0.3"/>
    <row r="48306" s="160" customFormat="1" x14ac:dyDescent="0.3"/>
    <row r="48307" s="160" customFormat="1" x14ac:dyDescent="0.3"/>
    <row r="48308" s="160" customFormat="1" x14ac:dyDescent="0.3"/>
    <row r="48309" s="160" customFormat="1" x14ac:dyDescent="0.3"/>
    <row r="48310" s="160" customFormat="1" x14ac:dyDescent="0.3"/>
    <row r="48311" s="160" customFormat="1" x14ac:dyDescent="0.3"/>
    <row r="48312" s="160" customFormat="1" x14ac:dyDescent="0.3"/>
    <row r="48313" s="160" customFormat="1" x14ac:dyDescent="0.3"/>
    <row r="48314" s="160" customFormat="1" x14ac:dyDescent="0.3"/>
    <row r="48315" s="160" customFormat="1" x14ac:dyDescent="0.3"/>
    <row r="48316" s="160" customFormat="1" x14ac:dyDescent="0.3"/>
    <row r="48317" s="160" customFormat="1" x14ac:dyDescent="0.3"/>
    <row r="48318" s="160" customFormat="1" x14ac:dyDescent="0.3"/>
    <row r="48319" s="160" customFormat="1" x14ac:dyDescent="0.3"/>
    <row r="48320" s="160" customFormat="1" x14ac:dyDescent="0.3"/>
    <row r="48321" s="160" customFormat="1" x14ac:dyDescent="0.3"/>
    <row r="48322" s="160" customFormat="1" x14ac:dyDescent="0.3"/>
    <row r="48323" s="160" customFormat="1" x14ac:dyDescent="0.3"/>
    <row r="48324" s="160" customFormat="1" x14ac:dyDescent="0.3"/>
    <row r="48325" s="160" customFormat="1" x14ac:dyDescent="0.3"/>
    <row r="48326" s="160" customFormat="1" x14ac:dyDescent="0.3"/>
    <row r="48327" s="160" customFormat="1" x14ac:dyDescent="0.3"/>
    <row r="48328" s="160" customFormat="1" x14ac:dyDescent="0.3"/>
    <row r="48329" s="160" customFormat="1" x14ac:dyDescent="0.3"/>
    <row r="48330" s="160" customFormat="1" x14ac:dyDescent="0.3"/>
    <row r="48331" s="160" customFormat="1" x14ac:dyDescent="0.3"/>
    <row r="48332" s="160" customFormat="1" x14ac:dyDescent="0.3"/>
    <row r="48333" s="160" customFormat="1" x14ac:dyDescent="0.3"/>
    <row r="48334" s="160" customFormat="1" x14ac:dyDescent="0.3"/>
    <row r="48335" s="160" customFormat="1" x14ac:dyDescent="0.3"/>
    <row r="48336" s="160" customFormat="1" x14ac:dyDescent="0.3"/>
    <row r="48337" s="160" customFormat="1" x14ac:dyDescent="0.3"/>
    <row r="48338" s="160" customFormat="1" x14ac:dyDescent="0.3"/>
    <row r="48339" s="160" customFormat="1" x14ac:dyDescent="0.3"/>
    <row r="48340" s="160" customFormat="1" x14ac:dyDescent="0.3"/>
    <row r="48341" s="160" customFormat="1" x14ac:dyDescent="0.3"/>
    <row r="48342" s="160" customFormat="1" x14ac:dyDescent="0.3"/>
    <row r="48343" s="160" customFormat="1" x14ac:dyDescent="0.3"/>
    <row r="48344" s="160" customFormat="1" x14ac:dyDescent="0.3"/>
    <row r="48345" s="160" customFormat="1" x14ac:dyDescent="0.3"/>
    <row r="48346" s="160" customFormat="1" x14ac:dyDescent="0.3"/>
    <row r="48347" s="160" customFormat="1" x14ac:dyDescent="0.3"/>
    <row r="48348" s="160" customFormat="1" x14ac:dyDescent="0.3"/>
    <row r="48349" s="160" customFormat="1" x14ac:dyDescent="0.3"/>
    <row r="48350" s="160" customFormat="1" x14ac:dyDescent="0.3"/>
    <row r="48351" s="160" customFormat="1" x14ac:dyDescent="0.3"/>
    <row r="48352" s="160" customFormat="1" x14ac:dyDescent="0.3"/>
    <row r="48353" s="160" customFormat="1" x14ac:dyDescent="0.3"/>
    <row r="48354" s="160" customFormat="1" x14ac:dyDescent="0.3"/>
    <row r="48355" s="160" customFormat="1" x14ac:dyDescent="0.3"/>
    <row r="48356" s="160" customFormat="1" x14ac:dyDescent="0.3"/>
    <row r="48357" s="160" customFormat="1" x14ac:dyDescent="0.3"/>
    <row r="48358" s="160" customFormat="1" x14ac:dyDescent="0.3"/>
    <row r="48359" s="160" customFormat="1" x14ac:dyDescent="0.3"/>
    <row r="48360" s="160" customFormat="1" x14ac:dyDescent="0.3"/>
    <row r="48361" s="160" customFormat="1" x14ac:dyDescent="0.3"/>
    <row r="48362" s="160" customFormat="1" x14ac:dyDescent="0.3"/>
    <row r="48363" s="160" customFormat="1" x14ac:dyDescent="0.3"/>
    <row r="48364" s="160" customFormat="1" x14ac:dyDescent="0.3"/>
    <row r="48365" s="160" customFormat="1" x14ac:dyDescent="0.3"/>
    <row r="48366" s="160" customFormat="1" x14ac:dyDescent="0.3"/>
    <row r="48367" s="160" customFormat="1" x14ac:dyDescent="0.3"/>
    <row r="48368" s="160" customFormat="1" x14ac:dyDescent="0.3"/>
    <row r="48369" s="160" customFormat="1" x14ac:dyDescent="0.3"/>
    <row r="48370" s="160" customFormat="1" x14ac:dyDescent="0.3"/>
    <row r="48371" s="160" customFormat="1" x14ac:dyDescent="0.3"/>
    <row r="48372" s="160" customFormat="1" x14ac:dyDescent="0.3"/>
    <row r="48373" s="160" customFormat="1" x14ac:dyDescent="0.3"/>
    <row r="48374" s="160" customFormat="1" x14ac:dyDescent="0.3"/>
    <row r="48375" s="160" customFormat="1" x14ac:dyDescent="0.3"/>
    <row r="48376" s="160" customFormat="1" x14ac:dyDescent="0.3"/>
    <row r="48377" s="160" customFormat="1" x14ac:dyDescent="0.3"/>
    <row r="48378" s="160" customFormat="1" x14ac:dyDescent="0.3"/>
    <row r="48379" s="160" customFormat="1" x14ac:dyDescent="0.3"/>
    <row r="48380" s="160" customFormat="1" x14ac:dyDescent="0.3"/>
    <row r="48381" s="160" customFormat="1" x14ac:dyDescent="0.3"/>
    <row r="48382" s="160" customFormat="1" x14ac:dyDescent="0.3"/>
    <row r="48383" s="160" customFormat="1" x14ac:dyDescent="0.3"/>
    <row r="48384" s="160" customFormat="1" x14ac:dyDescent="0.3"/>
    <row r="48385" s="160" customFormat="1" x14ac:dyDescent="0.3"/>
    <row r="48386" s="160" customFormat="1" x14ac:dyDescent="0.3"/>
    <row r="48387" s="160" customFormat="1" x14ac:dyDescent="0.3"/>
    <row r="48388" s="160" customFormat="1" x14ac:dyDescent="0.3"/>
    <row r="48389" s="160" customFormat="1" x14ac:dyDescent="0.3"/>
    <row r="48390" s="160" customFormat="1" x14ac:dyDescent="0.3"/>
    <row r="48391" s="160" customFormat="1" x14ac:dyDescent="0.3"/>
    <row r="48392" s="160" customFormat="1" x14ac:dyDescent="0.3"/>
    <row r="48393" s="160" customFormat="1" x14ac:dyDescent="0.3"/>
    <row r="48394" s="160" customFormat="1" x14ac:dyDescent="0.3"/>
    <row r="48395" s="160" customFormat="1" x14ac:dyDescent="0.3"/>
    <row r="48396" s="160" customFormat="1" x14ac:dyDescent="0.3"/>
    <row r="48397" s="160" customFormat="1" x14ac:dyDescent="0.3"/>
    <row r="48398" s="160" customFormat="1" x14ac:dyDescent="0.3"/>
    <row r="48399" s="160" customFormat="1" x14ac:dyDescent="0.3"/>
    <row r="48400" s="160" customFormat="1" x14ac:dyDescent="0.3"/>
    <row r="48401" s="160" customFormat="1" x14ac:dyDescent="0.3"/>
    <row r="48402" s="160" customFormat="1" x14ac:dyDescent="0.3"/>
    <row r="48403" s="160" customFormat="1" x14ac:dyDescent="0.3"/>
    <row r="48404" s="160" customFormat="1" x14ac:dyDescent="0.3"/>
    <row r="48405" s="160" customFormat="1" x14ac:dyDescent="0.3"/>
    <row r="48406" s="160" customFormat="1" x14ac:dyDescent="0.3"/>
    <row r="48407" s="160" customFormat="1" x14ac:dyDescent="0.3"/>
    <row r="48408" s="160" customFormat="1" x14ac:dyDescent="0.3"/>
    <row r="48409" s="160" customFormat="1" x14ac:dyDescent="0.3"/>
    <row r="48410" s="160" customFormat="1" x14ac:dyDescent="0.3"/>
    <row r="48411" s="160" customFormat="1" x14ac:dyDescent="0.3"/>
    <row r="48412" s="160" customFormat="1" x14ac:dyDescent="0.3"/>
    <row r="48413" s="160" customFormat="1" x14ac:dyDescent="0.3"/>
    <row r="48414" s="160" customFormat="1" x14ac:dyDescent="0.3"/>
    <row r="48415" s="160" customFormat="1" x14ac:dyDescent="0.3"/>
    <row r="48416" s="160" customFormat="1" x14ac:dyDescent="0.3"/>
    <row r="48417" s="160" customFormat="1" x14ac:dyDescent="0.3"/>
    <row r="48418" s="160" customFormat="1" x14ac:dyDescent="0.3"/>
    <row r="48419" s="160" customFormat="1" x14ac:dyDescent="0.3"/>
    <row r="48420" s="160" customFormat="1" x14ac:dyDescent="0.3"/>
    <row r="48421" s="160" customFormat="1" x14ac:dyDescent="0.3"/>
    <row r="48422" s="160" customFormat="1" x14ac:dyDescent="0.3"/>
    <row r="48423" s="160" customFormat="1" x14ac:dyDescent="0.3"/>
    <row r="48424" s="160" customFormat="1" x14ac:dyDescent="0.3"/>
    <row r="48425" s="160" customFormat="1" x14ac:dyDescent="0.3"/>
    <row r="48426" s="160" customFormat="1" x14ac:dyDescent="0.3"/>
    <row r="48427" s="160" customFormat="1" x14ac:dyDescent="0.3"/>
    <row r="48428" s="160" customFormat="1" x14ac:dyDescent="0.3"/>
    <row r="48429" s="160" customFormat="1" x14ac:dyDescent="0.3"/>
    <row r="48430" s="160" customFormat="1" x14ac:dyDescent="0.3"/>
    <row r="48431" s="160" customFormat="1" x14ac:dyDescent="0.3"/>
    <row r="48432" s="160" customFormat="1" x14ac:dyDescent="0.3"/>
    <row r="48433" s="160" customFormat="1" x14ac:dyDescent="0.3"/>
    <row r="48434" s="160" customFormat="1" x14ac:dyDescent="0.3"/>
    <row r="48435" s="160" customFormat="1" x14ac:dyDescent="0.3"/>
    <row r="48436" s="160" customFormat="1" x14ac:dyDescent="0.3"/>
    <row r="48437" s="160" customFormat="1" x14ac:dyDescent="0.3"/>
    <row r="48438" s="160" customFormat="1" x14ac:dyDescent="0.3"/>
    <row r="48439" s="160" customFormat="1" x14ac:dyDescent="0.3"/>
    <row r="48440" s="160" customFormat="1" x14ac:dyDescent="0.3"/>
    <row r="48441" s="160" customFormat="1" x14ac:dyDescent="0.3"/>
    <row r="48442" s="160" customFormat="1" x14ac:dyDescent="0.3"/>
    <row r="48443" s="160" customFormat="1" x14ac:dyDescent="0.3"/>
    <row r="48444" s="160" customFormat="1" x14ac:dyDescent="0.3"/>
    <row r="48445" s="160" customFormat="1" x14ac:dyDescent="0.3"/>
    <row r="48446" s="160" customFormat="1" x14ac:dyDescent="0.3"/>
    <row r="48447" s="160" customFormat="1" x14ac:dyDescent="0.3"/>
    <row r="48448" s="160" customFormat="1" x14ac:dyDescent="0.3"/>
    <row r="48449" s="160" customFormat="1" x14ac:dyDescent="0.3"/>
    <row r="48450" s="160" customFormat="1" x14ac:dyDescent="0.3"/>
    <row r="48451" s="160" customFormat="1" x14ac:dyDescent="0.3"/>
    <row r="48452" s="160" customFormat="1" x14ac:dyDescent="0.3"/>
    <row r="48453" s="160" customFormat="1" x14ac:dyDescent="0.3"/>
    <row r="48454" s="160" customFormat="1" x14ac:dyDescent="0.3"/>
    <row r="48455" s="160" customFormat="1" x14ac:dyDescent="0.3"/>
    <row r="48456" s="160" customFormat="1" x14ac:dyDescent="0.3"/>
    <row r="48457" s="160" customFormat="1" x14ac:dyDescent="0.3"/>
    <row r="48458" s="160" customFormat="1" x14ac:dyDescent="0.3"/>
    <row r="48459" s="160" customFormat="1" x14ac:dyDescent="0.3"/>
    <row r="48460" s="160" customFormat="1" x14ac:dyDescent="0.3"/>
    <row r="48461" s="160" customFormat="1" x14ac:dyDescent="0.3"/>
    <row r="48462" s="160" customFormat="1" x14ac:dyDescent="0.3"/>
    <row r="48463" s="160" customFormat="1" x14ac:dyDescent="0.3"/>
    <row r="48464" s="160" customFormat="1" x14ac:dyDescent="0.3"/>
    <row r="48465" s="160" customFormat="1" x14ac:dyDescent="0.3"/>
    <row r="48466" s="160" customFormat="1" x14ac:dyDescent="0.3"/>
    <row r="48467" s="160" customFormat="1" x14ac:dyDescent="0.3"/>
    <row r="48468" s="160" customFormat="1" x14ac:dyDescent="0.3"/>
    <row r="48469" s="160" customFormat="1" x14ac:dyDescent="0.3"/>
    <row r="48470" s="160" customFormat="1" x14ac:dyDescent="0.3"/>
    <row r="48471" s="160" customFormat="1" x14ac:dyDescent="0.3"/>
    <row r="48472" s="160" customFormat="1" x14ac:dyDescent="0.3"/>
    <row r="48473" s="160" customFormat="1" x14ac:dyDescent="0.3"/>
    <row r="48474" s="160" customFormat="1" x14ac:dyDescent="0.3"/>
    <row r="48475" s="160" customFormat="1" x14ac:dyDescent="0.3"/>
    <row r="48476" s="160" customFormat="1" x14ac:dyDescent="0.3"/>
    <row r="48477" s="160" customFormat="1" x14ac:dyDescent="0.3"/>
    <row r="48478" s="160" customFormat="1" x14ac:dyDescent="0.3"/>
    <row r="48479" s="160" customFormat="1" x14ac:dyDescent="0.3"/>
    <row r="48480" s="160" customFormat="1" x14ac:dyDescent="0.3"/>
    <row r="48481" s="160" customFormat="1" x14ac:dyDescent="0.3"/>
    <row r="48482" s="160" customFormat="1" x14ac:dyDescent="0.3"/>
    <row r="48483" s="160" customFormat="1" x14ac:dyDescent="0.3"/>
    <row r="48484" s="160" customFormat="1" x14ac:dyDescent="0.3"/>
    <row r="48485" s="160" customFormat="1" x14ac:dyDescent="0.3"/>
    <row r="48486" s="160" customFormat="1" x14ac:dyDescent="0.3"/>
    <row r="48487" s="160" customFormat="1" x14ac:dyDescent="0.3"/>
    <row r="48488" s="160" customFormat="1" x14ac:dyDescent="0.3"/>
    <row r="48489" s="160" customFormat="1" x14ac:dyDescent="0.3"/>
    <row r="48490" s="160" customFormat="1" x14ac:dyDescent="0.3"/>
    <row r="48491" s="160" customFormat="1" x14ac:dyDescent="0.3"/>
    <row r="48492" s="160" customFormat="1" x14ac:dyDescent="0.3"/>
    <row r="48493" s="160" customFormat="1" x14ac:dyDescent="0.3"/>
    <row r="48494" s="160" customFormat="1" x14ac:dyDescent="0.3"/>
    <row r="48495" s="160" customFormat="1" x14ac:dyDescent="0.3"/>
    <row r="48496" s="160" customFormat="1" x14ac:dyDescent="0.3"/>
    <row r="48497" s="160" customFormat="1" x14ac:dyDescent="0.3"/>
    <row r="48498" s="160" customFormat="1" x14ac:dyDescent="0.3"/>
    <row r="48499" s="160" customFormat="1" x14ac:dyDescent="0.3"/>
    <row r="48500" s="160" customFormat="1" x14ac:dyDescent="0.3"/>
    <row r="48501" s="160" customFormat="1" x14ac:dyDescent="0.3"/>
    <row r="48502" s="160" customFormat="1" x14ac:dyDescent="0.3"/>
    <row r="48503" s="160" customFormat="1" x14ac:dyDescent="0.3"/>
    <row r="48504" s="160" customFormat="1" x14ac:dyDescent="0.3"/>
    <row r="48505" s="160" customFormat="1" x14ac:dyDescent="0.3"/>
    <row r="48506" s="160" customFormat="1" x14ac:dyDescent="0.3"/>
    <row r="48507" s="160" customFormat="1" x14ac:dyDescent="0.3"/>
    <row r="48508" s="160" customFormat="1" x14ac:dyDescent="0.3"/>
    <row r="48509" s="160" customFormat="1" x14ac:dyDescent="0.3"/>
    <row r="48510" s="160" customFormat="1" x14ac:dyDescent="0.3"/>
    <row r="48511" s="160" customFormat="1" x14ac:dyDescent="0.3"/>
    <row r="48512" s="160" customFormat="1" x14ac:dyDescent="0.3"/>
    <row r="48513" s="160" customFormat="1" x14ac:dyDescent="0.3"/>
    <row r="48514" s="160" customFormat="1" x14ac:dyDescent="0.3"/>
    <row r="48515" s="160" customFormat="1" x14ac:dyDescent="0.3"/>
    <row r="48516" s="160" customFormat="1" x14ac:dyDescent="0.3"/>
    <row r="48517" s="160" customFormat="1" x14ac:dyDescent="0.3"/>
    <row r="48518" s="160" customFormat="1" x14ac:dyDescent="0.3"/>
    <row r="48519" s="160" customFormat="1" x14ac:dyDescent="0.3"/>
    <row r="48520" s="160" customFormat="1" x14ac:dyDescent="0.3"/>
    <row r="48521" s="160" customFormat="1" x14ac:dyDescent="0.3"/>
    <row r="48522" s="160" customFormat="1" x14ac:dyDescent="0.3"/>
    <row r="48523" s="160" customFormat="1" x14ac:dyDescent="0.3"/>
    <row r="48524" s="160" customFormat="1" x14ac:dyDescent="0.3"/>
    <row r="48525" s="160" customFormat="1" x14ac:dyDescent="0.3"/>
    <row r="48526" s="160" customFormat="1" x14ac:dyDescent="0.3"/>
    <row r="48527" s="160" customFormat="1" x14ac:dyDescent="0.3"/>
    <row r="48528" s="160" customFormat="1" x14ac:dyDescent="0.3"/>
    <row r="48529" s="160" customFormat="1" x14ac:dyDescent="0.3"/>
    <row r="48530" s="160" customFormat="1" x14ac:dyDescent="0.3"/>
    <row r="48531" s="160" customFormat="1" x14ac:dyDescent="0.3"/>
    <row r="48532" s="160" customFormat="1" x14ac:dyDescent="0.3"/>
    <row r="48533" s="160" customFormat="1" x14ac:dyDescent="0.3"/>
    <row r="48534" s="160" customFormat="1" x14ac:dyDescent="0.3"/>
    <row r="48535" s="160" customFormat="1" x14ac:dyDescent="0.3"/>
    <row r="48536" s="160" customFormat="1" x14ac:dyDescent="0.3"/>
    <row r="48537" s="160" customFormat="1" x14ac:dyDescent="0.3"/>
    <row r="48538" s="160" customFormat="1" x14ac:dyDescent="0.3"/>
    <row r="48539" s="160" customFormat="1" x14ac:dyDescent="0.3"/>
    <row r="48540" s="160" customFormat="1" x14ac:dyDescent="0.3"/>
    <row r="48541" s="160" customFormat="1" x14ac:dyDescent="0.3"/>
    <row r="48542" s="160" customFormat="1" x14ac:dyDescent="0.3"/>
    <row r="48543" s="160" customFormat="1" x14ac:dyDescent="0.3"/>
    <row r="48544" s="160" customFormat="1" x14ac:dyDescent="0.3"/>
    <row r="48545" s="160" customFormat="1" x14ac:dyDescent="0.3"/>
    <row r="48546" s="160" customFormat="1" x14ac:dyDescent="0.3"/>
    <row r="48547" s="160" customFormat="1" x14ac:dyDescent="0.3"/>
    <row r="48548" s="160" customFormat="1" x14ac:dyDescent="0.3"/>
    <row r="48549" s="160" customFormat="1" x14ac:dyDescent="0.3"/>
    <row r="48550" s="160" customFormat="1" x14ac:dyDescent="0.3"/>
    <row r="48551" s="160" customFormat="1" x14ac:dyDescent="0.3"/>
    <row r="48552" s="160" customFormat="1" x14ac:dyDescent="0.3"/>
    <row r="48553" s="160" customFormat="1" x14ac:dyDescent="0.3"/>
    <row r="48554" s="160" customFormat="1" x14ac:dyDescent="0.3"/>
    <row r="48555" s="160" customFormat="1" x14ac:dyDescent="0.3"/>
    <row r="48556" s="160" customFormat="1" x14ac:dyDescent="0.3"/>
    <row r="48557" s="160" customFormat="1" x14ac:dyDescent="0.3"/>
    <row r="48558" s="160" customFormat="1" x14ac:dyDescent="0.3"/>
    <row r="48559" s="160" customFormat="1" x14ac:dyDescent="0.3"/>
    <row r="48560" s="160" customFormat="1" x14ac:dyDescent="0.3"/>
    <row r="48561" s="160" customFormat="1" x14ac:dyDescent="0.3"/>
    <row r="48562" s="160" customFormat="1" x14ac:dyDescent="0.3"/>
    <row r="48563" s="160" customFormat="1" x14ac:dyDescent="0.3"/>
    <row r="48564" s="160" customFormat="1" x14ac:dyDescent="0.3"/>
    <row r="48565" s="160" customFormat="1" x14ac:dyDescent="0.3"/>
    <row r="48566" s="160" customFormat="1" x14ac:dyDescent="0.3"/>
    <row r="48567" s="160" customFormat="1" x14ac:dyDescent="0.3"/>
    <row r="48568" s="160" customFormat="1" x14ac:dyDescent="0.3"/>
    <row r="48569" s="160" customFormat="1" x14ac:dyDescent="0.3"/>
    <row r="48570" s="160" customFormat="1" x14ac:dyDescent="0.3"/>
    <row r="48571" s="160" customFormat="1" x14ac:dyDescent="0.3"/>
    <row r="48572" s="160" customFormat="1" x14ac:dyDescent="0.3"/>
    <row r="48573" s="160" customFormat="1" x14ac:dyDescent="0.3"/>
    <row r="48574" s="160" customFormat="1" x14ac:dyDescent="0.3"/>
    <row r="48575" s="160" customFormat="1" x14ac:dyDescent="0.3"/>
    <row r="48576" s="160" customFormat="1" x14ac:dyDescent="0.3"/>
    <row r="48577" s="160" customFormat="1" x14ac:dyDescent="0.3"/>
    <row r="48578" s="160" customFormat="1" x14ac:dyDescent="0.3"/>
    <row r="48579" s="160" customFormat="1" x14ac:dyDescent="0.3"/>
    <row r="48580" s="160" customFormat="1" x14ac:dyDescent="0.3"/>
    <row r="48581" s="160" customFormat="1" x14ac:dyDescent="0.3"/>
    <row r="48582" s="160" customFormat="1" x14ac:dyDescent="0.3"/>
    <row r="48583" s="160" customFormat="1" x14ac:dyDescent="0.3"/>
    <row r="48584" s="160" customFormat="1" x14ac:dyDescent="0.3"/>
    <row r="48585" s="160" customFormat="1" x14ac:dyDescent="0.3"/>
    <row r="48586" s="160" customFormat="1" x14ac:dyDescent="0.3"/>
    <row r="48587" s="160" customFormat="1" x14ac:dyDescent="0.3"/>
    <row r="48588" s="160" customFormat="1" x14ac:dyDescent="0.3"/>
    <row r="48589" s="160" customFormat="1" x14ac:dyDescent="0.3"/>
    <row r="48590" s="160" customFormat="1" x14ac:dyDescent="0.3"/>
    <row r="48591" s="160" customFormat="1" x14ac:dyDescent="0.3"/>
    <row r="48592" s="160" customFormat="1" x14ac:dyDescent="0.3"/>
    <row r="48593" s="160" customFormat="1" x14ac:dyDescent="0.3"/>
    <row r="48594" s="160" customFormat="1" x14ac:dyDescent="0.3"/>
    <row r="48595" s="160" customFormat="1" x14ac:dyDescent="0.3"/>
    <row r="48596" s="160" customFormat="1" x14ac:dyDescent="0.3"/>
    <row r="48597" s="160" customFormat="1" x14ac:dyDescent="0.3"/>
    <row r="48598" s="160" customFormat="1" x14ac:dyDescent="0.3"/>
    <row r="48599" s="160" customFormat="1" x14ac:dyDescent="0.3"/>
    <row r="48600" s="160" customFormat="1" x14ac:dyDescent="0.3"/>
    <row r="48601" s="160" customFormat="1" x14ac:dyDescent="0.3"/>
    <row r="48602" s="160" customFormat="1" x14ac:dyDescent="0.3"/>
    <row r="48603" s="160" customFormat="1" x14ac:dyDescent="0.3"/>
    <row r="48604" s="160" customFormat="1" x14ac:dyDescent="0.3"/>
    <row r="48605" s="160" customFormat="1" x14ac:dyDescent="0.3"/>
    <row r="48606" s="160" customFormat="1" x14ac:dyDescent="0.3"/>
    <row r="48607" s="160" customFormat="1" x14ac:dyDescent="0.3"/>
    <row r="48608" s="160" customFormat="1" x14ac:dyDescent="0.3"/>
    <row r="48609" s="160" customFormat="1" x14ac:dyDescent="0.3"/>
    <row r="48610" s="160" customFormat="1" x14ac:dyDescent="0.3"/>
    <row r="48611" s="160" customFormat="1" x14ac:dyDescent="0.3"/>
    <row r="48612" s="160" customFormat="1" x14ac:dyDescent="0.3"/>
    <row r="48613" s="160" customFormat="1" x14ac:dyDescent="0.3"/>
    <row r="48614" s="160" customFormat="1" x14ac:dyDescent="0.3"/>
    <row r="48615" s="160" customFormat="1" x14ac:dyDescent="0.3"/>
    <row r="48616" s="160" customFormat="1" x14ac:dyDescent="0.3"/>
    <row r="48617" s="160" customFormat="1" x14ac:dyDescent="0.3"/>
    <row r="48618" s="160" customFormat="1" x14ac:dyDescent="0.3"/>
    <row r="48619" s="160" customFormat="1" x14ac:dyDescent="0.3"/>
    <row r="48620" s="160" customFormat="1" x14ac:dyDescent="0.3"/>
    <row r="48621" s="160" customFormat="1" x14ac:dyDescent="0.3"/>
    <row r="48622" s="160" customFormat="1" x14ac:dyDescent="0.3"/>
    <row r="48623" s="160" customFormat="1" x14ac:dyDescent="0.3"/>
    <row r="48624" s="160" customFormat="1" x14ac:dyDescent="0.3"/>
    <row r="48625" s="160" customFormat="1" x14ac:dyDescent="0.3"/>
    <row r="48626" s="160" customFormat="1" x14ac:dyDescent="0.3"/>
    <row r="48627" s="160" customFormat="1" x14ac:dyDescent="0.3"/>
    <row r="48628" s="160" customFormat="1" x14ac:dyDescent="0.3"/>
    <row r="48629" s="160" customFormat="1" x14ac:dyDescent="0.3"/>
    <row r="48630" s="160" customFormat="1" x14ac:dyDescent="0.3"/>
    <row r="48631" s="160" customFormat="1" x14ac:dyDescent="0.3"/>
    <row r="48632" s="160" customFormat="1" x14ac:dyDescent="0.3"/>
    <row r="48633" s="160" customFormat="1" x14ac:dyDescent="0.3"/>
    <row r="48634" s="160" customFormat="1" x14ac:dyDescent="0.3"/>
    <row r="48635" s="160" customFormat="1" x14ac:dyDescent="0.3"/>
    <row r="48636" s="160" customFormat="1" x14ac:dyDescent="0.3"/>
    <row r="48637" s="160" customFormat="1" x14ac:dyDescent="0.3"/>
    <row r="48638" s="160" customFormat="1" x14ac:dyDescent="0.3"/>
    <row r="48639" s="160" customFormat="1" x14ac:dyDescent="0.3"/>
    <row r="48640" s="160" customFormat="1" x14ac:dyDescent="0.3"/>
    <row r="48641" s="160" customFormat="1" x14ac:dyDescent="0.3"/>
    <row r="48642" s="160" customFormat="1" x14ac:dyDescent="0.3"/>
    <row r="48643" s="160" customFormat="1" x14ac:dyDescent="0.3"/>
    <row r="48644" s="160" customFormat="1" x14ac:dyDescent="0.3"/>
    <row r="48645" s="160" customFormat="1" x14ac:dyDescent="0.3"/>
    <row r="48646" s="160" customFormat="1" x14ac:dyDescent="0.3"/>
    <row r="48647" s="160" customFormat="1" x14ac:dyDescent="0.3"/>
    <row r="48648" s="160" customFormat="1" x14ac:dyDescent="0.3"/>
    <row r="48649" s="160" customFormat="1" x14ac:dyDescent="0.3"/>
    <row r="48650" s="160" customFormat="1" x14ac:dyDescent="0.3"/>
    <row r="48651" s="160" customFormat="1" x14ac:dyDescent="0.3"/>
    <row r="48652" s="160" customFormat="1" x14ac:dyDescent="0.3"/>
    <row r="48653" s="160" customFormat="1" x14ac:dyDescent="0.3"/>
    <row r="48654" s="160" customFormat="1" x14ac:dyDescent="0.3"/>
    <row r="48655" s="160" customFormat="1" x14ac:dyDescent="0.3"/>
    <row r="48656" s="160" customFormat="1" x14ac:dyDescent="0.3"/>
    <row r="48657" s="160" customFormat="1" x14ac:dyDescent="0.3"/>
    <row r="48658" s="160" customFormat="1" x14ac:dyDescent="0.3"/>
    <row r="48659" s="160" customFormat="1" x14ac:dyDescent="0.3"/>
    <row r="48660" s="160" customFormat="1" x14ac:dyDescent="0.3"/>
    <row r="48661" s="160" customFormat="1" x14ac:dyDescent="0.3"/>
    <row r="48662" s="160" customFormat="1" x14ac:dyDescent="0.3"/>
    <row r="48663" s="160" customFormat="1" x14ac:dyDescent="0.3"/>
    <row r="48664" s="160" customFormat="1" x14ac:dyDescent="0.3"/>
    <row r="48665" s="160" customFormat="1" x14ac:dyDescent="0.3"/>
    <row r="48666" s="160" customFormat="1" x14ac:dyDescent="0.3"/>
    <row r="48667" s="160" customFormat="1" x14ac:dyDescent="0.3"/>
    <row r="48668" s="160" customFormat="1" x14ac:dyDescent="0.3"/>
    <row r="48669" s="160" customFormat="1" x14ac:dyDescent="0.3"/>
    <row r="48670" s="160" customFormat="1" x14ac:dyDescent="0.3"/>
    <row r="48671" s="160" customFormat="1" x14ac:dyDescent="0.3"/>
    <row r="48672" s="160" customFormat="1" x14ac:dyDescent="0.3"/>
    <row r="48673" s="160" customFormat="1" x14ac:dyDescent="0.3"/>
    <row r="48674" s="160" customFormat="1" x14ac:dyDescent="0.3"/>
    <row r="48675" s="160" customFormat="1" x14ac:dyDescent="0.3"/>
    <row r="48676" s="160" customFormat="1" x14ac:dyDescent="0.3"/>
    <row r="48677" s="160" customFormat="1" x14ac:dyDescent="0.3"/>
    <row r="48678" s="160" customFormat="1" x14ac:dyDescent="0.3"/>
    <row r="48679" s="160" customFormat="1" x14ac:dyDescent="0.3"/>
    <row r="48680" s="160" customFormat="1" x14ac:dyDescent="0.3"/>
    <row r="48681" s="160" customFormat="1" x14ac:dyDescent="0.3"/>
    <row r="48682" s="160" customFormat="1" x14ac:dyDescent="0.3"/>
    <row r="48683" s="160" customFormat="1" x14ac:dyDescent="0.3"/>
    <row r="48684" s="160" customFormat="1" x14ac:dyDescent="0.3"/>
    <row r="48685" s="160" customFormat="1" x14ac:dyDescent="0.3"/>
    <row r="48686" s="160" customFormat="1" x14ac:dyDescent="0.3"/>
    <row r="48687" s="160" customFormat="1" x14ac:dyDescent="0.3"/>
    <row r="48688" s="160" customFormat="1" x14ac:dyDescent="0.3"/>
    <row r="48689" s="160" customFormat="1" x14ac:dyDescent="0.3"/>
    <row r="48690" s="160" customFormat="1" x14ac:dyDescent="0.3"/>
    <row r="48691" s="160" customFormat="1" x14ac:dyDescent="0.3"/>
    <row r="48692" s="160" customFormat="1" x14ac:dyDescent="0.3"/>
    <row r="48693" s="160" customFormat="1" x14ac:dyDescent="0.3"/>
    <row r="48694" s="160" customFormat="1" x14ac:dyDescent="0.3"/>
    <row r="48695" s="160" customFormat="1" x14ac:dyDescent="0.3"/>
    <row r="48696" s="160" customFormat="1" x14ac:dyDescent="0.3"/>
    <row r="48697" s="160" customFormat="1" x14ac:dyDescent="0.3"/>
    <row r="48698" s="160" customFormat="1" x14ac:dyDescent="0.3"/>
    <row r="48699" s="160" customFormat="1" x14ac:dyDescent="0.3"/>
    <row r="48700" s="160" customFormat="1" x14ac:dyDescent="0.3"/>
    <row r="48701" s="160" customFormat="1" x14ac:dyDescent="0.3"/>
    <row r="48702" s="160" customFormat="1" x14ac:dyDescent="0.3"/>
    <row r="48703" s="160" customFormat="1" x14ac:dyDescent="0.3"/>
    <row r="48704" s="160" customFormat="1" x14ac:dyDescent="0.3"/>
    <row r="48705" s="160" customFormat="1" x14ac:dyDescent="0.3"/>
    <row r="48706" s="160" customFormat="1" x14ac:dyDescent="0.3"/>
    <row r="48707" s="160" customFormat="1" x14ac:dyDescent="0.3"/>
    <row r="48708" s="160" customFormat="1" x14ac:dyDescent="0.3"/>
    <row r="48709" s="160" customFormat="1" x14ac:dyDescent="0.3"/>
    <row r="48710" s="160" customFormat="1" x14ac:dyDescent="0.3"/>
    <row r="48711" s="160" customFormat="1" x14ac:dyDescent="0.3"/>
    <row r="48712" s="160" customFormat="1" x14ac:dyDescent="0.3"/>
    <row r="48713" s="160" customFormat="1" x14ac:dyDescent="0.3"/>
    <row r="48714" s="160" customFormat="1" x14ac:dyDescent="0.3"/>
    <row r="48715" s="160" customFormat="1" x14ac:dyDescent="0.3"/>
    <row r="48716" s="160" customFormat="1" x14ac:dyDescent="0.3"/>
    <row r="48717" s="160" customFormat="1" x14ac:dyDescent="0.3"/>
    <row r="48718" s="160" customFormat="1" x14ac:dyDescent="0.3"/>
    <row r="48719" s="160" customFormat="1" x14ac:dyDescent="0.3"/>
    <row r="48720" s="160" customFormat="1" x14ac:dyDescent="0.3"/>
    <row r="48721" s="160" customFormat="1" x14ac:dyDescent="0.3"/>
    <row r="48722" s="160" customFormat="1" x14ac:dyDescent="0.3"/>
    <row r="48723" s="160" customFormat="1" x14ac:dyDescent="0.3"/>
    <row r="48724" s="160" customFormat="1" x14ac:dyDescent="0.3"/>
    <row r="48725" s="160" customFormat="1" x14ac:dyDescent="0.3"/>
    <row r="48726" s="160" customFormat="1" x14ac:dyDescent="0.3"/>
    <row r="48727" s="160" customFormat="1" x14ac:dyDescent="0.3"/>
    <row r="48728" s="160" customFormat="1" x14ac:dyDescent="0.3"/>
    <row r="48729" s="160" customFormat="1" x14ac:dyDescent="0.3"/>
    <row r="48730" s="160" customFormat="1" x14ac:dyDescent="0.3"/>
    <row r="48731" s="160" customFormat="1" x14ac:dyDescent="0.3"/>
    <row r="48732" s="160" customFormat="1" x14ac:dyDescent="0.3"/>
    <row r="48733" s="160" customFormat="1" x14ac:dyDescent="0.3"/>
    <row r="48734" s="160" customFormat="1" x14ac:dyDescent="0.3"/>
    <row r="48735" s="160" customFormat="1" x14ac:dyDescent="0.3"/>
    <row r="48736" s="160" customFormat="1" x14ac:dyDescent="0.3"/>
    <row r="48737" s="160" customFormat="1" x14ac:dyDescent="0.3"/>
    <row r="48738" s="160" customFormat="1" x14ac:dyDescent="0.3"/>
    <row r="48739" s="160" customFormat="1" x14ac:dyDescent="0.3"/>
    <row r="48740" s="160" customFormat="1" x14ac:dyDescent="0.3"/>
    <row r="48741" s="160" customFormat="1" x14ac:dyDescent="0.3"/>
    <row r="48742" s="160" customFormat="1" x14ac:dyDescent="0.3"/>
    <row r="48743" s="160" customFormat="1" x14ac:dyDescent="0.3"/>
    <row r="48744" s="160" customFormat="1" x14ac:dyDescent="0.3"/>
    <row r="48745" s="160" customFormat="1" x14ac:dyDescent="0.3"/>
    <row r="48746" s="160" customFormat="1" x14ac:dyDescent="0.3"/>
    <row r="48747" s="160" customFormat="1" x14ac:dyDescent="0.3"/>
    <row r="48748" s="160" customFormat="1" x14ac:dyDescent="0.3"/>
    <row r="48749" s="160" customFormat="1" x14ac:dyDescent="0.3"/>
    <row r="48750" s="160" customFormat="1" x14ac:dyDescent="0.3"/>
    <row r="48751" s="160" customFormat="1" x14ac:dyDescent="0.3"/>
    <row r="48752" s="160" customFormat="1" x14ac:dyDescent="0.3"/>
    <row r="48753" s="160" customFormat="1" x14ac:dyDescent="0.3"/>
    <row r="48754" s="160" customFormat="1" x14ac:dyDescent="0.3"/>
    <row r="48755" s="160" customFormat="1" x14ac:dyDescent="0.3"/>
    <row r="48756" s="160" customFormat="1" x14ac:dyDescent="0.3"/>
    <row r="48757" s="160" customFormat="1" x14ac:dyDescent="0.3"/>
    <row r="48758" s="160" customFormat="1" x14ac:dyDescent="0.3"/>
    <row r="48759" s="160" customFormat="1" x14ac:dyDescent="0.3"/>
    <row r="48760" s="160" customFormat="1" x14ac:dyDescent="0.3"/>
    <row r="48761" s="160" customFormat="1" x14ac:dyDescent="0.3"/>
    <row r="48762" s="160" customFormat="1" x14ac:dyDescent="0.3"/>
    <row r="48763" s="160" customFormat="1" x14ac:dyDescent="0.3"/>
    <row r="48764" s="160" customFormat="1" x14ac:dyDescent="0.3"/>
    <row r="48765" s="160" customFormat="1" x14ac:dyDescent="0.3"/>
    <row r="48766" s="160" customFormat="1" x14ac:dyDescent="0.3"/>
    <row r="48767" s="160" customFormat="1" x14ac:dyDescent="0.3"/>
    <row r="48768" s="160" customFormat="1" x14ac:dyDescent="0.3"/>
    <row r="48769" s="160" customFormat="1" x14ac:dyDescent="0.3"/>
    <row r="48770" s="160" customFormat="1" x14ac:dyDescent="0.3"/>
    <row r="48771" s="160" customFormat="1" x14ac:dyDescent="0.3"/>
    <row r="48772" s="160" customFormat="1" x14ac:dyDescent="0.3"/>
    <row r="48773" s="160" customFormat="1" x14ac:dyDescent="0.3"/>
    <row r="48774" s="160" customFormat="1" x14ac:dyDescent="0.3"/>
    <row r="48775" s="160" customFormat="1" x14ac:dyDescent="0.3"/>
    <row r="48776" s="160" customFormat="1" x14ac:dyDescent="0.3"/>
    <row r="48777" s="160" customFormat="1" x14ac:dyDescent="0.3"/>
    <row r="48778" s="160" customFormat="1" x14ac:dyDescent="0.3"/>
    <row r="48779" s="160" customFormat="1" x14ac:dyDescent="0.3"/>
    <row r="48780" s="160" customFormat="1" x14ac:dyDescent="0.3"/>
    <row r="48781" s="160" customFormat="1" x14ac:dyDescent="0.3"/>
    <row r="48782" s="160" customFormat="1" x14ac:dyDescent="0.3"/>
    <row r="48783" s="160" customFormat="1" x14ac:dyDescent="0.3"/>
    <row r="48784" s="160" customFormat="1" x14ac:dyDescent="0.3"/>
    <row r="48785" s="160" customFormat="1" x14ac:dyDescent="0.3"/>
    <row r="48786" s="160" customFormat="1" x14ac:dyDescent="0.3"/>
    <row r="48787" s="160" customFormat="1" x14ac:dyDescent="0.3"/>
    <row r="48788" s="160" customFormat="1" x14ac:dyDescent="0.3"/>
    <row r="48789" s="160" customFormat="1" x14ac:dyDescent="0.3"/>
    <row r="48790" s="160" customFormat="1" x14ac:dyDescent="0.3"/>
    <row r="48791" s="160" customFormat="1" x14ac:dyDescent="0.3"/>
    <row r="48792" s="160" customFormat="1" x14ac:dyDescent="0.3"/>
    <row r="48793" s="160" customFormat="1" x14ac:dyDescent="0.3"/>
    <row r="48794" s="160" customFormat="1" x14ac:dyDescent="0.3"/>
    <row r="48795" s="160" customFormat="1" x14ac:dyDescent="0.3"/>
    <row r="48796" s="160" customFormat="1" x14ac:dyDescent="0.3"/>
    <row r="48797" s="160" customFormat="1" x14ac:dyDescent="0.3"/>
    <row r="48798" s="160" customFormat="1" x14ac:dyDescent="0.3"/>
    <row r="48799" s="160" customFormat="1" x14ac:dyDescent="0.3"/>
    <row r="48800" s="160" customFormat="1" x14ac:dyDescent="0.3"/>
    <row r="48801" s="160" customFormat="1" x14ac:dyDescent="0.3"/>
    <row r="48802" s="160" customFormat="1" x14ac:dyDescent="0.3"/>
    <row r="48803" s="160" customFormat="1" x14ac:dyDescent="0.3"/>
    <row r="48804" s="160" customFormat="1" x14ac:dyDescent="0.3"/>
    <row r="48805" s="160" customFormat="1" x14ac:dyDescent="0.3"/>
    <row r="48806" s="160" customFormat="1" x14ac:dyDescent="0.3"/>
    <row r="48807" s="160" customFormat="1" x14ac:dyDescent="0.3"/>
    <row r="48808" s="160" customFormat="1" x14ac:dyDescent="0.3"/>
    <row r="48809" s="160" customFormat="1" x14ac:dyDescent="0.3"/>
    <row r="48810" s="160" customFormat="1" x14ac:dyDescent="0.3"/>
    <row r="48811" s="160" customFormat="1" x14ac:dyDescent="0.3"/>
    <row r="48812" s="160" customFormat="1" x14ac:dyDescent="0.3"/>
    <row r="48813" s="160" customFormat="1" x14ac:dyDescent="0.3"/>
    <row r="48814" s="160" customFormat="1" x14ac:dyDescent="0.3"/>
    <row r="48815" s="160" customFormat="1" x14ac:dyDescent="0.3"/>
    <row r="48816" s="160" customFormat="1" x14ac:dyDescent="0.3"/>
    <row r="48817" s="160" customFormat="1" x14ac:dyDescent="0.3"/>
    <row r="48818" s="160" customFormat="1" x14ac:dyDescent="0.3"/>
    <row r="48819" s="160" customFormat="1" x14ac:dyDescent="0.3"/>
    <row r="48820" s="160" customFormat="1" x14ac:dyDescent="0.3"/>
    <row r="48821" s="160" customFormat="1" x14ac:dyDescent="0.3"/>
    <row r="48822" s="160" customFormat="1" x14ac:dyDescent="0.3"/>
    <row r="48823" s="160" customFormat="1" x14ac:dyDescent="0.3"/>
    <row r="48824" s="160" customFormat="1" x14ac:dyDescent="0.3"/>
    <row r="48825" s="160" customFormat="1" x14ac:dyDescent="0.3"/>
    <row r="48826" s="160" customFormat="1" x14ac:dyDescent="0.3"/>
    <row r="48827" s="160" customFormat="1" x14ac:dyDescent="0.3"/>
    <row r="48828" s="160" customFormat="1" x14ac:dyDescent="0.3"/>
    <row r="48829" s="160" customFormat="1" x14ac:dyDescent="0.3"/>
    <row r="48830" s="160" customFormat="1" x14ac:dyDescent="0.3"/>
    <row r="48831" s="160" customFormat="1" x14ac:dyDescent="0.3"/>
    <row r="48832" s="160" customFormat="1" x14ac:dyDescent="0.3"/>
    <row r="48833" s="160" customFormat="1" x14ac:dyDescent="0.3"/>
    <row r="48834" s="160" customFormat="1" x14ac:dyDescent="0.3"/>
    <row r="48835" s="160" customFormat="1" x14ac:dyDescent="0.3"/>
    <row r="48836" s="160" customFormat="1" x14ac:dyDescent="0.3"/>
    <row r="48837" s="160" customFormat="1" x14ac:dyDescent="0.3"/>
    <row r="48838" s="160" customFormat="1" x14ac:dyDescent="0.3"/>
    <row r="48839" s="160" customFormat="1" x14ac:dyDescent="0.3"/>
    <row r="48840" s="160" customFormat="1" x14ac:dyDescent="0.3"/>
    <row r="48841" s="160" customFormat="1" x14ac:dyDescent="0.3"/>
    <row r="48842" s="160" customFormat="1" x14ac:dyDescent="0.3"/>
    <row r="48843" s="160" customFormat="1" x14ac:dyDescent="0.3"/>
    <row r="48844" s="160" customFormat="1" x14ac:dyDescent="0.3"/>
    <row r="48845" s="160" customFormat="1" x14ac:dyDescent="0.3"/>
    <row r="48846" s="160" customFormat="1" x14ac:dyDescent="0.3"/>
    <row r="48847" s="160" customFormat="1" x14ac:dyDescent="0.3"/>
    <row r="48848" s="160" customFormat="1" x14ac:dyDescent="0.3"/>
    <row r="48849" s="160" customFormat="1" x14ac:dyDescent="0.3"/>
    <row r="48850" s="160" customFormat="1" x14ac:dyDescent="0.3"/>
    <row r="48851" s="160" customFormat="1" x14ac:dyDescent="0.3"/>
    <row r="48852" s="160" customFormat="1" x14ac:dyDescent="0.3"/>
    <row r="48853" s="160" customFormat="1" x14ac:dyDescent="0.3"/>
    <row r="48854" s="160" customFormat="1" x14ac:dyDescent="0.3"/>
    <row r="48855" s="160" customFormat="1" x14ac:dyDescent="0.3"/>
    <row r="48856" s="160" customFormat="1" x14ac:dyDescent="0.3"/>
    <row r="48857" s="160" customFormat="1" x14ac:dyDescent="0.3"/>
    <row r="48858" s="160" customFormat="1" x14ac:dyDescent="0.3"/>
    <row r="48859" s="160" customFormat="1" x14ac:dyDescent="0.3"/>
    <row r="48860" s="160" customFormat="1" x14ac:dyDescent="0.3"/>
    <row r="48861" s="160" customFormat="1" x14ac:dyDescent="0.3"/>
    <row r="48862" s="160" customFormat="1" x14ac:dyDescent="0.3"/>
    <row r="48863" s="160" customFormat="1" x14ac:dyDescent="0.3"/>
    <row r="48864" s="160" customFormat="1" x14ac:dyDescent="0.3"/>
    <row r="48865" s="160" customFormat="1" x14ac:dyDescent="0.3"/>
    <row r="48866" s="160" customFormat="1" x14ac:dyDescent="0.3"/>
    <row r="48867" s="160" customFormat="1" x14ac:dyDescent="0.3"/>
    <row r="48868" s="160" customFormat="1" x14ac:dyDescent="0.3"/>
    <row r="48869" s="160" customFormat="1" x14ac:dyDescent="0.3"/>
    <row r="48870" s="160" customFormat="1" x14ac:dyDescent="0.3"/>
    <row r="48871" s="160" customFormat="1" x14ac:dyDescent="0.3"/>
    <row r="48872" s="160" customFormat="1" x14ac:dyDescent="0.3"/>
    <row r="48873" s="160" customFormat="1" x14ac:dyDescent="0.3"/>
    <row r="48874" s="160" customFormat="1" x14ac:dyDescent="0.3"/>
    <row r="48875" s="160" customFormat="1" x14ac:dyDescent="0.3"/>
    <row r="48876" s="160" customFormat="1" x14ac:dyDescent="0.3"/>
    <row r="48877" s="160" customFormat="1" x14ac:dyDescent="0.3"/>
    <row r="48878" s="160" customFormat="1" x14ac:dyDescent="0.3"/>
    <row r="48879" s="160" customFormat="1" x14ac:dyDescent="0.3"/>
    <row r="48880" s="160" customFormat="1" x14ac:dyDescent="0.3"/>
    <row r="48881" s="160" customFormat="1" x14ac:dyDescent="0.3"/>
    <row r="48882" s="160" customFormat="1" x14ac:dyDescent="0.3"/>
    <row r="48883" s="160" customFormat="1" x14ac:dyDescent="0.3"/>
    <row r="48884" s="160" customFormat="1" x14ac:dyDescent="0.3"/>
    <row r="48885" s="160" customFormat="1" x14ac:dyDescent="0.3"/>
    <row r="48886" s="160" customFormat="1" x14ac:dyDescent="0.3"/>
    <row r="48887" s="160" customFormat="1" x14ac:dyDescent="0.3"/>
    <row r="48888" s="160" customFormat="1" x14ac:dyDescent="0.3"/>
    <row r="48889" s="160" customFormat="1" x14ac:dyDescent="0.3"/>
    <row r="48890" s="160" customFormat="1" x14ac:dyDescent="0.3"/>
    <row r="48891" s="160" customFormat="1" x14ac:dyDescent="0.3"/>
    <row r="48892" s="160" customFormat="1" x14ac:dyDescent="0.3"/>
    <row r="48893" s="160" customFormat="1" x14ac:dyDescent="0.3"/>
    <row r="48894" s="160" customFormat="1" x14ac:dyDescent="0.3"/>
    <row r="48895" s="160" customFormat="1" x14ac:dyDescent="0.3"/>
    <row r="48896" s="160" customFormat="1" x14ac:dyDescent="0.3"/>
    <row r="48897" s="160" customFormat="1" x14ac:dyDescent="0.3"/>
    <row r="48898" s="160" customFormat="1" x14ac:dyDescent="0.3"/>
    <row r="48899" s="160" customFormat="1" x14ac:dyDescent="0.3"/>
    <row r="48900" s="160" customFormat="1" x14ac:dyDescent="0.3"/>
    <row r="48901" s="160" customFormat="1" x14ac:dyDescent="0.3"/>
    <row r="48902" s="160" customFormat="1" x14ac:dyDescent="0.3"/>
    <row r="48903" s="160" customFormat="1" x14ac:dyDescent="0.3"/>
    <row r="48904" s="160" customFormat="1" x14ac:dyDescent="0.3"/>
    <row r="48905" s="160" customFormat="1" x14ac:dyDescent="0.3"/>
    <row r="48906" s="160" customFormat="1" x14ac:dyDescent="0.3"/>
    <row r="48907" s="160" customFormat="1" x14ac:dyDescent="0.3"/>
    <row r="48908" s="160" customFormat="1" x14ac:dyDescent="0.3"/>
    <row r="48909" s="160" customFormat="1" x14ac:dyDescent="0.3"/>
    <row r="48910" s="160" customFormat="1" x14ac:dyDescent="0.3"/>
    <row r="48911" s="160" customFormat="1" x14ac:dyDescent="0.3"/>
    <row r="48912" s="160" customFormat="1" x14ac:dyDescent="0.3"/>
    <row r="48913" s="160" customFormat="1" x14ac:dyDescent="0.3"/>
    <row r="48914" s="160" customFormat="1" x14ac:dyDescent="0.3"/>
    <row r="48915" s="160" customFormat="1" x14ac:dyDescent="0.3"/>
    <row r="48916" s="160" customFormat="1" x14ac:dyDescent="0.3"/>
    <row r="48917" s="160" customFormat="1" x14ac:dyDescent="0.3"/>
    <row r="48918" s="160" customFormat="1" x14ac:dyDescent="0.3"/>
    <row r="48919" s="160" customFormat="1" x14ac:dyDescent="0.3"/>
    <row r="48920" s="160" customFormat="1" x14ac:dyDescent="0.3"/>
    <row r="48921" s="160" customFormat="1" x14ac:dyDescent="0.3"/>
    <row r="48922" s="160" customFormat="1" x14ac:dyDescent="0.3"/>
    <row r="48923" s="160" customFormat="1" x14ac:dyDescent="0.3"/>
    <row r="48924" s="160" customFormat="1" x14ac:dyDescent="0.3"/>
    <row r="48925" s="160" customFormat="1" x14ac:dyDescent="0.3"/>
    <row r="48926" s="160" customFormat="1" x14ac:dyDescent="0.3"/>
    <row r="48927" s="160" customFormat="1" x14ac:dyDescent="0.3"/>
    <row r="48928" s="160" customFormat="1" x14ac:dyDescent="0.3"/>
    <row r="48929" s="160" customFormat="1" x14ac:dyDescent="0.3"/>
    <row r="48930" s="160" customFormat="1" x14ac:dyDescent="0.3"/>
    <row r="48931" s="160" customFormat="1" x14ac:dyDescent="0.3"/>
    <row r="48932" s="160" customFormat="1" x14ac:dyDescent="0.3"/>
    <row r="48933" s="160" customFormat="1" x14ac:dyDescent="0.3"/>
    <row r="48934" s="160" customFormat="1" x14ac:dyDescent="0.3"/>
    <row r="48935" s="160" customFormat="1" x14ac:dyDescent="0.3"/>
    <row r="48936" s="160" customFormat="1" x14ac:dyDescent="0.3"/>
    <row r="48937" s="160" customFormat="1" x14ac:dyDescent="0.3"/>
    <row r="48938" s="160" customFormat="1" x14ac:dyDescent="0.3"/>
    <row r="48939" s="160" customFormat="1" x14ac:dyDescent="0.3"/>
    <row r="48940" s="160" customFormat="1" x14ac:dyDescent="0.3"/>
    <row r="48941" s="160" customFormat="1" x14ac:dyDescent="0.3"/>
    <row r="48942" s="160" customFormat="1" x14ac:dyDescent="0.3"/>
    <row r="48943" s="160" customFormat="1" x14ac:dyDescent="0.3"/>
    <row r="48944" s="160" customFormat="1" x14ac:dyDescent="0.3"/>
    <row r="48945" s="160" customFormat="1" x14ac:dyDescent="0.3"/>
    <row r="48946" s="160" customFormat="1" x14ac:dyDescent="0.3"/>
    <row r="48947" s="160" customFormat="1" x14ac:dyDescent="0.3"/>
    <row r="48948" s="160" customFormat="1" x14ac:dyDescent="0.3"/>
    <row r="48949" s="160" customFormat="1" x14ac:dyDescent="0.3"/>
    <row r="48950" s="160" customFormat="1" x14ac:dyDescent="0.3"/>
    <row r="48951" s="160" customFormat="1" x14ac:dyDescent="0.3"/>
    <row r="48952" s="160" customFormat="1" x14ac:dyDescent="0.3"/>
    <row r="48953" s="160" customFormat="1" x14ac:dyDescent="0.3"/>
    <row r="48954" s="160" customFormat="1" x14ac:dyDescent="0.3"/>
    <row r="48955" s="160" customFormat="1" x14ac:dyDescent="0.3"/>
    <row r="48956" s="160" customFormat="1" x14ac:dyDescent="0.3"/>
    <row r="48957" s="160" customFormat="1" x14ac:dyDescent="0.3"/>
    <row r="48958" s="160" customFormat="1" x14ac:dyDescent="0.3"/>
    <row r="48959" s="160" customFormat="1" x14ac:dyDescent="0.3"/>
    <row r="48960" s="160" customFormat="1" x14ac:dyDescent="0.3"/>
    <row r="48961" s="160" customFormat="1" x14ac:dyDescent="0.3"/>
    <row r="48962" s="160" customFormat="1" x14ac:dyDescent="0.3"/>
    <row r="48963" s="160" customFormat="1" x14ac:dyDescent="0.3"/>
    <row r="48964" s="160" customFormat="1" x14ac:dyDescent="0.3"/>
    <row r="48965" s="160" customFormat="1" x14ac:dyDescent="0.3"/>
    <row r="48966" s="160" customFormat="1" x14ac:dyDescent="0.3"/>
    <row r="48967" s="160" customFormat="1" x14ac:dyDescent="0.3"/>
    <row r="48968" s="160" customFormat="1" x14ac:dyDescent="0.3"/>
    <row r="48969" s="160" customFormat="1" x14ac:dyDescent="0.3"/>
    <row r="48970" s="160" customFormat="1" x14ac:dyDescent="0.3"/>
    <row r="48971" s="160" customFormat="1" x14ac:dyDescent="0.3"/>
    <row r="48972" s="160" customFormat="1" x14ac:dyDescent="0.3"/>
    <row r="48973" s="160" customFormat="1" x14ac:dyDescent="0.3"/>
    <row r="48974" s="160" customFormat="1" x14ac:dyDescent="0.3"/>
    <row r="48975" s="160" customFormat="1" x14ac:dyDescent="0.3"/>
    <row r="48976" s="160" customFormat="1" x14ac:dyDescent="0.3"/>
    <row r="48977" s="160" customFormat="1" x14ac:dyDescent="0.3"/>
    <row r="48978" s="160" customFormat="1" x14ac:dyDescent="0.3"/>
    <row r="48979" s="160" customFormat="1" x14ac:dyDescent="0.3"/>
    <row r="48980" s="160" customFormat="1" x14ac:dyDescent="0.3"/>
    <row r="48981" s="160" customFormat="1" x14ac:dyDescent="0.3"/>
    <row r="48982" s="160" customFormat="1" x14ac:dyDescent="0.3"/>
    <row r="48983" s="160" customFormat="1" x14ac:dyDescent="0.3"/>
    <row r="48984" s="160" customFormat="1" x14ac:dyDescent="0.3"/>
    <row r="48985" s="160" customFormat="1" x14ac:dyDescent="0.3"/>
    <row r="48986" s="160" customFormat="1" x14ac:dyDescent="0.3"/>
    <row r="48987" s="160" customFormat="1" x14ac:dyDescent="0.3"/>
    <row r="48988" s="160" customFormat="1" x14ac:dyDescent="0.3"/>
    <row r="48989" s="160" customFormat="1" x14ac:dyDescent="0.3"/>
    <row r="48990" s="160" customFormat="1" x14ac:dyDescent="0.3"/>
    <row r="48991" s="160" customFormat="1" x14ac:dyDescent="0.3"/>
    <row r="48992" s="160" customFormat="1" x14ac:dyDescent="0.3"/>
    <row r="48993" s="160" customFormat="1" x14ac:dyDescent="0.3"/>
    <row r="48994" s="160" customFormat="1" x14ac:dyDescent="0.3"/>
    <row r="48995" s="160" customFormat="1" x14ac:dyDescent="0.3"/>
    <row r="48996" s="160" customFormat="1" x14ac:dyDescent="0.3"/>
    <row r="48997" s="160" customFormat="1" x14ac:dyDescent="0.3"/>
    <row r="48998" s="160" customFormat="1" x14ac:dyDescent="0.3"/>
    <row r="48999" s="160" customFormat="1" x14ac:dyDescent="0.3"/>
    <row r="49000" s="160" customFormat="1" x14ac:dyDescent="0.3"/>
    <row r="49001" s="160" customFormat="1" x14ac:dyDescent="0.3"/>
    <row r="49002" s="160" customFormat="1" x14ac:dyDescent="0.3"/>
    <row r="49003" s="160" customFormat="1" x14ac:dyDescent="0.3"/>
    <row r="49004" s="160" customFormat="1" x14ac:dyDescent="0.3"/>
    <row r="49005" s="160" customFormat="1" x14ac:dyDescent="0.3"/>
    <row r="49006" s="160" customFormat="1" x14ac:dyDescent="0.3"/>
    <row r="49007" s="160" customFormat="1" x14ac:dyDescent="0.3"/>
    <row r="49008" s="160" customFormat="1" x14ac:dyDescent="0.3"/>
    <row r="49009" s="160" customFormat="1" x14ac:dyDescent="0.3"/>
    <row r="49010" s="160" customFormat="1" x14ac:dyDescent="0.3"/>
    <row r="49011" s="160" customFormat="1" x14ac:dyDescent="0.3"/>
    <row r="49012" s="160" customFormat="1" x14ac:dyDescent="0.3"/>
    <row r="49013" s="160" customFormat="1" x14ac:dyDescent="0.3"/>
    <row r="49014" s="160" customFormat="1" x14ac:dyDescent="0.3"/>
    <row r="49015" s="160" customFormat="1" x14ac:dyDescent="0.3"/>
    <row r="49016" s="160" customFormat="1" x14ac:dyDescent="0.3"/>
    <row r="49017" s="160" customFormat="1" x14ac:dyDescent="0.3"/>
    <row r="49018" s="160" customFormat="1" x14ac:dyDescent="0.3"/>
    <row r="49019" s="160" customFormat="1" x14ac:dyDescent="0.3"/>
    <row r="49020" s="160" customFormat="1" x14ac:dyDescent="0.3"/>
    <row r="49021" s="160" customFormat="1" x14ac:dyDescent="0.3"/>
    <row r="49022" s="160" customFormat="1" x14ac:dyDescent="0.3"/>
    <row r="49023" s="160" customFormat="1" x14ac:dyDescent="0.3"/>
    <row r="49024" s="160" customFormat="1" x14ac:dyDescent="0.3"/>
    <row r="49025" s="160" customFormat="1" x14ac:dyDescent="0.3"/>
    <row r="49026" s="160" customFormat="1" x14ac:dyDescent="0.3"/>
    <row r="49027" s="160" customFormat="1" x14ac:dyDescent="0.3"/>
    <row r="49028" s="160" customFormat="1" x14ac:dyDescent="0.3"/>
    <row r="49029" s="160" customFormat="1" x14ac:dyDescent="0.3"/>
    <row r="49030" s="160" customFormat="1" x14ac:dyDescent="0.3"/>
    <row r="49031" s="160" customFormat="1" x14ac:dyDescent="0.3"/>
    <row r="49032" s="160" customFormat="1" x14ac:dyDescent="0.3"/>
    <row r="49033" s="160" customFormat="1" x14ac:dyDescent="0.3"/>
    <row r="49034" s="160" customFormat="1" x14ac:dyDescent="0.3"/>
    <row r="49035" s="160" customFormat="1" x14ac:dyDescent="0.3"/>
    <row r="49036" s="160" customFormat="1" x14ac:dyDescent="0.3"/>
    <row r="49037" s="160" customFormat="1" x14ac:dyDescent="0.3"/>
    <row r="49038" s="160" customFormat="1" x14ac:dyDescent="0.3"/>
    <row r="49039" s="160" customFormat="1" x14ac:dyDescent="0.3"/>
    <row r="49040" s="160" customFormat="1" x14ac:dyDescent="0.3"/>
    <row r="49041" s="160" customFormat="1" x14ac:dyDescent="0.3"/>
    <row r="49042" s="160" customFormat="1" x14ac:dyDescent="0.3"/>
    <row r="49043" s="160" customFormat="1" x14ac:dyDescent="0.3"/>
    <row r="49044" s="160" customFormat="1" x14ac:dyDescent="0.3"/>
    <row r="49045" s="160" customFormat="1" x14ac:dyDescent="0.3"/>
    <row r="49046" s="160" customFormat="1" x14ac:dyDescent="0.3"/>
    <row r="49047" s="160" customFormat="1" x14ac:dyDescent="0.3"/>
    <row r="49048" s="160" customFormat="1" x14ac:dyDescent="0.3"/>
    <row r="49049" s="160" customFormat="1" x14ac:dyDescent="0.3"/>
    <row r="49050" s="160" customFormat="1" x14ac:dyDescent="0.3"/>
    <row r="49051" s="160" customFormat="1" x14ac:dyDescent="0.3"/>
    <row r="49052" s="160" customFormat="1" x14ac:dyDescent="0.3"/>
    <row r="49053" s="160" customFormat="1" x14ac:dyDescent="0.3"/>
    <row r="49054" s="160" customFormat="1" x14ac:dyDescent="0.3"/>
    <row r="49055" s="160" customFormat="1" x14ac:dyDescent="0.3"/>
    <row r="49056" s="160" customFormat="1" x14ac:dyDescent="0.3"/>
    <row r="49057" s="160" customFormat="1" x14ac:dyDescent="0.3"/>
    <row r="49058" s="160" customFormat="1" x14ac:dyDescent="0.3"/>
    <row r="49059" s="160" customFormat="1" x14ac:dyDescent="0.3"/>
    <row r="49060" s="160" customFormat="1" x14ac:dyDescent="0.3"/>
    <row r="49061" s="160" customFormat="1" x14ac:dyDescent="0.3"/>
    <row r="49062" s="160" customFormat="1" x14ac:dyDescent="0.3"/>
    <row r="49063" s="160" customFormat="1" x14ac:dyDescent="0.3"/>
    <row r="49064" s="160" customFormat="1" x14ac:dyDescent="0.3"/>
    <row r="49065" s="160" customFormat="1" x14ac:dyDescent="0.3"/>
    <row r="49066" s="160" customFormat="1" x14ac:dyDescent="0.3"/>
    <row r="49067" s="160" customFormat="1" x14ac:dyDescent="0.3"/>
    <row r="49068" s="160" customFormat="1" x14ac:dyDescent="0.3"/>
    <row r="49069" s="160" customFormat="1" x14ac:dyDescent="0.3"/>
    <row r="49070" s="160" customFormat="1" x14ac:dyDescent="0.3"/>
    <row r="49071" s="160" customFormat="1" x14ac:dyDescent="0.3"/>
    <row r="49072" s="160" customFormat="1" x14ac:dyDescent="0.3"/>
    <row r="49073" s="160" customFormat="1" x14ac:dyDescent="0.3"/>
    <row r="49074" s="160" customFormat="1" x14ac:dyDescent="0.3"/>
    <row r="49075" s="160" customFormat="1" x14ac:dyDescent="0.3"/>
    <row r="49076" s="160" customFormat="1" x14ac:dyDescent="0.3"/>
    <row r="49077" s="160" customFormat="1" x14ac:dyDescent="0.3"/>
    <row r="49078" s="160" customFormat="1" x14ac:dyDescent="0.3"/>
    <row r="49079" s="160" customFormat="1" x14ac:dyDescent="0.3"/>
    <row r="49080" s="160" customFormat="1" x14ac:dyDescent="0.3"/>
    <row r="49081" s="160" customFormat="1" x14ac:dyDescent="0.3"/>
    <row r="49082" s="160" customFormat="1" x14ac:dyDescent="0.3"/>
    <row r="49083" s="160" customFormat="1" x14ac:dyDescent="0.3"/>
    <row r="49084" s="160" customFormat="1" x14ac:dyDescent="0.3"/>
    <row r="49085" s="160" customFormat="1" x14ac:dyDescent="0.3"/>
    <row r="49086" s="160" customFormat="1" x14ac:dyDescent="0.3"/>
    <row r="49087" s="160" customFormat="1" x14ac:dyDescent="0.3"/>
    <row r="49088" s="160" customFormat="1" x14ac:dyDescent="0.3"/>
    <row r="49089" s="160" customFormat="1" x14ac:dyDescent="0.3"/>
    <row r="49090" s="160" customFormat="1" x14ac:dyDescent="0.3"/>
    <row r="49091" s="160" customFormat="1" x14ac:dyDescent="0.3"/>
    <row r="49092" s="160" customFormat="1" x14ac:dyDescent="0.3"/>
    <row r="49093" s="160" customFormat="1" x14ac:dyDescent="0.3"/>
    <row r="49094" s="160" customFormat="1" x14ac:dyDescent="0.3"/>
    <row r="49095" s="160" customFormat="1" x14ac:dyDescent="0.3"/>
    <row r="49096" s="160" customFormat="1" x14ac:dyDescent="0.3"/>
    <row r="49097" s="160" customFormat="1" x14ac:dyDescent="0.3"/>
    <row r="49098" s="160" customFormat="1" x14ac:dyDescent="0.3"/>
    <row r="49099" s="160" customFormat="1" x14ac:dyDescent="0.3"/>
    <row r="49100" s="160" customFormat="1" x14ac:dyDescent="0.3"/>
    <row r="49101" s="160" customFormat="1" x14ac:dyDescent="0.3"/>
    <row r="49102" s="160" customFormat="1" x14ac:dyDescent="0.3"/>
    <row r="49103" s="160" customFormat="1" x14ac:dyDescent="0.3"/>
    <row r="49104" s="160" customFormat="1" x14ac:dyDescent="0.3"/>
    <row r="49105" s="160" customFormat="1" x14ac:dyDescent="0.3"/>
    <row r="49106" s="160" customFormat="1" x14ac:dyDescent="0.3"/>
    <row r="49107" s="160" customFormat="1" x14ac:dyDescent="0.3"/>
    <row r="49108" s="160" customFormat="1" x14ac:dyDescent="0.3"/>
    <row r="49109" s="160" customFormat="1" x14ac:dyDescent="0.3"/>
    <row r="49110" s="160" customFormat="1" x14ac:dyDescent="0.3"/>
    <row r="49111" s="160" customFormat="1" x14ac:dyDescent="0.3"/>
    <row r="49112" s="160" customFormat="1" x14ac:dyDescent="0.3"/>
    <row r="49113" s="160" customFormat="1" x14ac:dyDescent="0.3"/>
    <row r="49114" s="160" customFormat="1" x14ac:dyDescent="0.3"/>
    <row r="49115" s="160" customFormat="1" x14ac:dyDescent="0.3"/>
    <row r="49116" s="160" customFormat="1" x14ac:dyDescent="0.3"/>
    <row r="49117" s="160" customFormat="1" x14ac:dyDescent="0.3"/>
    <row r="49118" s="160" customFormat="1" x14ac:dyDescent="0.3"/>
    <row r="49119" s="160" customFormat="1" x14ac:dyDescent="0.3"/>
    <row r="49120" s="160" customFormat="1" x14ac:dyDescent="0.3"/>
    <row r="49121" s="160" customFormat="1" x14ac:dyDescent="0.3"/>
    <row r="49122" s="160" customFormat="1" x14ac:dyDescent="0.3"/>
    <row r="49123" s="160" customFormat="1" x14ac:dyDescent="0.3"/>
    <row r="49124" s="160" customFormat="1" x14ac:dyDescent="0.3"/>
    <row r="49125" s="160" customFormat="1" x14ac:dyDescent="0.3"/>
    <row r="49126" s="160" customFormat="1" x14ac:dyDescent="0.3"/>
    <row r="49127" s="160" customFormat="1" x14ac:dyDescent="0.3"/>
    <row r="49128" s="160" customFormat="1" x14ac:dyDescent="0.3"/>
    <row r="49129" s="160" customFormat="1" x14ac:dyDescent="0.3"/>
    <row r="49130" s="160" customFormat="1" x14ac:dyDescent="0.3"/>
    <row r="49131" s="160" customFormat="1" x14ac:dyDescent="0.3"/>
    <row r="49132" s="160" customFormat="1" x14ac:dyDescent="0.3"/>
    <row r="49133" s="160" customFormat="1" x14ac:dyDescent="0.3"/>
    <row r="49134" s="160" customFormat="1" x14ac:dyDescent="0.3"/>
    <row r="49135" s="160" customFormat="1" x14ac:dyDescent="0.3"/>
    <row r="49136" s="160" customFormat="1" x14ac:dyDescent="0.3"/>
    <row r="49137" s="160" customFormat="1" x14ac:dyDescent="0.3"/>
    <row r="49138" s="160" customFormat="1" x14ac:dyDescent="0.3"/>
    <row r="49139" s="160" customFormat="1" x14ac:dyDescent="0.3"/>
    <row r="49140" s="160" customFormat="1" x14ac:dyDescent="0.3"/>
    <row r="49141" s="160" customFormat="1" x14ac:dyDescent="0.3"/>
    <row r="49142" s="160" customFormat="1" x14ac:dyDescent="0.3"/>
    <row r="49143" s="160" customFormat="1" x14ac:dyDescent="0.3"/>
    <row r="49144" s="160" customFormat="1" x14ac:dyDescent="0.3"/>
    <row r="49145" s="160" customFormat="1" x14ac:dyDescent="0.3"/>
    <row r="49146" s="160" customFormat="1" x14ac:dyDescent="0.3"/>
    <row r="49147" s="160" customFormat="1" x14ac:dyDescent="0.3"/>
    <row r="49148" s="160" customFormat="1" x14ac:dyDescent="0.3"/>
    <row r="49149" s="160" customFormat="1" x14ac:dyDescent="0.3"/>
    <row r="49150" s="160" customFormat="1" x14ac:dyDescent="0.3"/>
    <row r="49151" s="160" customFormat="1" x14ac:dyDescent="0.3"/>
    <row r="49152" s="160" customFormat="1" x14ac:dyDescent="0.3"/>
    <row r="49153" s="160" customFormat="1" x14ac:dyDescent="0.3"/>
    <row r="49154" s="160" customFormat="1" x14ac:dyDescent="0.3"/>
    <row r="49155" s="160" customFormat="1" x14ac:dyDescent="0.3"/>
    <row r="49156" s="160" customFormat="1" x14ac:dyDescent="0.3"/>
    <row r="49157" s="160" customFormat="1" x14ac:dyDescent="0.3"/>
    <row r="49158" s="160" customFormat="1" x14ac:dyDescent="0.3"/>
    <row r="49159" s="160" customFormat="1" x14ac:dyDescent="0.3"/>
    <row r="49160" s="160" customFormat="1" x14ac:dyDescent="0.3"/>
    <row r="49161" s="160" customFormat="1" x14ac:dyDescent="0.3"/>
    <row r="49162" s="160" customFormat="1" x14ac:dyDescent="0.3"/>
    <row r="49163" s="160" customFormat="1" x14ac:dyDescent="0.3"/>
    <row r="49164" s="160" customFormat="1" x14ac:dyDescent="0.3"/>
    <row r="49165" s="160" customFormat="1" x14ac:dyDescent="0.3"/>
    <row r="49166" s="160" customFormat="1" x14ac:dyDescent="0.3"/>
    <row r="49167" s="160" customFormat="1" x14ac:dyDescent="0.3"/>
    <row r="49168" s="160" customFormat="1" x14ac:dyDescent="0.3"/>
    <row r="49169" s="160" customFormat="1" x14ac:dyDescent="0.3"/>
    <row r="49170" s="160" customFormat="1" x14ac:dyDescent="0.3"/>
    <row r="49171" s="160" customFormat="1" x14ac:dyDescent="0.3"/>
    <row r="49172" s="160" customFormat="1" x14ac:dyDescent="0.3"/>
    <row r="49173" s="160" customFormat="1" x14ac:dyDescent="0.3"/>
    <row r="49174" s="160" customFormat="1" x14ac:dyDescent="0.3"/>
    <row r="49175" s="160" customFormat="1" x14ac:dyDescent="0.3"/>
    <row r="49176" s="160" customFormat="1" x14ac:dyDescent="0.3"/>
    <row r="49177" s="160" customFormat="1" x14ac:dyDescent="0.3"/>
    <row r="49178" s="160" customFormat="1" x14ac:dyDescent="0.3"/>
    <row r="49179" s="160" customFormat="1" x14ac:dyDescent="0.3"/>
    <row r="49180" s="160" customFormat="1" x14ac:dyDescent="0.3"/>
    <row r="49181" s="160" customFormat="1" x14ac:dyDescent="0.3"/>
    <row r="49182" s="160" customFormat="1" x14ac:dyDescent="0.3"/>
    <row r="49183" s="160" customFormat="1" x14ac:dyDescent="0.3"/>
    <row r="49184" s="160" customFormat="1" x14ac:dyDescent="0.3"/>
    <row r="49185" s="160" customFormat="1" x14ac:dyDescent="0.3"/>
    <row r="49186" s="160" customFormat="1" x14ac:dyDescent="0.3"/>
    <row r="49187" s="160" customFormat="1" x14ac:dyDescent="0.3"/>
    <row r="49188" s="160" customFormat="1" x14ac:dyDescent="0.3"/>
    <row r="49189" s="160" customFormat="1" x14ac:dyDescent="0.3"/>
    <row r="49190" s="160" customFormat="1" x14ac:dyDescent="0.3"/>
    <row r="49191" s="160" customFormat="1" x14ac:dyDescent="0.3"/>
    <row r="49192" s="160" customFormat="1" x14ac:dyDescent="0.3"/>
    <row r="49193" s="160" customFormat="1" x14ac:dyDescent="0.3"/>
    <row r="49194" s="160" customFormat="1" x14ac:dyDescent="0.3"/>
    <row r="49195" s="160" customFormat="1" x14ac:dyDescent="0.3"/>
    <row r="49196" s="160" customFormat="1" x14ac:dyDescent="0.3"/>
    <row r="49197" s="160" customFormat="1" x14ac:dyDescent="0.3"/>
    <row r="49198" s="160" customFormat="1" x14ac:dyDescent="0.3"/>
    <row r="49199" s="160" customFormat="1" x14ac:dyDescent="0.3"/>
    <row r="49200" s="160" customFormat="1" x14ac:dyDescent="0.3"/>
    <row r="49201" s="160" customFormat="1" x14ac:dyDescent="0.3"/>
    <row r="49202" s="160" customFormat="1" x14ac:dyDescent="0.3"/>
    <row r="49203" s="160" customFormat="1" x14ac:dyDescent="0.3"/>
    <row r="49204" s="160" customFormat="1" x14ac:dyDescent="0.3"/>
    <row r="49205" s="160" customFormat="1" x14ac:dyDescent="0.3"/>
    <row r="49206" s="160" customFormat="1" x14ac:dyDescent="0.3"/>
    <row r="49207" s="160" customFormat="1" x14ac:dyDescent="0.3"/>
    <row r="49208" s="160" customFormat="1" x14ac:dyDescent="0.3"/>
    <row r="49209" s="160" customFormat="1" x14ac:dyDescent="0.3"/>
    <row r="49210" s="160" customFormat="1" x14ac:dyDescent="0.3"/>
    <row r="49211" s="160" customFormat="1" x14ac:dyDescent="0.3"/>
    <row r="49212" s="160" customFormat="1" x14ac:dyDescent="0.3"/>
    <row r="49213" s="160" customFormat="1" x14ac:dyDescent="0.3"/>
    <row r="49214" s="160" customFormat="1" x14ac:dyDescent="0.3"/>
    <row r="49215" s="160" customFormat="1" x14ac:dyDescent="0.3"/>
    <row r="49216" s="160" customFormat="1" x14ac:dyDescent="0.3"/>
    <row r="49217" s="160" customFormat="1" x14ac:dyDescent="0.3"/>
    <row r="49218" s="160" customFormat="1" x14ac:dyDescent="0.3"/>
    <row r="49219" s="160" customFormat="1" x14ac:dyDescent="0.3"/>
    <row r="49220" s="160" customFormat="1" x14ac:dyDescent="0.3"/>
    <row r="49221" s="160" customFormat="1" x14ac:dyDescent="0.3"/>
    <row r="49222" s="160" customFormat="1" x14ac:dyDescent="0.3"/>
    <row r="49223" s="160" customFormat="1" x14ac:dyDescent="0.3"/>
    <row r="49224" s="160" customFormat="1" x14ac:dyDescent="0.3"/>
    <row r="49225" s="160" customFormat="1" x14ac:dyDescent="0.3"/>
    <row r="49226" s="160" customFormat="1" x14ac:dyDescent="0.3"/>
    <row r="49227" s="160" customFormat="1" x14ac:dyDescent="0.3"/>
    <row r="49228" s="160" customFormat="1" x14ac:dyDescent="0.3"/>
    <row r="49229" s="160" customFormat="1" x14ac:dyDescent="0.3"/>
    <row r="49230" s="160" customFormat="1" x14ac:dyDescent="0.3"/>
    <row r="49231" s="160" customFormat="1" x14ac:dyDescent="0.3"/>
    <row r="49232" s="160" customFormat="1" x14ac:dyDescent="0.3"/>
    <row r="49233" s="160" customFormat="1" x14ac:dyDescent="0.3"/>
    <row r="49234" s="160" customFormat="1" x14ac:dyDescent="0.3"/>
    <row r="49235" s="160" customFormat="1" x14ac:dyDescent="0.3"/>
    <row r="49236" s="160" customFormat="1" x14ac:dyDescent="0.3"/>
    <row r="49237" s="160" customFormat="1" x14ac:dyDescent="0.3"/>
    <row r="49238" s="160" customFormat="1" x14ac:dyDescent="0.3"/>
    <row r="49239" s="160" customFormat="1" x14ac:dyDescent="0.3"/>
    <row r="49240" s="160" customFormat="1" x14ac:dyDescent="0.3"/>
    <row r="49241" s="160" customFormat="1" x14ac:dyDescent="0.3"/>
    <row r="49242" s="160" customFormat="1" x14ac:dyDescent="0.3"/>
    <row r="49243" s="160" customFormat="1" x14ac:dyDescent="0.3"/>
    <row r="49244" s="160" customFormat="1" x14ac:dyDescent="0.3"/>
    <row r="49245" s="160" customFormat="1" x14ac:dyDescent="0.3"/>
    <row r="49246" s="160" customFormat="1" x14ac:dyDescent="0.3"/>
    <row r="49247" s="160" customFormat="1" x14ac:dyDescent="0.3"/>
    <row r="49248" s="160" customFormat="1" x14ac:dyDescent="0.3"/>
    <row r="49249" s="160" customFormat="1" x14ac:dyDescent="0.3"/>
    <row r="49250" s="160" customFormat="1" x14ac:dyDescent="0.3"/>
    <row r="49251" s="160" customFormat="1" x14ac:dyDescent="0.3"/>
    <row r="49252" s="160" customFormat="1" x14ac:dyDescent="0.3"/>
    <row r="49253" s="160" customFormat="1" x14ac:dyDescent="0.3"/>
    <row r="49254" s="160" customFormat="1" x14ac:dyDescent="0.3"/>
    <row r="49255" s="160" customFormat="1" x14ac:dyDescent="0.3"/>
    <row r="49256" s="160" customFormat="1" x14ac:dyDescent="0.3"/>
    <row r="49257" s="160" customFormat="1" x14ac:dyDescent="0.3"/>
    <row r="49258" s="160" customFormat="1" x14ac:dyDescent="0.3"/>
    <row r="49259" s="160" customFormat="1" x14ac:dyDescent="0.3"/>
    <row r="49260" s="160" customFormat="1" x14ac:dyDescent="0.3"/>
    <row r="49261" s="160" customFormat="1" x14ac:dyDescent="0.3"/>
    <row r="49262" s="160" customFormat="1" x14ac:dyDescent="0.3"/>
    <row r="49263" s="160" customFormat="1" x14ac:dyDescent="0.3"/>
    <row r="49264" s="160" customFormat="1" x14ac:dyDescent="0.3"/>
    <row r="49265" s="160" customFormat="1" x14ac:dyDescent="0.3"/>
    <row r="49266" s="160" customFormat="1" x14ac:dyDescent="0.3"/>
    <row r="49267" s="160" customFormat="1" x14ac:dyDescent="0.3"/>
    <row r="49268" s="160" customFormat="1" x14ac:dyDescent="0.3"/>
    <row r="49269" s="160" customFormat="1" x14ac:dyDescent="0.3"/>
    <row r="49270" s="160" customFormat="1" x14ac:dyDescent="0.3"/>
    <row r="49271" s="160" customFormat="1" x14ac:dyDescent="0.3"/>
    <row r="49272" s="160" customFormat="1" x14ac:dyDescent="0.3"/>
    <row r="49273" s="160" customFormat="1" x14ac:dyDescent="0.3"/>
    <row r="49274" s="160" customFormat="1" x14ac:dyDescent="0.3"/>
    <row r="49275" s="160" customFormat="1" x14ac:dyDescent="0.3"/>
    <row r="49276" s="160" customFormat="1" x14ac:dyDescent="0.3"/>
    <row r="49277" s="160" customFormat="1" x14ac:dyDescent="0.3"/>
    <row r="49278" s="160" customFormat="1" x14ac:dyDescent="0.3"/>
    <row r="49279" s="160" customFormat="1" x14ac:dyDescent="0.3"/>
    <row r="49280" s="160" customFormat="1" x14ac:dyDescent="0.3"/>
    <row r="49281" s="160" customFormat="1" x14ac:dyDescent="0.3"/>
    <row r="49282" s="160" customFormat="1" x14ac:dyDescent="0.3"/>
    <row r="49283" s="160" customFormat="1" x14ac:dyDescent="0.3"/>
    <row r="49284" s="160" customFormat="1" x14ac:dyDescent="0.3"/>
    <row r="49285" s="160" customFormat="1" x14ac:dyDescent="0.3"/>
    <row r="49286" s="160" customFormat="1" x14ac:dyDescent="0.3"/>
    <row r="49287" s="160" customFormat="1" x14ac:dyDescent="0.3"/>
    <row r="49288" s="160" customFormat="1" x14ac:dyDescent="0.3"/>
    <row r="49289" s="160" customFormat="1" x14ac:dyDescent="0.3"/>
    <row r="49290" s="160" customFormat="1" x14ac:dyDescent="0.3"/>
    <row r="49291" s="160" customFormat="1" x14ac:dyDescent="0.3"/>
    <row r="49292" s="160" customFormat="1" x14ac:dyDescent="0.3"/>
    <row r="49293" s="160" customFormat="1" x14ac:dyDescent="0.3"/>
    <row r="49294" s="160" customFormat="1" x14ac:dyDescent="0.3"/>
    <row r="49295" s="160" customFormat="1" x14ac:dyDescent="0.3"/>
    <row r="49296" s="160" customFormat="1" x14ac:dyDescent="0.3"/>
    <row r="49297" s="160" customFormat="1" x14ac:dyDescent="0.3"/>
    <row r="49298" s="160" customFormat="1" x14ac:dyDescent="0.3"/>
    <row r="49299" s="160" customFormat="1" x14ac:dyDescent="0.3"/>
    <row r="49300" s="160" customFormat="1" x14ac:dyDescent="0.3"/>
    <row r="49301" s="160" customFormat="1" x14ac:dyDescent="0.3"/>
    <row r="49302" s="160" customFormat="1" x14ac:dyDescent="0.3"/>
    <row r="49303" s="160" customFormat="1" x14ac:dyDescent="0.3"/>
    <row r="49304" s="160" customFormat="1" x14ac:dyDescent="0.3"/>
    <row r="49305" s="160" customFormat="1" x14ac:dyDescent="0.3"/>
    <row r="49306" s="160" customFormat="1" x14ac:dyDescent="0.3"/>
    <row r="49307" s="160" customFormat="1" x14ac:dyDescent="0.3"/>
    <row r="49308" s="160" customFormat="1" x14ac:dyDescent="0.3"/>
    <row r="49309" s="160" customFormat="1" x14ac:dyDescent="0.3"/>
    <row r="49310" s="160" customFormat="1" x14ac:dyDescent="0.3"/>
    <row r="49311" s="160" customFormat="1" x14ac:dyDescent="0.3"/>
    <row r="49312" s="160" customFormat="1" x14ac:dyDescent="0.3"/>
    <row r="49313" s="160" customFormat="1" x14ac:dyDescent="0.3"/>
    <row r="49314" s="160" customFormat="1" x14ac:dyDescent="0.3"/>
    <row r="49315" s="160" customFormat="1" x14ac:dyDescent="0.3"/>
    <row r="49316" s="160" customFormat="1" x14ac:dyDescent="0.3"/>
    <row r="49317" s="160" customFormat="1" x14ac:dyDescent="0.3"/>
    <row r="49318" s="160" customFormat="1" x14ac:dyDescent="0.3"/>
    <row r="49319" s="160" customFormat="1" x14ac:dyDescent="0.3"/>
    <row r="49320" s="160" customFormat="1" x14ac:dyDescent="0.3"/>
    <row r="49321" s="160" customFormat="1" x14ac:dyDescent="0.3"/>
    <row r="49322" s="160" customFormat="1" x14ac:dyDescent="0.3"/>
    <row r="49323" s="160" customFormat="1" x14ac:dyDescent="0.3"/>
    <row r="49324" s="160" customFormat="1" x14ac:dyDescent="0.3"/>
    <row r="49325" s="160" customFormat="1" x14ac:dyDescent="0.3"/>
    <row r="49326" s="160" customFormat="1" x14ac:dyDescent="0.3"/>
    <row r="49327" s="160" customFormat="1" x14ac:dyDescent="0.3"/>
    <row r="49328" s="160" customFormat="1" x14ac:dyDescent="0.3"/>
    <row r="49329" s="160" customFormat="1" x14ac:dyDescent="0.3"/>
    <row r="49330" s="160" customFormat="1" x14ac:dyDescent="0.3"/>
    <row r="49331" s="160" customFormat="1" x14ac:dyDescent="0.3"/>
    <row r="49332" s="160" customFormat="1" x14ac:dyDescent="0.3"/>
    <row r="49333" s="160" customFormat="1" x14ac:dyDescent="0.3"/>
    <row r="49334" s="160" customFormat="1" x14ac:dyDescent="0.3"/>
    <row r="49335" s="160" customFormat="1" x14ac:dyDescent="0.3"/>
    <row r="49336" s="160" customFormat="1" x14ac:dyDescent="0.3"/>
    <row r="49337" s="160" customFormat="1" x14ac:dyDescent="0.3"/>
    <row r="49338" s="160" customFormat="1" x14ac:dyDescent="0.3"/>
    <row r="49339" s="160" customFormat="1" x14ac:dyDescent="0.3"/>
    <row r="49340" s="160" customFormat="1" x14ac:dyDescent="0.3"/>
    <row r="49341" s="160" customFormat="1" x14ac:dyDescent="0.3"/>
    <row r="49342" s="160" customFormat="1" x14ac:dyDescent="0.3"/>
    <row r="49343" s="160" customFormat="1" x14ac:dyDescent="0.3"/>
    <row r="49344" s="160" customFormat="1" x14ac:dyDescent="0.3"/>
    <row r="49345" s="160" customFormat="1" x14ac:dyDescent="0.3"/>
    <row r="49346" s="160" customFormat="1" x14ac:dyDescent="0.3"/>
    <row r="49347" s="160" customFormat="1" x14ac:dyDescent="0.3"/>
    <row r="49348" s="160" customFormat="1" x14ac:dyDescent="0.3"/>
    <row r="49349" s="160" customFormat="1" x14ac:dyDescent="0.3"/>
    <row r="49350" s="160" customFormat="1" x14ac:dyDescent="0.3"/>
    <row r="49351" s="160" customFormat="1" x14ac:dyDescent="0.3"/>
    <row r="49352" s="160" customFormat="1" x14ac:dyDescent="0.3"/>
    <row r="49353" s="160" customFormat="1" x14ac:dyDescent="0.3"/>
    <row r="49354" s="160" customFormat="1" x14ac:dyDescent="0.3"/>
    <row r="49355" s="160" customFormat="1" x14ac:dyDescent="0.3"/>
    <row r="49356" s="160" customFormat="1" x14ac:dyDescent="0.3"/>
    <row r="49357" s="160" customFormat="1" x14ac:dyDescent="0.3"/>
    <row r="49358" s="160" customFormat="1" x14ac:dyDescent="0.3"/>
    <row r="49359" s="160" customFormat="1" x14ac:dyDescent="0.3"/>
    <row r="49360" s="160" customFormat="1" x14ac:dyDescent="0.3"/>
    <row r="49361" s="160" customFormat="1" x14ac:dyDescent="0.3"/>
    <row r="49362" s="160" customFormat="1" x14ac:dyDescent="0.3"/>
    <row r="49363" s="160" customFormat="1" x14ac:dyDescent="0.3"/>
    <row r="49364" s="160" customFormat="1" x14ac:dyDescent="0.3"/>
    <row r="49365" s="160" customFormat="1" x14ac:dyDescent="0.3"/>
    <row r="49366" s="160" customFormat="1" x14ac:dyDescent="0.3"/>
    <row r="49367" s="160" customFormat="1" x14ac:dyDescent="0.3"/>
    <row r="49368" s="160" customFormat="1" x14ac:dyDescent="0.3"/>
    <row r="49369" s="160" customFormat="1" x14ac:dyDescent="0.3"/>
    <row r="49370" s="160" customFormat="1" x14ac:dyDescent="0.3"/>
    <row r="49371" s="160" customFormat="1" x14ac:dyDescent="0.3"/>
    <row r="49372" s="160" customFormat="1" x14ac:dyDescent="0.3"/>
    <row r="49373" s="160" customFormat="1" x14ac:dyDescent="0.3"/>
    <row r="49374" s="160" customFormat="1" x14ac:dyDescent="0.3"/>
    <row r="49375" s="160" customFormat="1" x14ac:dyDescent="0.3"/>
    <row r="49376" s="160" customFormat="1" x14ac:dyDescent="0.3"/>
    <row r="49377" s="160" customFormat="1" x14ac:dyDescent="0.3"/>
    <row r="49378" s="160" customFormat="1" x14ac:dyDescent="0.3"/>
    <row r="49379" s="160" customFormat="1" x14ac:dyDescent="0.3"/>
    <row r="49380" s="160" customFormat="1" x14ac:dyDescent="0.3"/>
    <row r="49381" s="160" customFormat="1" x14ac:dyDescent="0.3"/>
    <row r="49382" s="160" customFormat="1" x14ac:dyDescent="0.3"/>
    <row r="49383" s="160" customFormat="1" x14ac:dyDescent="0.3"/>
    <row r="49384" s="160" customFormat="1" x14ac:dyDescent="0.3"/>
    <row r="49385" s="160" customFormat="1" x14ac:dyDescent="0.3"/>
    <row r="49386" s="160" customFormat="1" x14ac:dyDescent="0.3"/>
    <row r="49387" s="160" customFormat="1" x14ac:dyDescent="0.3"/>
    <row r="49388" s="160" customFormat="1" x14ac:dyDescent="0.3"/>
    <row r="49389" s="160" customFormat="1" x14ac:dyDescent="0.3"/>
    <row r="49390" s="160" customFormat="1" x14ac:dyDescent="0.3"/>
    <row r="49391" s="160" customFormat="1" x14ac:dyDescent="0.3"/>
    <row r="49392" s="160" customFormat="1" x14ac:dyDescent="0.3"/>
    <row r="49393" s="160" customFormat="1" x14ac:dyDescent="0.3"/>
    <row r="49394" s="160" customFormat="1" x14ac:dyDescent="0.3"/>
    <row r="49395" s="160" customFormat="1" x14ac:dyDescent="0.3"/>
    <row r="49396" s="160" customFormat="1" x14ac:dyDescent="0.3"/>
    <row r="49397" s="160" customFormat="1" x14ac:dyDescent="0.3"/>
    <row r="49398" s="160" customFormat="1" x14ac:dyDescent="0.3"/>
    <row r="49399" s="160" customFormat="1" x14ac:dyDescent="0.3"/>
    <row r="49400" s="160" customFormat="1" x14ac:dyDescent="0.3"/>
    <row r="49401" s="160" customFormat="1" x14ac:dyDescent="0.3"/>
    <row r="49402" s="160" customFormat="1" x14ac:dyDescent="0.3"/>
    <row r="49403" s="160" customFormat="1" x14ac:dyDescent="0.3"/>
    <row r="49404" s="160" customFormat="1" x14ac:dyDescent="0.3"/>
    <row r="49405" s="160" customFormat="1" x14ac:dyDescent="0.3"/>
    <row r="49406" s="160" customFormat="1" x14ac:dyDescent="0.3"/>
    <row r="49407" s="160" customFormat="1" x14ac:dyDescent="0.3"/>
    <row r="49408" s="160" customFormat="1" x14ac:dyDescent="0.3"/>
    <row r="49409" s="160" customFormat="1" x14ac:dyDescent="0.3"/>
    <row r="49410" s="160" customFormat="1" x14ac:dyDescent="0.3"/>
    <row r="49411" s="160" customFormat="1" x14ac:dyDescent="0.3"/>
    <row r="49412" s="160" customFormat="1" x14ac:dyDescent="0.3"/>
    <row r="49413" s="160" customFormat="1" x14ac:dyDescent="0.3"/>
    <row r="49414" s="160" customFormat="1" x14ac:dyDescent="0.3"/>
    <row r="49415" s="160" customFormat="1" x14ac:dyDescent="0.3"/>
    <row r="49416" s="160" customFormat="1" x14ac:dyDescent="0.3"/>
    <row r="49417" s="160" customFormat="1" x14ac:dyDescent="0.3"/>
    <row r="49418" s="160" customFormat="1" x14ac:dyDescent="0.3"/>
    <row r="49419" s="160" customFormat="1" x14ac:dyDescent="0.3"/>
    <row r="49420" s="160" customFormat="1" x14ac:dyDescent="0.3"/>
    <row r="49421" s="160" customFormat="1" x14ac:dyDescent="0.3"/>
    <row r="49422" s="160" customFormat="1" x14ac:dyDescent="0.3"/>
    <row r="49423" s="160" customFormat="1" x14ac:dyDescent="0.3"/>
    <row r="49424" s="160" customFormat="1" x14ac:dyDescent="0.3"/>
    <row r="49425" s="160" customFormat="1" x14ac:dyDescent="0.3"/>
    <row r="49426" s="160" customFormat="1" x14ac:dyDescent="0.3"/>
    <row r="49427" s="160" customFormat="1" x14ac:dyDescent="0.3"/>
    <row r="49428" s="160" customFormat="1" x14ac:dyDescent="0.3"/>
    <row r="49429" s="160" customFormat="1" x14ac:dyDescent="0.3"/>
    <row r="49430" s="160" customFormat="1" x14ac:dyDescent="0.3"/>
    <row r="49431" s="160" customFormat="1" x14ac:dyDescent="0.3"/>
    <row r="49432" s="160" customFormat="1" x14ac:dyDescent="0.3"/>
    <row r="49433" s="160" customFormat="1" x14ac:dyDescent="0.3"/>
    <row r="49434" s="160" customFormat="1" x14ac:dyDescent="0.3"/>
    <row r="49435" s="160" customFormat="1" x14ac:dyDescent="0.3"/>
    <row r="49436" s="160" customFormat="1" x14ac:dyDescent="0.3"/>
    <row r="49437" s="160" customFormat="1" x14ac:dyDescent="0.3"/>
    <row r="49438" s="160" customFormat="1" x14ac:dyDescent="0.3"/>
    <row r="49439" s="160" customFormat="1" x14ac:dyDescent="0.3"/>
    <row r="49440" s="160" customFormat="1" x14ac:dyDescent="0.3"/>
    <row r="49441" s="160" customFormat="1" x14ac:dyDescent="0.3"/>
    <row r="49442" s="160" customFormat="1" x14ac:dyDescent="0.3"/>
    <row r="49443" s="160" customFormat="1" x14ac:dyDescent="0.3"/>
    <row r="49444" s="160" customFormat="1" x14ac:dyDescent="0.3"/>
    <row r="49445" s="160" customFormat="1" x14ac:dyDescent="0.3"/>
    <row r="49446" s="160" customFormat="1" x14ac:dyDescent="0.3"/>
    <row r="49447" s="160" customFormat="1" x14ac:dyDescent="0.3"/>
    <row r="49448" s="160" customFormat="1" x14ac:dyDescent="0.3"/>
    <row r="49449" s="160" customFormat="1" x14ac:dyDescent="0.3"/>
    <row r="49450" s="160" customFormat="1" x14ac:dyDescent="0.3"/>
    <row r="49451" s="160" customFormat="1" x14ac:dyDescent="0.3"/>
    <row r="49452" s="160" customFormat="1" x14ac:dyDescent="0.3"/>
    <row r="49453" s="160" customFormat="1" x14ac:dyDescent="0.3"/>
    <row r="49454" s="160" customFormat="1" x14ac:dyDescent="0.3"/>
    <row r="49455" s="160" customFormat="1" x14ac:dyDescent="0.3"/>
    <row r="49456" s="160" customFormat="1" x14ac:dyDescent="0.3"/>
    <row r="49457" s="160" customFormat="1" x14ac:dyDescent="0.3"/>
    <row r="49458" s="160" customFormat="1" x14ac:dyDescent="0.3"/>
    <row r="49459" s="160" customFormat="1" x14ac:dyDescent="0.3"/>
    <row r="49460" s="160" customFormat="1" x14ac:dyDescent="0.3"/>
    <row r="49461" s="160" customFormat="1" x14ac:dyDescent="0.3"/>
    <row r="49462" s="160" customFormat="1" x14ac:dyDescent="0.3"/>
    <row r="49463" s="160" customFormat="1" x14ac:dyDescent="0.3"/>
    <row r="49464" s="160" customFormat="1" x14ac:dyDescent="0.3"/>
    <row r="49465" s="160" customFormat="1" x14ac:dyDescent="0.3"/>
    <row r="49466" s="160" customFormat="1" x14ac:dyDescent="0.3"/>
    <row r="49467" s="160" customFormat="1" x14ac:dyDescent="0.3"/>
    <row r="49468" s="160" customFormat="1" x14ac:dyDescent="0.3"/>
    <row r="49469" s="160" customFormat="1" x14ac:dyDescent="0.3"/>
    <row r="49470" s="160" customFormat="1" x14ac:dyDescent="0.3"/>
    <row r="49471" s="160" customFormat="1" x14ac:dyDescent="0.3"/>
    <row r="49472" s="160" customFormat="1" x14ac:dyDescent="0.3"/>
    <row r="49473" s="160" customFormat="1" x14ac:dyDescent="0.3"/>
    <row r="49474" s="160" customFormat="1" x14ac:dyDescent="0.3"/>
    <row r="49475" s="160" customFormat="1" x14ac:dyDescent="0.3"/>
    <row r="49476" s="160" customFormat="1" x14ac:dyDescent="0.3"/>
    <row r="49477" s="160" customFormat="1" x14ac:dyDescent="0.3"/>
    <row r="49478" s="160" customFormat="1" x14ac:dyDescent="0.3"/>
    <row r="49479" s="160" customFormat="1" x14ac:dyDescent="0.3"/>
    <row r="49480" s="160" customFormat="1" x14ac:dyDescent="0.3"/>
    <row r="49481" s="160" customFormat="1" x14ac:dyDescent="0.3"/>
    <row r="49482" s="160" customFormat="1" x14ac:dyDescent="0.3"/>
    <row r="49483" s="160" customFormat="1" x14ac:dyDescent="0.3"/>
    <row r="49484" s="160" customFormat="1" x14ac:dyDescent="0.3"/>
    <row r="49485" s="160" customFormat="1" x14ac:dyDescent="0.3"/>
    <row r="49486" s="160" customFormat="1" x14ac:dyDescent="0.3"/>
    <row r="49487" s="160" customFormat="1" x14ac:dyDescent="0.3"/>
    <row r="49488" s="160" customFormat="1" x14ac:dyDescent="0.3"/>
    <row r="49489" s="160" customFormat="1" x14ac:dyDescent="0.3"/>
    <row r="49490" s="160" customFormat="1" x14ac:dyDescent="0.3"/>
    <row r="49491" s="160" customFormat="1" x14ac:dyDescent="0.3"/>
    <row r="49492" s="160" customFormat="1" x14ac:dyDescent="0.3"/>
    <row r="49493" s="160" customFormat="1" x14ac:dyDescent="0.3"/>
    <row r="49494" s="160" customFormat="1" x14ac:dyDescent="0.3"/>
    <row r="49495" s="160" customFormat="1" x14ac:dyDescent="0.3"/>
    <row r="49496" s="160" customFormat="1" x14ac:dyDescent="0.3"/>
    <row r="49497" s="160" customFormat="1" x14ac:dyDescent="0.3"/>
    <row r="49498" s="160" customFormat="1" x14ac:dyDescent="0.3"/>
    <row r="49499" s="160" customFormat="1" x14ac:dyDescent="0.3"/>
    <row r="49500" s="160" customFormat="1" x14ac:dyDescent="0.3"/>
    <row r="49501" s="160" customFormat="1" x14ac:dyDescent="0.3"/>
    <row r="49502" s="160" customFormat="1" x14ac:dyDescent="0.3"/>
    <row r="49503" s="160" customFormat="1" x14ac:dyDescent="0.3"/>
    <row r="49504" s="160" customFormat="1" x14ac:dyDescent="0.3"/>
    <row r="49505" s="160" customFormat="1" x14ac:dyDescent="0.3"/>
    <row r="49506" s="160" customFormat="1" x14ac:dyDescent="0.3"/>
    <row r="49507" s="160" customFormat="1" x14ac:dyDescent="0.3"/>
    <row r="49508" s="160" customFormat="1" x14ac:dyDescent="0.3"/>
    <row r="49509" s="160" customFormat="1" x14ac:dyDescent="0.3"/>
    <row r="49510" s="160" customFormat="1" x14ac:dyDescent="0.3"/>
    <row r="49511" s="160" customFormat="1" x14ac:dyDescent="0.3"/>
    <row r="49512" s="160" customFormat="1" x14ac:dyDescent="0.3"/>
    <row r="49513" s="160" customFormat="1" x14ac:dyDescent="0.3"/>
    <row r="49514" s="160" customFormat="1" x14ac:dyDescent="0.3"/>
    <row r="49515" s="160" customFormat="1" x14ac:dyDescent="0.3"/>
    <row r="49516" s="160" customFormat="1" x14ac:dyDescent="0.3"/>
    <row r="49517" s="160" customFormat="1" x14ac:dyDescent="0.3"/>
    <row r="49518" s="160" customFormat="1" x14ac:dyDescent="0.3"/>
    <row r="49519" s="160" customFormat="1" x14ac:dyDescent="0.3"/>
    <row r="49520" s="160" customFormat="1" x14ac:dyDescent="0.3"/>
    <row r="49521" s="160" customFormat="1" x14ac:dyDescent="0.3"/>
    <row r="49522" s="160" customFormat="1" x14ac:dyDescent="0.3"/>
    <row r="49523" s="160" customFormat="1" x14ac:dyDescent="0.3"/>
    <row r="49524" s="160" customFormat="1" x14ac:dyDescent="0.3"/>
    <row r="49525" s="160" customFormat="1" x14ac:dyDescent="0.3"/>
    <row r="49526" s="160" customFormat="1" x14ac:dyDescent="0.3"/>
    <row r="49527" s="160" customFormat="1" x14ac:dyDescent="0.3"/>
    <row r="49528" s="160" customFormat="1" x14ac:dyDescent="0.3"/>
    <row r="49529" s="160" customFormat="1" x14ac:dyDescent="0.3"/>
    <row r="49530" s="160" customFormat="1" x14ac:dyDescent="0.3"/>
    <row r="49531" s="160" customFormat="1" x14ac:dyDescent="0.3"/>
    <row r="49532" s="160" customFormat="1" x14ac:dyDescent="0.3"/>
    <row r="49533" s="160" customFormat="1" x14ac:dyDescent="0.3"/>
    <row r="49534" s="160" customFormat="1" x14ac:dyDescent="0.3"/>
    <row r="49535" s="160" customFormat="1" x14ac:dyDescent="0.3"/>
    <row r="49536" s="160" customFormat="1" x14ac:dyDescent="0.3"/>
    <row r="49537" s="160" customFormat="1" x14ac:dyDescent="0.3"/>
    <row r="49538" s="160" customFormat="1" x14ac:dyDescent="0.3"/>
    <row r="49539" s="160" customFormat="1" x14ac:dyDescent="0.3"/>
    <row r="49540" s="160" customFormat="1" x14ac:dyDescent="0.3"/>
    <row r="49541" s="160" customFormat="1" x14ac:dyDescent="0.3"/>
    <row r="49542" s="160" customFormat="1" x14ac:dyDescent="0.3"/>
    <row r="49543" s="160" customFormat="1" x14ac:dyDescent="0.3"/>
    <row r="49544" s="160" customFormat="1" x14ac:dyDescent="0.3"/>
    <row r="49545" s="160" customFormat="1" x14ac:dyDescent="0.3"/>
    <row r="49546" s="160" customFormat="1" x14ac:dyDescent="0.3"/>
    <row r="49547" s="160" customFormat="1" x14ac:dyDescent="0.3"/>
    <row r="49548" s="160" customFormat="1" x14ac:dyDescent="0.3"/>
    <row r="49549" s="160" customFormat="1" x14ac:dyDescent="0.3"/>
    <row r="49550" s="160" customFormat="1" x14ac:dyDescent="0.3"/>
    <row r="49551" s="160" customFormat="1" x14ac:dyDescent="0.3"/>
    <row r="49552" s="160" customFormat="1" x14ac:dyDescent="0.3"/>
    <row r="49553" s="160" customFormat="1" x14ac:dyDescent="0.3"/>
    <row r="49554" s="160" customFormat="1" x14ac:dyDescent="0.3"/>
    <row r="49555" s="160" customFormat="1" x14ac:dyDescent="0.3"/>
    <row r="49556" s="160" customFormat="1" x14ac:dyDescent="0.3"/>
    <row r="49557" s="160" customFormat="1" x14ac:dyDescent="0.3"/>
    <row r="49558" s="160" customFormat="1" x14ac:dyDescent="0.3"/>
    <row r="49559" s="160" customFormat="1" x14ac:dyDescent="0.3"/>
    <row r="49560" s="160" customFormat="1" x14ac:dyDescent="0.3"/>
    <row r="49561" s="160" customFormat="1" x14ac:dyDescent="0.3"/>
    <row r="49562" s="160" customFormat="1" x14ac:dyDescent="0.3"/>
    <row r="49563" s="160" customFormat="1" x14ac:dyDescent="0.3"/>
    <row r="49564" s="160" customFormat="1" x14ac:dyDescent="0.3"/>
    <row r="49565" s="160" customFormat="1" x14ac:dyDescent="0.3"/>
    <row r="49566" s="160" customFormat="1" x14ac:dyDescent="0.3"/>
    <row r="49567" s="160" customFormat="1" x14ac:dyDescent="0.3"/>
    <row r="49568" s="160" customFormat="1" x14ac:dyDescent="0.3"/>
    <row r="49569" s="160" customFormat="1" x14ac:dyDescent="0.3"/>
    <row r="49570" s="160" customFormat="1" x14ac:dyDescent="0.3"/>
    <row r="49571" s="160" customFormat="1" x14ac:dyDescent="0.3"/>
    <row r="49572" s="160" customFormat="1" x14ac:dyDescent="0.3"/>
    <row r="49573" s="160" customFormat="1" x14ac:dyDescent="0.3"/>
    <row r="49574" s="160" customFormat="1" x14ac:dyDescent="0.3"/>
    <row r="49575" s="160" customFormat="1" x14ac:dyDescent="0.3"/>
    <row r="49576" s="160" customFormat="1" x14ac:dyDescent="0.3"/>
    <row r="49577" s="160" customFormat="1" x14ac:dyDescent="0.3"/>
    <row r="49578" s="160" customFormat="1" x14ac:dyDescent="0.3"/>
    <row r="49579" s="160" customFormat="1" x14ac:dyDescent="0.3"/>
    <row r="49580" s="160" customFormat="1" x14ac:dyDescent="0.3"/>
    <row r="49581" s="160" customFormat="1" x14ac:dyDescent="0.3"/>
    <row r="49582" s="160" customFormat="1" x14ac:dyDescent="0.3"/>
    <row r="49583" s="160" customFormat="1" x14ac:dyDescent="0.3"/>
    <row r="49584" s="160" customFormat="1" x14ac:dyDescent="0.3"/>
    <row r="49585" s="160" customFormat="1" x14ac:dyDescent="0.3"/>
    <row r="49586" s="160" customFormat="1" x14ac:dyDescent="0.3"/>
    <row r="49587" s="160" customFormat="1" x14ac:dyDescent="0.3"/>
    <row r="49588" s="160" customFormat="1" x14ac:dyDescent="0.3"/>
    <row r="49589" s="160" customFormat="1" x14ac:dyDescent="0.3"/>
    <row r="49590" s="160" customFormat="1" x14ac:dyDescent="0.3"/>
    <row r="49591" s="160" customFormat="1" x14ac:dyDescent="0.3"/>
    <row r="49592" s="160" customFormat="1" x14ac:dyDescent="0.3"/>
    <row r="49593" s="160" customFormat="1" x14ac:dyDescent="0.3"/>
    <row r="49594" s="160" customFormat="1" x14ac:dyDescent="0.3"/>
    <row r="49595" s="160" customFormat="1" x14ac:dyDescent="0.3"/>
    <row r="49596" s="160" customFormat="1" x14ac:dyDescent="0.3"/>
    <row r="49597" s="160" customFormat="1" x14ac:dyDescent="0.3"/>
    <row r="49598" s="160" customFormat="1" x14ac:dyDescent="0.3"/>
    <row r="49599" s="160" customFormat="1" x14ac:dyDescent="0.3"/>
    <row r="49600" s="160" customFormat="1" x14ac:dyDescent="0.3"/>
    <row r="49601" s="160" customFormat="1" x14ac:dyDescent="0.3"/>
    <row r="49602" s="160" customFormat="1" x14ac:dyDescent="0.3"/>
    <row r="49603" s="160" customFormat="1" x14ac:dyDescent="0.3"/>
    <row r="49604" s="160" customFormat="1" x14ac:dyDescent="0.3"/>
    <row r="49605" s="160" customFormat="1" x14ac:dyDescent="0.3"/>
    <row r="49606" s="160" customFormat="1" x14ac:dyDescent="0.3"/>
    <row r="49607" s="160" customFormat="1" x14ac:dyDescent="0.3"/>
    <row r="49608" s="160" customFormat="1" x14ac:dyDescent="0.3"/>
    <row r="49609" s="160" customFormat="1" x14ac:dyDescent="0.3"/>
    <row r="49610" s="160" customFormat="1" x14ac:dyDescent="0.3"/>
    <row r="49611" s="160" customFormat="1" x14ac:dyDescent="0.3"/>
    <row r="49612" s="160" customFormat="1" x14ac:dyDescent="0.3"/>
    <row r="49613" s="160" customFormat="1" x14ac:dyDescent="0.3"/>
    <row r="49614" s="160" customFormat="1" x14ac:dyDescent="0.3"/>
    <row r="49615" s="160" customFormat="1" x14ac:dyDescent="0.3"/>
    <row r="49616" s="160" customFormat="1" x14ac:dyDescent="0.3"/>
    <row r="49617" s="160" customFormat="1" x14ac:dyDescent="0.3"/>
    <row r="49618" s="160" customFormat="1" x14ac:dyDescent="0.3"/>
    <row r="49619" s="160" customFormat="1" x14ac:dyDescent="0.3"/>
    <row r="49620" s="160" customFormat="1" x14ac:dyDescent="0.3"/>
    <row r="49621" s="160" customFormat="1" x14ac:dyDescent="0.3"/>
    <row r="49622" s="160" customFormat="1" x14ac:dyDescent="0.3"/>
    <row r="49623" s="160" customFormat="1" x14ac:dyDescent="0.3"/>
    <row r="49624" s="160" customFormat="1" x14ac:dyDescent="0.3"/>
    <row r="49625" s="160" customFormat="1" x14ac:dyDescent="0.3"/>
    <row r="49626" s="160" customFormat="1" x14ac:dyDescent="0.3"/>
    <row r="49627" s="160" customFormat="1" x14ac:dyDescent="0.3"/>
    <row r="49628" s="160" customFormat="1" x14ac:dyDescent="0.3"/>
    <row r="49629" s="160" customFormat="1" x14ac:dyDescent="0.3"/>
    <row r="49630" s="160" customFormat="1" x14ac:dyDescent="0.3"/>
    <row r="49631" s="160" customFormat="1" x14ac:dyDescent="0.3"/>
    <row r="49632" s="160" customFormat="1" x14ac:dyDescent="0.3"/>
    <row r="49633" s="160" customFormat="1" x14ac:dyDescent="0.3"/>
    <row r="49634" s="160" customFormat="1" x14ac:dyDescent="0.3"/>
    <row r="49635" s="160" customFormat="1" x14ac:dyDescent="0.3"/>
    <row r="49636" s="160" customFormat="1" x14ac:dyDescent="0.3"/>
    <row r="49637" s="160" customFormat="1" x14ac:dyDescent="0.3"/>
    <row r="49638" s="160" customFormat="1" x14ac:dyDescent="0.3"/>
    <row r="49639" s="160" customFormat="1" x14ac:dyDescent="0.3"/>
    <row r="49640" s="160" customFormat="1" x14ac:dyDescent="0.3"/>
    <row r="49641" s="160" customFormat="1" x14ac:dyDescent="0.3"/>
    <row r="49642" s="160" customFormat="1" x14ac:dyDescent="0.3"/>
    <row r="49643" s="160" customFormat="1" x14ac:dyDescent="0.3"/>
    <row r="49644" s="160" customFormat="1" x14ac:dyDescent="0.3"/>
    <row r="49645" s="160" customFormat="1" x14ac:dyDescent="0.3"/>
    <row r="49646" s="160" customFormat="1" x14ac:dyDescent="0.3"/>
    <row r="49647" s="160" customFormat="1" x14ac:dyDescent="0.3"/>
    <row r="49648" s="160" customFormat="1" x14ac:dyDescent="0.3"/>
    <row r="49649" s="160" customFormat="1" x14ac:dyDescent="0.3"/>
    <row r="49650" s="160" customFormat="1" x14ac:dyDescent="0.3"/>
    <row r="49651" s="160" customFormat="1" x14ac:dyDescent="0.3"/>
    <row r="49652" s="160" customFormat="1" x14ac:dyDescent="0.3"/>
    <row r="49653" s="160" customFormat="1" x14ac:dyDescent="0.3"/>
    <row r="49654" s="160" customFormat="1" x14ac:dyDescent="0.3"/>
    <row r="49655" s="160" customFormat="1" x14ac:dyDescent="0.3"/>
    <row r="49656" s="160" customFormat="1" x14ac:dyDescent="0.3"/>
    <row r="49657" s="160" customFormat="1" x14ac:dyDescent="0.3"/>
    <row r="49658" s="160" customFormat="1" x14ac:dyDescent="0.3"/>
    <row r="49659" s="160" customFormat="1" x14ac:dyDescent="0.3"/>
    <row r="49660" s="160" customFormat="1" x14ac:dyDescent="0.3"/>
    <row r="49661" s="160" customFormat="1" x14ac:dyDescent="0.3"/>
    <row r="49662" s="160" customFormat="1" x14ac:dyDescent="0.3"/>
    <row r="49663" s="160" customFormat="1" x14ac:dyDescent="0.3"/>
    <row r="49664" s="160" customFormat="1" x14ac:dyDescent="0.3"/>
    <row r="49665" s="160" customFormat="1" x14ac:dyDescent="0.3"/>
    <row r="49666" s="160" customFormat="1" x14ac:dyDescent="0.3"/>
    <row r="49667" s="160" customFormat="1" x14ac:dyDescent="0.3"/>
    <row r="49668" s="160" customFormat="1" x14ac:dyDescent="0.3"/>
    <row r="49669" s="160" customFormat="1" x14ac:dyDescent="0.3"/>
    <row r="49670" s="160" customFormat="1" x14ac:dyDescent="0.3"/>
    <row r="49671" s="160" customFormat="1" x14ac:dyDescent="0.3"/>
    <row r="49672" s="160" customFormat="1" x14ac:dyDescent="0.3"/>
    <row r="49673" s="160" customFormat="1" x14ac:dyDescent="0.3"/>
    <row r="49674" s="160" customFormat="1" x14ac:dyDescent="0.3"/>
    <row r="49675" s="160" customFormat="1" x14ac:dyDescent="0.3"/>
    <row r="49676" s="160" customFormat="1" x14ac:dyDescent="0.3"/>
    <row r="49677" s="160" customFormat="1" x14ac:dyDescent="0.3"/>
    <row r="49678" s="160" customFormat="1" x14ac:dyDescent="0.3"/>
    <row r="49679" s="160" customFormat="1" x14ac:dyDescent="0.3"/>
    <row r="49680" s="160" customFormat="1" x14ac:dyDescent="0.3"/>
    <row r="49681" s="160" customFormat="1" x14ac:dyDescent="0.3"/>
    <row r="49682" s="160" customFormat="1" x14ac:dyDescent="0.3"/>
    <row r="49683" s="160" customFormat="1" x14ac:dyDescent="0.3"/>
    <row r="49684" s="160" customFormat="1" x14ac:dyDescent="0.3"/>
    <row r="49685" s="160" customFormat="1" x14ac:dyDescent="0.3"/>
    <row r="49686" s="160" customFormat="1" x14ac:dyDescent="0.3"/>
    <row r="49687" s="160" customFormat="1" x14ac:dyDescent="0.3"/>
    <row r="49688" s="160" customFormat="1" x14ac:dyDescent="0.3"/>
    <row r="49689" s="160" customFormat="1" x14ac:dyDescent="0.3"/>
    <row r="49690" s="160" customFormat="1" x14ac:dyDescent="0.3"/>
    <row r="49691" s="160" customFormat="1" x14ac:dyDescent="0.3"/>
    <row r="49692" s="160" customFormat="1" x14ac:dyDescent="0.3"/>
    <row r="49693" s="160" customFormat="1" x14ac:dyDescent="0.3"/>
    <row r="49694" s="160" customFormat="1" x14ac:dyDescent="0.3"/>
    <row r="49695" s="160" customFormat="1" x14ac:dyDescent="0.3"/>
    <row r="49696" s="160" customFormat="1" x14ac:dyDescent="0.3"/>
    <row r="49697" s="160" customFormat="1" x14ac:dyDescent="0.3"/>
    <row r="49698" s="160" customFormat="1" x14ac:dyDescent="0.3"/>
    <row r="49699" s="160" customFormat="1" x14ac:dyDescent="0.3"/>
    <row r="49700" s="160" customFormat="1" x14ac:dyDescent="0.3"/>
    <row r="49701" s="160" customFormat="1" x14ac:dyDescent="0.3"/>
    <row r="49702" s="160" customFormat="1" x14ac:dyDescent="0.3"/>
    <row r="49703" s="160" customFormat="1" x14ac:dyDescent="0.3"/>
    <row r="49704" s="160" customFormat="1" x14ac:dyDescent="0.3"/>
    <row r="49705" s="160" customFormat="1" x14ac:dyDescent="0.3"/>
    <row r="49706" s="160" customFormat="1" x14ac:dyDescent="0.3"/>
    <row r="49707" s="160" customFormat="1" x14ac:dyDescent="0.3"/>
    <row r="49708" s="160" customFormat="1" x14ac:dyDescent="0.3"/>
    <row r="49709" s="160" customFormat="1" x14ac:dyDescent="0.3"/>
    <row r="49710" s="160" customFormat="1" x14ac:dyDescent="0.3"/>
    <row r="49711" s="160" customFormat="1" x14ac:dyDescent="0.3"/>
    <row r="49712" s="160" customFormat="1" x14ac:dyDescent="0.3"/>
    <row r="49713" s="160" customFormat="1" x14ac:dyDescent="0.3"/>
    <row r="49714" s="160" customFormat="1" x14ac:dyDescent="0.3"/>
    <row r="49715" s="160" customFormat="1" x14ac:dyDescent="0.3"/>
    <row r="49716" s="160" customFormat="1" x14ac:dyDescent="0.3"/>
    <row r="49717" s="160" customFormat="1" x14ac:dyDescent="0.3"/>
    <row r="49718" s="160" customFormat="1" x14ac:dyDescent="0.3"/>
    <row r="49719" s="160" customFormat="1" x14ac:dyDescent="0.3"/>
    <row r="49720" s="160" customFormat="1" x14ac:dyDescent="0.3"/>
    <row r="49721" s="160" customFormat="1" x14ac:dyDescent="0.3"/>
    <row r="49722" s="160" customFormat="1" x14ac:dyDescent="0.3"/>
    <row r="49723" s="160" customFormat="1" x14ac:dyDescent="0.3"/>
    <row r="49724" s="160" customFormat="1" x14ac:dyDescent="0.3"/>
    <row r="49725" s="160" customFormat="1" x14ac:dyDescent="0.3"/>
    <row r="49726" s="160" customFormat="1" x14ac:dyDescent="0.3"/>
    <row r="49727" s="160" customFormat="1" x14ac:dyDescent="0.3"/>
    <row r="49728" s="160" customFormat="1" x14ac:dyDescent="0.3"/>
    <row r="49729" s="160" customFormat="1" x14ac:dyDescent="0.3"/>
    <row r="49730" s="160" customFormat="1" x14ac:dyDescent="0.3"/>
    <row r="49731" s="160" customFormat="1" x14ac:dyDescent="0.3"/>
    <row r="49732" s="160" customFormat="1" x14ac:dyDescent="0.3"/>
    <row r="49733" s="160" customFormat="1" x14ac:dyDescent="0.3"/>
    <row r="49734" s="160" customFormat="1" x14ac:dyDescent="0.3"/>
    <row r="49735" s="160" customFormat="1" x14ac:dyDescent="0.3"/>
    <row r="49736" s="160" customFormat="1" x14ac:dyDescent="0.3"/>
    <row r="49737" s="160" customFormat="1" x14ac:dyDescent="0.3"/>
    <row r="49738" s="160" customFormat="1" x14ac:dyDescent="0.3"/>
    <row r="49739" s="160" customFormat="1" x14ac:dyDescent="0.3"/>
    <row r="49740" s="160" customFormat="1" x14ac:dyDescent="0.3"/>
    <row r="49741" s="160" customFormat="1" x14ac:dyDescent="0.3"/>
    <row r="49742" s="160" customFormat="1" x14ac:dyDescent="0.3"/>
    <row r="49743" s="160" customFormat="1" x14ac:dyDescent="0.3"/>
    <row r="49744" s="160" customFormat="1" x14ac:dyDescent="0.3"/>
    <row r="49745" s="160" customFormat="1" x14ac:dyDescent="0.3"/>
    <row r="49746" s="160" customFormat="1" x14ac:dyDescent="0.3"/>
    <row r="49747" s="160" customFormat="1" x14ac:dyDescent="0.3"/>
    <row r="49748" s="160" customFormat="1" x14ac:dyDescent="0.3"/>
    <row r="49749" s="160" customFormat="1" x14ac:dyDescent="0.3"/>
    <row r="49750" s="160" customFormat="1" x14ac:dyDescent="0.3"/>
    <row r="49751" s="160" customFormat="1" x14ac:dyDescent="0.3"/>
    <row r="49752" s="160" customFormat="1" x14ac:dyDescent="0.3"/>
    <row r="49753" s="160" customFormat="1" x14ac:dyDescent="0.3"/>
    <row r="49754" s="160" customFormat="1" x14ac:dyDescent="0.3"/>
    <row r="49755" s="160" customFormat="1" x14ac:dyDescent="0.3"/>
    <row r="49756" s="160" customFormat="1" x14ac:dyDescent="0.3"/>
    <row r="49757" s="160" customFormat="1" x14ac:dyDescent="0.3"/>
    <row r="49758" s="160" customFormat="1" x14ac:dyDescent="0.3"/>
    <row r="49759" s="160" customFormat="1" x14ac:dyDescent="0.3"/>
    <row r="49760" s="160" customFormat="1" x14ac:dyDescent="0.3"/>
    <row r="49761" s="160" customFormat="1" x14ac:dyDescent="0.3"/>
    <row r="49762" s="160" customFormat="1" x14ac:dyDescent="0.3"/>
    <row r="49763" s="160" customFormat="1" x14ac:dyDescent="0.3"/>
    <row r="49764" s="160" customFormat="1" x14ac:dyDescent="0.3"/>
    <row r="49765" s="160" customFormat="1" x14ac:dyDescent="0.3"/>
    <row r="49766" s="160" customFormat="1" x14ac:dyDescent="0.3"/>
    <row r="49767" s="160" customFormat="1" x14ac:dyDescent="0.3"/>
    <row r="49768" s="160" customFormat="1" x14ac:dyDescent="0.3"/>
    <row r="49769" s="160" customFormat="1" x14ac:dyDescent="0.3"/>
    <row r="49770" s="160" customFormat="1" x14ac:dyDescent="0.3"/>
    <row r="49771" s="160" customFormat="1" x14ac:dyDescent="0.3"/>
    <row r="49772" s="160" customFormat="1" x14ac:dyDescent="0.3"/>
    <row r="49773" s="160" customFormat="1" x14ac:dyDescent="0.3"/>
    <row r="49774" s="160" customFormat="1" x14ac:dyDescent="0.3"/>
    <row r="49775" s="160" customFormat="1" x14ac:dyDescent="0.3"/>
    <row r="49776" s="160" customFormat="1" x14ac:dyDescent="0.3"/>
    <row r="49777" s="160" customFormat="1" x14ac:dyDescent="0.3"/>
    <row r="49778" s="160" customFormat="1" x14ac:dyDescent="0.3"/>
    <row r="49779" s="160" customFormat="1" x14ac:dyDescent="0.3"/>
    <row r="49780" s="160" customFormat="1" x14ac:dyDescent="0.3"/>
    <row r="49781" s="160" customFormat="1" x14ac:dyDescent="0.3"/>
    <row r="49782" s="160" customFormat="1" x14ac:dyDescent="0.3"/>
    <row r="49783" s="160" customFormat="1" x14ac:dyDescent="0.3"/>
    <row r="49784" s="160" customFormat="1" x14ac:dyDescent="0.3"/>
    <row r="49785" s="160" customFormat="1" x14ac:dyDescent="0.3"/>
    <row r="49786" s="160" customFormat="1" x14ac:dyDescent="0.3"/>
    <row r="49787" s="160" customFormat="1" x14ac:dyDescent="0.3"/>
    <row r="49788" s="160" customFormat="1" x14ac:dyDescent="0.3"/>
    <row r="49789" s="160" customFormat="1" x14ac:dyDescent="0.3"/>
    <row r="49790" s="160" customFormat="1" x14ac:dyDescent="0.3"/>
    <row r="49791" s="160" customFormat="1" x14ac:dyDescent="0.3"/>
    <row r="49792" s="160" customFormat="1" x14ac:dyDescent="0.3"/>
    <row r="49793" s="160" customFormat="1" x14ac:dyDescent="0.3"/>
    <row r="49794" s="160" customFormat="1" x14ac:dyDescent="0.3"/>
    <row r="49795" s="160" customFormat="1" x14ac:dyDescent="0.3"/>
    <row r="49796" s="160" customFormat="1" x14ac:dyDescent="0.3"/>
    <row r="49797" s="160" customFormat="1" x14ac:dyDescent="0.3"/>
    <row r="49798" s="160" customFormat="1" x14ac:dyDescent="0.3"/>
    <row r="49799" s="160" customFormat="1" x14ac:dyDescent="0.3"/>
    <row r="49800" s="160" customFormat="1" x14ac:dyDescent="0.3"/>
    <row r="49801" s="160" customFormat="1" x14ac:dyDescent="0.3"/>
    <row r="49802" s="160" customFormat="1" x14ac:dyDescent="0.3"/>
    <row r="49803" s="160" customFormat="1" x14ac:dyDescent="0.3"/>
    <row r="49804" s="160" customFormat="1" x14ac:dyDescent="0.3"/>
    <row r="49805" s="160" customFormat="1" x14ac:dyDescent="0.3"/>
    <row r="49806" s="160" customFormat="1" x14ac:dyDescent="0.3"/>
    <row r="49807" s="160" customFormat="1" x14ac:dyDescent="0.3"/>
    <row r="49808" s="160" customFormat="1" x14ac:dyDescent="0.3"/>
    <row r="49809" s="160" customFormat="1" x14ac:dyDescent="0.3"/>
    <row r="49810" s="160" customFormat="1" x14ac:dyDescent="0.3"/>
    <row r="49811" s="160" customFormat="1" x14ac:dyDescent="0.3"/>
    <row r="49812" s="160" customFormat="1" x14ac:dyDescent="0.3"/>
    <row r="49813" s="160" customFormat="1" x14ac:dyDescent="0.3"/>
    <row r="49814" s="160" customFormat="1" x14ac:dyDescent="0.3"/>
    <row r="49815" s="160" customFormat="1" x14ac:dyDescent="0.3"/>
    <row r="49816" s="160" customFormat="1" x14ac:dyDescent="0.3"/>
    <row r="49817" s="160" customFormat="1" x14ac:dyDescent="0.3"/>
    <row r="49818" s="160" customFormat="1" x14ac:dyDescent="0.3"/>
    <row r="49819" s="160" customFormat="1" x14ac:dyDescent="0.3"/>
    <row r="49820" s="160" customFormat="1" x14ac:dyDescent="0.3"/>
    <row r="49821" s="160" customFormat="1" x14ac:dyDescent="0.3"/>
    <row r="49822" s="160" customFormat="1" x14ac:dyDescent="0.3"/>
    <row r="49823" s="160" customFormat="1" x14ac:dyDescent="0.3"/>
    <row r="49824" s="160" customFormat="1" x14ac:dyDescent="0.3"/>
    <row r="49825" s="160" customFormat="1" x14ac:dyDescent="0.3"/>
    <row r="49826" s="160" customFormat="1" x14ac:dyDescent="0.3"/>
    <row r="49827" s="160" customFormat="1" x14ac:dyDescent="0.3"/>
    <row r="49828" s="160" customFormat="1" x14ac:dyDescent="0.3"/>
    <row r="49829" s="160" customFormat="1" x14ac:dyDescent="0.3"/>
    <row r="49830" s="160" customFormat="1" x14ac:dyDescent="0.3"/>
    <row r="49831" s="160" customFormat="1" x14ac:dyDescent="0.3"/>
    <row r="49832" s="160" customFormat="1" x14ac:dyDescent="0.3"/>
    <row r="49833" s="160" customFormat="1" x14ac:dyDescent="0.3"/>
    <row r="49834" s="160" customFormat="1" x14ac:dyDescent="0.3"/>
    <row r="49835" s="160" customFormat="1" x14ac:dyDescent="0.3"/>
    <row r="49836" s="160" customFormat="1" x14ac:dyDescent="0.3"/>
    <row r="49837" s="160" customFormat="1" x14ac:dyDescent="0.3"/>
    <row r="49838" s="160" customFormat="1" x14ac:dyDescent="0.3"/>
    <row r="49839" s="160" customFormat="1" x14ac:dyDescent="0.3"/>
    <row r="49840" s="160" customFormat="1" x14ac:dyDescent="0.3"/>
    <row r="49841" s="160" customFormat="1" x14ac:dyDescent="0.3"/>
    <row r="49842" s="160" customFormat="1" x14ac:dyDescent="0.3"/>
    <row r="49843" s="160" customFormat="1" x14ac:dyDescent="0.3"/>
    <row r="49844" s="160" customFormat="1" x14ac:dyDescent="0.3"/>
    <row r="49845" s="160" customFormat="1" x14ac:dyDescent="0.3"/>
    <row r="49846" s="160" customFormat="1" x14ac:dyDescent="0.3"/>
    <row r="49847" s="160" customFormat="1" x14ac:dyDescent="0.3"/>
    <row r="49848" s="160" customFormat="1" x14ac:dyDescent="0.3"/>
    <row r="49849" s="160" customFormat="1" x14ac:dyDescent="0.3"/>
    <row r="49850" s="160" customFormat="1" x14ac:dyDescent="0.3"/>
    <row r="49851" s="160" customFormat="1" x14ac:dyDescent="0.3"/>
    <row r="49852" s="160" customFormat="1" x14ac:dyDescent="0.3"/>
    <row r="49853" s="160" customFormat="1" x14ac:dyDescent="0.3"/>
    <row r="49854" s="160" customFormat="1" x14ac:dyDescent="0.3"/>
    <row r="49855" s="160" customFormat="1" x14ac:dyDescent="0.3"/>
    <row r="49856" s="160" customFormat="1" x14ac:dyDescent="0.3"/>
    <row r="49857" s="160" customFormat="1" x14ac:dyDescent="0.3"/>
    <row r="49858" s="160" customFormat="1" x14ac:dyDescent="0.3"/>
    <row r="49859" s="160" customFormat="1" x14ac:dyDescent="0.3"/>
    <row r="49860" s="160" customFormat="1" x14ac:dyDescent="0.3"/>
    <row r="49861" s="160" customFormat="1" x14ac:dyDescent="0.3"/>
    <row r="49862" s="160" customFormat="1" x14ac:dyDescent="0.3"/>
    <row r="49863" s="160" customFormat="1" x14ac:dyDescent="0.3"/>
    <row r="49864" s="160" customFormat="1" x14ac:dyDescent="0.3"/>
    <row r="49865" s="160" customFormat="1" x14ac:dyDescent="0.3"/>
    <row r="49866" s="160" customFormat="1" x14ac:dyDescent="0.3"/>
    <row r="49867" s="160" customFormat="1" x14ac:dyDescent="0.3"/>
    <row r="49868" s="160" customFormat="1" x14ac:dyDescent="0.3"/>
    <row r="49869" s="160" customFormat="1" x14ac:dyDescent="0.3"/>
    <row r="49870" s="160" customFormat="1" x14ac:dyDescent="0.3"/>
    <row r="49871" s="160" customFormat="1" x14ac:dyDescent="0.3"/>
    <row r="49872" s="160" customFormat="1" x14ac:dyDescent="0.3"/>
    <row r="49873" s="160" customFormat="1" x14ac:dyDescent="0.3"/>
    <row r="49874" s="160" customFormat="1" x14ac:dyDescent="0.3"/>
    <row r="49875" s="160" customFormat="1" x14ac:dyDescent="0.3"/>
    <row r="49876" s="160" customFormat="1" x14ac:dyDescent="0.3"/>
    <row r="49877" s="160" customFormat="1" x14ac:dyDescent="0.3"/>
    <row r="49878" s="160" customFormat="1" x14ac:dyDescent="0.3"/>
    <row r="49879" s="160" customFormat="1" x14ac:dyDescent="0.3"/>
    <row r="49880" s="160" customFormat="1" x14ac:dyDescent="0.3"/>
    <row r="49881" s="160" customFormat="1" x14ac:dyDescent="0.3"/>
    <row r="49882" s="160" customFormat="1" x14ac:dyDescent="0.3"/>
    <row r="49883" s="160" customFormat="1" x14ac:dyDescent="0.3"/>
    <row r="49884" s="160" customFormat="1" x14ac:dyDescent="0.3"/>
    <row r="49885" s="160" customFormat="1" x14ac:dyDescent="0.3"/>
    <row r="49886" s="160" customFormat="1" x14ac:dyDescent="0.3"/>
    <row r="49887" s="160" customFormat="1" x14ac:dyDescent="0.3"/>
    <row r="49888" s="160" customFormat="1" x14ac:dyDescent="0.3"/>
    <row r="49889" s="160" customFormat="1" x14ac:dyDescent="0.3"/>
    <row r="49890" s="160" customFormat="1" x14ac:dyDescent="0.3"/>
    <row r="49891" s="160" customFormat="1" x14ac:dyDescent="0.3"/>
    <row r="49892" s="160" customFormat="1" x14ac:dyDescent="0.3"/>
    <row r="49893" s="160" customFormat="1" x14ac:dyDescent="0.3"/>
    <row r="49894" s="160" customFormat="1" x14ac:dyDescent="0.3"/>
    <row r="49895" s="160" customFormat="1" x14ac:dyDescent="0.3"/>
    <row r="49896" s="160" customFormat="1" x14ac:dyDescent="0.3"/>
    <row r="49897" s="160" customFormat="1" x14ac:dyDescent="0.3"/>
    <row r="49898" s="160" customFormat="1" x14ac:dyDescent="0.3"/>
    <row r="49899" s="160" customFormat="1" x14ac:dyDescent="0.3"/>
    <row r="49900" s="160" customFormat="1" x14ac:dyDescent="0.3"/>
    <row r="49901" s="160" customFormat="1" x14ac:dyDescent="0.3"/>
    <row r="49902" s="160" customFormat="1" x14ac:dyDescent="0.3"/>
    <row r="49903" s="160" customFormat="1" x14ac:dyDescent="0.3"/>
    <row r="49904" s="160" customFormat="1" x14ac:dyDescent="0.3"/>
    <row r="49905" s="160" customFormat="1" x14ac:dyDescent="0.3"/>
    <row r="49906" s="160" customFormat="1" x14ac:dyDescent="0.3"/>
    <row r="49907" s="160" customFormat="1" x14ac:dyDescent="0.3"/>
    <row r="49908" s="160" customFormat="1" x14ac:dyDescent="0.3"/>
    <row r="49909" s="160" customFormat="1" x14ac:dyDescent="0.3"/>
    <row r="49910" s="160" customFormat="1" x14ac:dyDescent="0.3"/>
    <row r="49911" s="160" customFormat="1" x14ac:dyDescent="0.3"/>
    <row r="49912" s="160" customFormat="1" x14ac:dyDescent="0.3"/>
    <row r="49913" s="160" customFormat="1" x14ac:dyDescent="0.3"/>
    <row r="49914" s="160" customFormat="1" x14ac:dyDescent="0.3"/>
    <row r="49915" s="160" customFormat="1" x14ac:dyDescent="0.3"/>
    <row r="49916" s="160" customFormat="1" x14ac:dyDescent="0.3"/>
    <row r="49917" s="160" customFormat="1" x14ac:dyDescent="0.3"/>
    <row r="49918" s="160" customFormat="1" x14ac:dyDescent="0.3"/>
    <row r="49919" s="160" customFormat="1" x14ac:dyDescent="0.3"/>
    <row r="49920" s="160" customFormat="1" x14ac:dyDescent="0.3"/>
    <row r="49921" s="160" customFormat="1" x14ac:dyDescent="0.3"/>
    <row r="49922" s="160" customFormat="1" x14ac:dyDescent="0.3"/>
    <row r="49923" s="160" customFormat="1" x14ac:dyDescent="0.3"/>
    <row r="49924" s="160" customFormat="1" x14ac:dyDescent="0.3"/>
    <row r="49925" s="160" customFormat="1" x14ac:dyDescent="0.3"/>
    <row r="49926" s="160" customFormat="1" x14ac:dyDescent="0.3"/>
    <row r="49927" s="160" customFormat="1" x14ac:dyDescent="0.3"/>
    <row r="49928" s="160" customFormat="1" x14ac:dyDescent="0.3"/>
    <row r="49929" s="160" customFormat="1" x14ac:dyDescent="0.3"/>
    <row r="49930" s="160" customFormat="1" x14ac:dyDescent="0.3"/>
    <row r="49931" s="160" customFormat="1" x14ac:dyDescent="0.3"/>
    <row r="49932" s="160" customFormat="1" x14ac:dyDescent="0.3"/>
    <row r="49933" s="160" customFormat="1" x14ac:dyDescent="0.3"/>
    <row r="49934" s="160" customFormat="1" x14ac:dyDescent="0.3"/>
    <row r="49935" s="160" customFormat="1" x14ac:dyDescent="0.3"/>
    <row r="49936" s="160" customFormat="1" x14ac:dyDescent="0.3"/>
    <row r="49937" s="160" customFormat="1" x14ac:dyDescent="0.3"/>
    <row r="49938" s="160" customFormat="1" x14ac:dyDescent="0.3"/>
    <row r="49939" s="160" customFormat="1" x14ac:dyDescent="0.3"/>
    <row r="49940" s="160" customFormat="1" x14ac:dyDescent="0.3"/>
    <row r="49941" s="160" customFormat="1" x14ac:dyDescent="0.3"/>
    <row r="49942" s="160" customFormat="1" x14ac:dyDescent="0.3"/>
    <row r="49943" s="160" customFormat="1" x14ac:dyDescent="0.3"/>
    <row r="49944" s="160" customFormat="1" x14ac:dyDescent="0.3"/>
    <row r="49945" s="160" customFormat="1" x14ac:dyDescent="0.3"/>
    <row r="49946" s="160" customFormat="1" x14ac:dyDescent="0.3"/>
    <row r="49947" s="160" customFormat="1" x14ac:dyDescent="0.3"/>
    <row r="49948" s="160" customFormat="1" x14ac:dyDescent="0.3"/>
    <row r="49949" s="160" customFormat="1" x14ac:dyDescent="0.3"/>
    <row r="49950" s="160" customFormat="1" x14ac:dyDescent="0.3"/>
    <row r="49951" s="160" customFormat="1" x14ac:dyDescent="0.3"/>
    <row r="49952" s="160" customFormat="1" x14ac:dyDescent="0.3"/>
    <row r="49953" s="160" customFormat="1" x14ac:dyDescent="0.3"/>
    <row r="49954" s="160" customFormat="1" x14ac:dyDescent="0.3"/>
    <row r="49955" s="160" customFormat="1" x14ac:dyDescent="0.3"/>
    <row r="49956" s="160" customFormat="1" x14ac:dyDescent="0.3"/>
    <row r="49957" s="160" customFormat="1" x14ac:dyDescent="0.3"/>
    <row r="49958" s="160" customFormat="1" x14ac:dyDescent="0.3"/>
    <row r="49959" s="160" customFormat="1" x14ac:dyDescent="0.3"/>
    <row r="49960" s="160" customFormat="1" x14ac:dyDescent="0.3"/>
    <row r="49961" s="160" customFormat="1" x14ac:dyDescent="0.3"/>
    <row r="49962" s="160" customFormat="1" x14ac:dyDescent="0.3"/>
    <row r="49963" s="160" customFormat="1" x14ac:dyDescent="0.3"/>
    <row r="49964" s="160" customFormat="1" x14ac:dyDescent="0.3"/>
    <row r="49965" s="160" customFormat="1" x14ac:dyDescent="0.3"/>
    <row r="49966" s="160" customFormat="1" x14ac:dyDescent="0.3"/>
    <row r="49967" s="160" customFormat="1" x14ac:dyDescent="0.3"/>
    <row r="49968" s="160" customFormat="1" x14ac:dyDescent="0.3"/>
    <row r="49969" s="160" customFormat="1" x14ac:dyDescent="0.3"/>
    <row r="49970" s="160" customFormat="1" x14ac:dyDescent="0.3"/>
    <row r="49971" s="160" customFormat="1" x14ac:dyDescent="0.3"/>
    <row r="49972" s="160" customFormat="1" x14ac:dyDescent="0.3"/>
    <row r="49973" s="160" customFormat="1" x14ac:dyDescent="0.3"/>
    <row r="49974" s="160" customFormat="1" x14ac:dyDescent="0.3"/>
    <row r="49975" s="160" customFormat="1" x14ac:dyDescent="0.3"/>
    <row r="49976" s="160" customFormat="1" x14ac:dyDescent="0.3"/>
    <row r="49977" s="160" customFormat="1" x14ac:dyDescent="0.3"/>
    <row r="49978" s="160" customFormat="1" x14ac:dyDescent="0.3"/>
    <row r="49979" s="160" customFormat="1" x14ac:dyDescent="0.3"/>
    <row r="49980" s="160" customFormat="1" x14ac:dyDescent="0.3"/>
    <row r="49981" s="160" customFormat="1" x14ac:dyDescent="0.3"/>
    <row r="49982" s="160" customFormat="1" x14ac:dyDescent="0.3"/>
    <row r="49983" s="160" customFormat="1" x14ac:dyDescent="0.3"/>
    <row r="49984" s="160" customFormat="1" x14ac:dyDescent="0.3"/>
    <row r="49985" s="160" customFormat="1" x14ac:dyDescent="0.3"/>
    <row r="49986" s="160" customFormat="1" x14ac:dyDescent="0.3"/>
    <row r="49987" s="160" customFormat="1" x14ac:dyDescent="0.3"/>
    <row r="49988" s="160" customFormat="1" x14ac:dyDescent="0.3"/>
    <row r="49989" s="160" customFormat="1" x14ac:dyDescent="0.3"/>
    <row r="49990" s="160" customFormat="1" x14ac:dyDescent="0.3"/>
    <row r="49991" s="160" customFormat="1" x14ac:dyDescent="0.3"/>
    <row r="49992" s="160" customFormat="1" x14ac:dyDescent="0.3"/>
    <row r="49993" s="160" customFormat="1" x14ac:dyDescent="0.3"/>
    <row r="49994" s="160" customFormat="1" x14ac:dyDescent="0.3"/>
    <row r="49995" s="160" customFormat="1" x14ac:dyDescent="0.3"/>
    <row r="49996" s="160" customFormat="1" x14ac:dyDescent="0.3"/>
    <row r="49997" s="160" customFormat="1" x14ac:dyDescent="0.3"/>
    <row r="49998" s="160" customFormat="1" x14ac:dyDescent="0.3"/>
    <row r="49999" s="160" customFormat="1" x14ac:dyDescent="0.3"/>
    <row r="50000" s="160" customFormat="1" x14ac:dyDescent="0.3"/>
    <row r="50001" s="160" customFormat="1" x14ac:dyDescent="0.3"/>
    <row r="50002" s="160" customFormat="1" x14ac:dyDescent="0.3"/>
    <row r="50003" s="160" customFormat="1" x14ac:dyDescent="0.3"/>
    <row r="50004" s="160" customFormat="1" x14ac:dyDescent="0.3"/>
    <row r="50005" s="160" customFormat="1" x14ac:dyDescent="0.3"/>
    <row r="50006" s="160" customFormat="1" x14ac:dyDescent="0.3"/>
    <row r="50007" s="160" customFormat="1" x14ac:dyDescent="0.3"/>
    <row r="50008" s="160" customFormat="1" x14ac:dyDescent="0.3"/>
    <row r="50009" s="160" customFormat="1" x14ac:dyDescent="0.3"/>
    <row r="50010" s="160" customFormat="1" x14ac:dyDescent="0.3"/>
    <row r="50011" s="160" customFormat="1" x14ac:dyDescent="0.3"/>
    <row r="50012" s="160" customFormat="1" x14ac:dyDescent="0.3"/>
    <row r="50013" s="160" customFormat="1" x14ac:dyDescent="0.3"/>
    <row r="50014" s="160" customFormat="1" x14ac:dyDescent="0.3"/>
    <row r="50015" s="160" customFormat="1" x14ac:dyDescent="0.3"/>
    <row r="50016" s="160" customFormat="1" x14ac:dyDescent="0.3"/>
    <row r="50017" s="160" customFormat="1" x14ac:dyDescent="0.3"/>
    <row r="50018" s="160" customFormat="1" x14ac:dyDescent="0.3"/>
    <row r="50019" s="160" customFormat="1" x14ac:dyDescent="0.3"/>
    <row r="50020" s="160" customFormat="1" x14ac:dyDescent="0.3"/>
    <row r="50021" s="160" customFormat="1" x14ac:dyDescent="0.3"/>
    <row r="50022" s="160" customFormat="1" x14ac:dyDescent="0.3"/>
    <row r="50023" s="160" customFormat="1" x14ac:dyDescent="0.3"/>
    <row r="50024" s="160" customFormat="1" x14ac:dyDescent="0.3"/>
    <row r="50025" s="160" customFormat="1" x14ac:dyDescent="0.3"/>
    <row r="50026" s="160" customFormat="1" x14ac:dyDescent="0.3"/>
    <row r="50027" s="160" customFormat="1" x14ac:dyDescent="0.3"/>
    <row r="50028" s="160" customFormat="1" x14ac:dyDescent="0.3"/>
    <row r="50029" s="160" customFormat="1" x14ac:dyDescent="0.3"/>
    <row r="50030" s="160" customFormat="1" x14ac:dyDescent="0.3"/>
    <row r="50031" s="160" customFormat="1" x14ac:dyDescent="0.3"/>
    <row r="50032" s="160" customFormat="1" x14ac:dyDescent="0.3"/>
    <row r="50033" s="160" customFormat="1" x14ac:dyDescent="0.3"/>
    <row r="50034" s="160" customFormat="1" x14ac:dyDescent="0.3"/>
    <row r="50035" s="160" customFormat="1" x14ac:dyDescent="0.3"/>
    <row r="50036" s="160" customFormat="1" x14ac:dyDescent="0.3"/>
    <row r="50037" s="160" customFormat="1" x14ac:dyDescent="0.3"/>
    <row r="50038" s="160" customFormat="1" x14ac:dyDescent="0.3"/>
    <row r="50039" s="160" customFormat="1" x14ac:dyDescent="0.3"/>
    <row r="50040" s="160" customFormat="1" x14ac:dyDescent="0.3"/>
    <row r="50041" s="160" customFormat="1" x14ac:dyDescent="0.3"/>
    <row r="50042" s="160" customFormat="1" x14ac:dyDescent="0.3"/>
    <row r="50043" s="160" customFormat="1" x14ac:dyDescent="0.3"/>
    <row r="50044" s="160" customFormat="1" x14ac:dyDescent="0.3"/>
    <row r="50045" s="160" customFormat="1" x14ac:dyDescent="0.3"/>
    <row r="50046" s="160" customFormat="1" x14ac:dyDescent="0.3"/>
    <row r="50047" s="160" customFormat="1" x14ac:dyDescent="0.3"/>
    <row r="50048" s="160" customFormat="1" x14ac:dyDescent="0.3"/>
    <row r="50049" s="160" customFormat="1" x14ac:dyDescent="0.3"/>
    <row r="50050" s="160" customFormat="1" x14ac:dyDescent="0.3"/>
    <row r="50051" s="160" customFormat="1" x14ac:dyDescent="0.3"/>
    <row r="50052" s="160" customFormat="1" x14ac:dyDescent="0.3"/>
    <row r="50053" s="160" customFormat="1" x14ac:dyDescent="0.3"/>
    <row r="50054" s="160" customFormat="1" x14ac:dyDescent="0.3"/>
    <row r="50055" s="160" customFormat="1" x14ac:dyDescent="0.3"/>
    <row r="50056" s="160" customFormat="1" x14ac:dyDescent="0.3"/>
    <row r="50057" s="160" customFormat="1" x14ac:dyDescent="0.3"/>
    <row r="50058" s="160" customFormat="1" x14ac:dyDescent="0.3"/>
    <row r="50059" s="160" customFormat="1" x14ac:dyDescent="0.3"/>
    <row r="50060" s="160" customFormat="1" x14ac:dyDescent="0.3"/>
    <row r="50061" s="160" customFormat="1" x14ac:dyDescent="0.3"/>
    <row r="50062" s="160" customFormat="1" x14ac:dyDescent="0.3"/>
    <row r="50063" s="160" customFormat="1" x14ac:dyDescent="0.3"/>
    <row r="50064" s="160" customFormat="1" x14ac:dyDescent="0.3"/>
    <row r="50065" s="160" customFormat="1" x14ac:dyDescent="0.3"/>
    <row r="50066" s="160" customFormat="1" x14ac:dyDescent="0.3"/>
    <row r="50067" s="160" customFormat="1" x14ac:dyDescent="0.3"/>
    <row r="50068" s="160" customFormat="1" x14ac:dyDescent="0.3"/>
    <row r="50069" s="160" customFormat="1" x14ac:dyDescent="0.3"/>
    <row r="50070" s="160" customFormat="1" x14ac:dyDescent="0.3"/>
    <row r="50071" s="160" customFormat="1" x14ac:dyDescent="0.3"/>
    <row r="50072" s="160" customFormat="1" x14ac:dyDescent="0.3"/>
    <row r="50073" s="160" customFormat="1" x14ac:dyDescent="0.3"/>
    <row r="50074" s="160" customFormat="1" x14ac:dyDescent="0.3"/>
    <row r="50075" s="160" customFormat="1" x14ac:dyDescent="0.3"/>
    <row r="50076" s="160" customFormat="1" x14ac:dyDescent="0.3"/>
    <row r="50077" s="160" customFormat="1" x14ac:dyDescent="0.3"/>
    <row r="50078" s="160" customFormat="1" x14ac:dyDescent="0.3"/>
    <row r="50079" s="160" customFormat="1" x14ac:dyDescent="0.3"/>
    <row r="50080" s="160" customFormat="1" x14ac:dyDescent="0.3"/>
    <row r="50081" s="160" customFormat="1" x14ac:dyDescent="0.3"/>
    <row r="50082" s="160" customFormat="1" x14ac:dyDescent="0.3"/>
    <row r="50083" s="160" customFormat="1" x14ac:dyDescent="0.3"/>
    <row r="50084" s="160" customFormat="1" x14ac:dyDescent="0.3"/>
    <row r="50085" s="160" customFormat="1" x14ac:dyDescent="0.3"/>
    <row r="50086" s="160" customFormat="1" x14ac:dyDescent="0.3"/>
    <row r="50087" s="160" customFormat="1" x14ac:dyDescent="0.3"/>
    <row r="50088" s="160" customFormat="1" x14ac:dyDescent="0.3"/>
    <row r="50089" s="160" customFormat="1" x14ac:dyDescent="0.3"/>
    <row r="50090" s="160" customFormat="1" x14ac:dyDescent="0.3"/>
    <row r="50091" s="160" customFormat="1" x14ac:dyDescent="0.3"/>
    <row r="50092" s="160" customFormat="1" x14ac:dyDescent="0.3"/>
    <row r="50093" s="160" customFormat="1" x14ac:dyDescent="0.3"/>
    <row r="50094" s="160" customFormat="1" x14ac:dyDescent="0.3"/>
    <row r="50095" s="160" customFormat="1" x14ac:dyDescent="0.3"/>
    <row r="50096" s="160" customFormat="1" x14ac:dyDescent="0.3"/>
    <row r="50097" s="160" customFormat="1" x14ac:dyDescent="0.3"/>
    <row r="50098" s="160" customFormat="1" x14ac:dyDescent="0.3"/>
    <row r="50099" s="160" customFormat="1" x14ac:dyDescent="0.3"/>
    <row r="50100" s="160" customFormat="1" x14ac:dyDescent="0.3"/>
    <row r="50101" s="160" customFormat="1" x14ac:dyDescent="0.3"/>
    <row r="50102" s="160" customFormat="1" x14ac:dyDescent="0.3"/>
    <row r="50103" s="160" customFormat="1" x14ac:dyDescent="0.3"/>
    <row r="50104" s="160" customFormat="1" x14ac:dyDescent="0.3"/>
    <row r="50105" s="160" customFormat="1" x14ac:dyDescent="0.3"/>
    <row r="50106" s="160" customFormat="1" x14ac:dyDescent="0.3"/>
    <row r="50107" s="160" customFormat="1" x14ac:dyDescent="0.3"/>
    <row r="50108" s="160" customFormat="1" x14ac:dyDescent="0.3"/>
    <row r="50109" s="160" customFormat="1" x14ac:dyDescent="0.3"/>
    <row r="50110" s="160" customFormat="1" x14ac:dyDescent="0.3"/>
    <row r="50111" s="160" customFormat="1" x14ac:dyDescent="0.3"/>
    <row r="50112" s="160" customFormat="1" x14ac:dyDescent="0.3"/>
    <row r="50113" s="160" customFormat="1" x14ac:dyDescent="0.3"/>
    <row r="50114" s="160" customFormat="1" x14ac:dyDescent="0.3"/>
    <row r="50115" s="160" customFormat="1" x14ac:dyDescent="0.3"/>
    <row r="50116" s="160" customFormat="1" x14ac:dyDescent="0.3"/>
    <row r="50117" s="160" customFormat="1" x14ac:dyDescent="0.3"/>
    <row r="50118" s="160" customFormat="1" x14ac:dyDescent="0.3"/>
    <row r="50119" s="160" customFormat="1" x14ac:dyDescent="0.3"/>
    <row r="50120" s="160" customFormat="1" x14ac:dyDescent="0.3"/>
    <row r="50121" s="160" customFormat="1" x14ac:dyDescent="0.3"/>
    <row r="50122" s="160" customFormat="1" x14ac:dyDescent="0.3"/>
    <row r="50123" s="160" customFormat="1" x14ac:dyDescent="0.3"/>
    <row r="50124" s="160" customFormat="1" x14ac:dyDescent="0.3"/>
    <row r="50125" s="160" customFormat="1" x14ac:dyDescent="0.3"/>
    <row r="50126" s="160" customFormat="1" x14ac:dyDescent="0.3"/>
    <row r="50127" s="160" customFormat="1" x14ac:dyDescent="0.3"/>
    <row r="50128" s="160" customFormat="1" x14ac:dyDescent="0.3"/>
    <row r="50129" s="160" customFormat="1" x14ac:dyDescent="0.3"/>
    <row r="50130" s="160" customFormat="1" x14ac:dyDescent="0.3"/>
    <row r="50131" s="160" customFormat="1" x14ac:dyDescent="0.3"/>
    <row r="50132" s="160" customFormat="1" x14ac:dyDescent="0.3"/>
    <row r="50133" s="160" customFormat="1" x14ac:dyDescent="0.3"/>
    <row r="50134" s="160" customFormat="1" x14ac:dyDescent="0.3"/>
    <row r="50135" s="160" customFormat="1" x14ac:dyDescent="0.3"/>
    <row r="50136" s="160" customFormat="1" x14ac:dyDescent="0.3"/>
    <row r="50137" s="160" customFormat="1" x14ac:dyDescent="0.3"/>
    <row r="50138" s="160" customFormat="1" x14ac:dyDescent="0.3"/>
    <row r="50139" s="160" customFormat="1" x14ac:dyDescent="0.3"/>
    <row r="50140" s="160" customFormat="1" x14ac:dyDescent="0.3"/>
    <row r="50141" s="160" customFormat="1" x14ac:dyDescent="0.3"/>
    <row r="50142" s="160" customFormat="1" x14ac:dyDescent="0.3"/>
    <row r="50143" s="160" customFormat="1" x14ac:dyDescent="0.3"/>
    <row r="50144" s="160" customFormat="1" x14ac:dyDescent="0.3"/>
    <row r="50145" s="160" customFormat="1" x14ac:dyDescent="0.3"/>
    <row r="50146" s="160" customFormat="1" x14ac:dyDescent="0.3"/>
    <row r="50147" s="160" customFormat="1" x14ac:dyDescent="0.3"/>
    <row r="50148" s="160" customFormat="1" x14ac:dyDescent="0.3"/>
    <row r="50149" s="160" customFormat="1" x14ac:dyDescent="0.3"/>
    <row r="50150" s="160" customFormat="1" x14ac:dyDescent="0.3"/>
    <row r="50151" s="160" customFormat="1" x14ac:dyDescent="0.3"/>
    <row r="50152" s="160" customFormat="1" x14ac:dyDescent="0.3"/>
    <row r="50153" s="160" customFormat="1" x14ac:dyDescent="0.3"/>
    <row r="50154" s="160" customFormat="1" x14ac:dyDescent="0.3"/>
    <row r="50155" s="160" customFormat="1" x14ac:dyDescent="0.3"/>
    <row r="50156" s="160" customFormat="1" x14ac:dyDescent="0.3"/>
    <row r="50157" s="160" customFormat="1" x14ac:dyDescent="0.3"/>
    <row r="50158" s="160" customFormat="1" x14ac:dyDescent="0.3"/>
    <row r="50159" s="160" customFormat="1" x14ac:dyDescent="0.3"/>
    <row r="50160" s="160" customFormat="1" x14ac:dyDescent="0.3"/>
    <row r="50161" s="160" customFormat="1" x14ac:dyDescent="0.3"/>
    <row r="50162" s="160" customFormat="1" x14ac:dyDescent="0.3"/>
    <row r="50163" s="160" customFormat="1" x14ac:dyDescent="0.3"/>
    <row r="50164" s="160" customFormat="1" x14ac:dyDescent="0.3"/>
    <row r="50165" s="160" customFormat="1" x14ac:dyDescent="0.3"/>
    <row r="50166" s="160" customFormat="1" x14ac:dyDescent="0.3"/>
    <row r="50167" s="160" customFormat="1" x14ac:dyDescent="0.3"/>
    <row r="50168" s="160" customFormat="1" x14ac:dyDescent="0.3"/>
    <row r="50169" s="160" customFormat="1" x14ac:dyDescent="0.3"/>
    <row r="50170" s="160" customFormat="1" x14ac:dyDescent="0.3"/>
    <row r="50171" s="160" customFormat="1" x14ac:dyDescent="0.3"/>
    <row r="50172" s="160" customFormat="1" x14ac:dyDescent="0.3"/>
    <row r="50173" s="160" customFormat="1" x14ac:dyDescent="0.3"/>
    <row r="50174" s="160" customFormat="1" x14ac:dyDescent="0.3"/>
    <row r="50175" s="160" customFormat="1" x14ac:dyDescent="0.3"/>
    <row r="50176" s="160" customFormat="1" x14ac:dyDescent="0.3"/>
    <row r="50177" s="160" customFormat="1" x14ac:dyDescent="0.3"/>
    <row r="50178" s="160" customFormat="1" x14ac:dyDescent="0.3"/>
    <row r="50179" s="160" customFormat="1" x14ac:dyDescent="0.3"/>
    <row r="50180" s="160" customFormat="1" x14ac:dyDescent="0.3"/>
    <row r="50181" s="160" customFormat="1" x14ac:dyDescent="0.3"/>
    <row r="50182" s="160" customFormat="1" x14ac:dyDescent="0.3"/>
    <row r="50183" s="160" customFormat="1" x14ac:dyDescent="0.3"/>
    <row r="50184" s="160" customFormat="1" x14ac:dyDescent="0.3"/>
    <row r="50185" s="160" customFormat="1" x14ac:dyDescent="0.3"/>
    <row r="50186" s="160" customFormat="1" x14ac:dyDescent="0.3"/>
    <row r="50187" s="160" customFormat="1" x14ac:dyDescent="0.3"/>
    <row r="50188" s="160" customFormat="1" x14ac:dyDescent="0.3"/>
    <row r="50189" s="160" customFormat="1" x14ac:dyDescent="0.3"/>
    <row r="50190" s="160" customFormat="1" x14ac:dyDescent="0.3"/>
    <row r="50191" s="160" customFormat="1" x14ac:dyDescent="0.3"/>
    <row r="50192" s="160" customFormat="1" x14ac:dyDescent="0.3"/>
    <row r="50193" s="160" customFormat="1" x14ac:dyDescent="0.3"/>
    <row r="50194" s="160" customFormat="1" x14ac:dyDescent="0.3"/>
    <row r="50195" s="160" customFormat="1" x14ac:dyDescent="0.3"/>
    <row r="50196" s="160" customFormat="1" x14ac:dyDescent="0.3"/>
    <row r="50197" s="160" customFormat="1" x14ac:dyDescent="0.3"/>
    <row r="50198" s="160" customFormat="1" x14ac:dyDescent="0.3"/>
    <row r="50199" s="160" customFormat="1" x14ac:dyDescent="0.3"/>
    <row r="50200" s="160" customFormat="1" x14ac:dyDescent="0.3"/>
    <row r="50201" s="160" customFormat="1" x14ac:dyDescent="0.3"/>
    <row r="50202" s="160" customFormat="1" x14ac:dyDescent="0.3"/>
    <row r="50203" s="160" customFormat="1" x14ac:dyDescent="0.3"/>
    <row r="50204" s="160" customFormat="1" x14ac:dyDescent="0.3"/>
    <row r="50205" s="160" customFormat="1" x14ac:dyDescent="0.3"/>
    <row r="50206" s="160" customFormat="1" x14ac:dyDescent="0.3"/>
    <row r="50207" s="160" customFormat="1" x14ac:dyDescent="0.3"/>
    <row r="50208" s="160" customFormat="1" x14ac:dyDescent="0.3"/>
    <row r="50209" s="160" customFormat="1" x14ac:dyDescent="0.3"/>
    <row r="50210" s="160" customFormat="1" x14ac:dyDescent="0.3"/>
    <row r="50211" s="160" customFormat="1" x14ac:dyDescent="0.3"/>
    <row r="50212" s="160" customFormat="1" x14ac:dyDescent="0.3"/>
    <row r="50213" s="160" customFormat="1" x14ac:dyDescent="0.3"/>
    <row r="50214" s="160" customFormat="1" x14ac:dyDescent="0.3"/>
    <row r="50215" s="160" customFormat="1" x14ac:dyDescent="0.3"/>
    <row r="50216" s="160" customFormat="1" x14ac:dyDescent="0.3"/>
    <row r="50217" s="160" customFormat="1" x14ac:dyDescent="0.3"/>
    <row r="50218" s="160" customFormat="1" x14ac:dyDescent="0.3"/>
    <row r="50219" s="160" customFormat="1" x14ac:dyDescent="0.3"/>
    <row r="50220" s="160" customFormat="1" x14ac:dyDescent="0.3"/>
    <row r="50221" s="160" customFormat="1" x14ac:dyDescent="0.3"/>
    <row r="50222" s="160" customFormat="1" x14ac:dyDescent="0.3"/>
    <row r="50223" s="160" customFormat="1" x14ac:dyDescent="0.3"/>
    <row r="50224" s="160" customFormat="1" x14ac:dyDescent="0.3"/>
    <row r="50225" s="160" customFormat="1" x14ac:dyDescent="0.3"/>
    <row r="50226" s="160" customFormat="1" x14ac:dyDescent="0.3"/>
    <row r="50227" s="160" customFormat="1" x14ac:dyDescent="0.3"/>
    <row r="50228" s="160" customFormat="1" x14ac:dyDescent="0.3"/>
    <row r="50229" s="160" customFormat="1" x14ac:dyDescent="0.3"/>
    <row r="50230" s="160" customFormat="1" x14ac:dyDescent="0.3"/>
    <row r="50231" s="160" customFormat="1" x14ac:dyDescent="0.3"/>
    <row r="50232" s="160" customFormat="1" x14ac:dyDescent="0.3"/>
    <row r="50233" s="160" customFormat="1" x14ac:dyDescent="0.3"/>
    <row r="50234" s="160" customFormat="1" x14ac:dyDescent="0.3"/>
    <row r="50235" s="160" customFormat="1" x14ac:dyDescent="0.3"/>
    <row r="50236" s="160" customFormat="1" x14ac:dyDescent="0.3"/>
    <row r="50237" s="160" customFormat="1" x14ac:dyDescent="0.3"/>
    <row r="50238" s="160" customFormat="1" x14ac:dyDescent="0.3"/>
    <row r="50239" s="160" customFormat="1" x14ac:dyDescent="0.3"/>
    <row r="50240" s="160" customFormat="1" x14ac:dyDescent="0.3"/>
    <row r="50241" s="160" customFormat="1" x14ac:dyDescent="0.3"/>
    <row r="50242" s="160" customFormat="1" x14ac:dyDescent="0.3"/>
    <row r="50243" s="160" customFormat="1" x14ac:dyDescent="0.3"/>
    <row r="50244" s="160" customFormat="1" x14ac:dyDescent="0.3"/>
    <row r="50245" s="160" customFormat="1" x14ac:dyDescent="0.3"/>
    <row r="50246" s="160" customFormat="1" x14ac:dyDescent="0.3"/>
    <row r="50247" s="160" customFormat="1" x14ac:dyDescent="0.3"/>
    <row r="50248" s="160" customFormat="1" x14ac:dyDescent="0.3"/>
    <row r="50249" s="160" customFormat="1" x14ac:dyDescent="0.3"/>
    <row r="50250" s="160" customFormat="1" x14ac:dyDescent="0.3"/>
    <row r="50251" s="160" customFormat="1" x14ac:dyDescent="0.3"/>
    <row r="50252" s="160" customFormat="1" x14ac:dyDescent="0.3"/>
    <row r="50253" s="160" customFormat="1" x14ac:dyDescent="0.3"/>
    <row r="50254" s="160" customFormat="1" x14ac:dyDescent="0.3"/>
    <row r="50255" s="160" customFormat="1" x14ac:dyDescent="0.3"/>
    <row r="50256" s="160" customFormat="1" x14ac:dyDescent="0.3"/>
    <row r="50257" s="160" customFormat="1" x14ac:dyDescent="0.3"/>
    <row r="50258" s="160" customFormat="1" x14ac:dyDescent="0.3"/>
    <row r="50259" s="160" customFormat="1" x14ac:dyDescent="0.3"/>
    <row r="50260" s="160" customFormat="1" x14ac:dyDescent="0.3"/>
    <row r="50261" s="160" customFormat="1" x14ac:dyDescent="0.3"/>
    <row r="50262" s="160" customFormat="1" x14ac:dyDescent="0.3"/>
    <row r="50263" s="160" customFormat="1" x14ac:dyDescent="0.3"/>
    <row r="50264" s="160" customFormat="1" x14ac:dyDescent="0.3"/>
    <row r="50265" s="160" customFormat="1" x14ac:dyDescent="0.3"/>
    <row r="50266" s="160" customFormat="1" x14ac:dyDescent="0.3"/>
    <row r="50267" s="160" customFormat="1" x14ac:dyDescent="0.3"/>
    <row r="50268" s="160" customFormat="1" x14ac:dyDescent="0.3"/>
    <row r="50269" s="160" customFormat="1" x14ac:dyDescent="0.3"/>
    <row r="50270" s="160" customFormat="1" x14ac:dyDescent="0.3"/>
    <row r="50271" s="160" customFormat="1" x14ac:dyDescent="0.3"/>
    <row r="50272" s="160" customFormat="1" x14ac:dyDescent="0.3"/>
    <row r="50273" s="160" customFormat="1" x14ac:dyDescent="0.3"/>
    <row r="50274" s="160" customFormat="1" x14ac:dyDescent="0.3"/>
    <row r="50275" s="160" customFormat="1" x14ac:dyDescent="0.3"/>
    <row r="50276" s="160" customFormat="1" x14ac:dyDescent="0.3"/>
    <row r="50277" s="160" customFormat="1" x14ac:dyDescent="0.3"/>
    <row r="50278" s="160" customFormat="1" x14ac:dyDescent="0.3"/>
    <row r="50279" s="160" customFormat="1" x14ac:dyDescent="0.3"/>
    <row r="50280" s="160" customFormat="1" x14ac:dyDescent="0.3"/>
    <row r="50281" s="160" customFormat="1" x14ac:dyDescent="0.3"/>
    <row r="50282" s="160" customFormat="1" x14ac:dyDescent="0.3"/>
    <row r="50283" s="160" customFormat="1" x14ac:dyDescent="0.3"/>
    <row r="50284" s="160" customFormat="1" x14ac:dyDescent="0.3"/>
    <row r="50285" s="160" customFormat="1" x14ac:dyDescent="0.3"/>
    <row r="50286" s="160" customFormat="1" x14ac:dyDescent="0.3"/>
    <row r="50287" s="160" customFormat="1" x14ac:dyDescent="0.3"/>
    <row r="50288" s="160" customFormat="1" x14ac:dyDescent="0.3"/>
    <row r="50289" s="160" customFormat="1" x14ac:dyDescent="0.3"/>
    <row r="50290" s="160" customFormat="1" x14ac:dyDescent="0.3"/>
    <row r="50291" s="160" customFormat="1" x14ac:dyDescent="0.3"/>
    <row r="50292" s="160" customFormat="1" x14ac:dyDescent="0.3"/>
    <row r="50293" s="160" customFormat="1" x14ac:dyDescent="0.3"/>
    <row r="50294" s="160" customFormat="1" x14ac:dyDescent="0.3"/>
    <row r="50295" s="160" customFormat="1" x14ac:dyDescent="0.3"/>
    <row r="50296" s="160" customFormat="1" x14ac:dyDescent="0.3"/>
    <row r="50297" s="160" customFormat="1" x14ac:dyDescent="0.3"/>
    <row r="50298" s="160" customFormat="1" x14ac:dyDescent="0.3"/>
    <row r="50299" s="160" customFormat="1" x14ac:dyDescent="0.3"/>
    <row r="50300" s="160" customFormat="1" x14ac:dyDescent="0.3"/>
    <row r="50301" s="160" customFormat="1" x14ac:dyDescent="0.3"/>
    <row r="50302" s="160" customFormat="1" x14ac:dyDescent="0.3"/>
    <row r="50303" s="160" customFormat="1" x14ac:dyDescent="0.3"/>
    <row r="50304" s="160" customFormat="1" x14ac:dyDescent="0.3"/>
    <row r="50305" s="160" customFormat="1" x14ac:dyDescent="0.3"/>
    <row r="50306" s="160" customFormat="1" x14ac:dyDescent="0.3"/>
    <row r="50307" s="160" customFormat="1" x14ac:dyDescent="0.3"/>
    <row r="50308" s="160" customFormat="1" x14ac:dyDescent="0.3"/>
    <row r="50309" s="160" customFormat="1" x14ac:dyDescent="0.3"/>
    <row r="50310" s="160" customFormat="1" x14ac:dyDescent="0.3"/>
    <row r="50311" s="160" customFormat="1" x14ac:dyDescent="0.3"/>
    <row r="50312" s="160" customFormat="1" x14ac:dyDescent="0.3"/>
    <row r="50313" s="160" customFormat="1" x14ac:dyDescent="0.3"/>
    <row r="50314" s="160" customFormat="1" x14ac:dyDescent="0.3"/>
    <row r="50315" s="160" customFormat="1" x14ac:dyDescent="0.3"/>
    <row r="50316" s="160" customFormat="1" x14ac:dyDescent="0.3"/>
    <row r="50317" s="160" customFormat="1" x14ac:dyDescent="0.3"/>
    <row r="50318" s="160" customFormat="1" x14ac:dyDescent="0.3"/>
    <row r="50319" s="160" customFormat="1" x14ac:dyDescent="0.3"/>
    <row r="50320" s="160" customFormat="1" x14ac:dyDescent="0.3"/>
    <row r="50321" s="160" customFormat="1" x14ac:dyDescent="0.3"/>
    <row r="50322" s="160" customFormat="1" x14ac:dyDescent="0.3"/>
    <row r="50323" s="160" customFormat="1" x14ac:dyDescent="0.3"/>
    <row r="50324" s="160" customFormat="1" x14ac:dyDescent="0.3"/>
    <row r="50325" s="160" customFormat="1" x14ac:dyDescent="0.3"/>
    <row r="50326" s="160" customFormat="1" x14ac:dyDescent="0.3"/>
    <row r="50327" s="160" customFormat="1" x14ac:dyDescent="0.3"/>
    <row r="50328" s="160" customFormat="1" x14ac:dyDescent="0.3"/>
    <row r="50329" s="160" customFormat="1" x14ac:dyDescent="0.3"/>
    <row r="50330" s="160" customFormat="1" x14ac:dyDescent="0.3"/>
    <row r="50331" s="160" customFormat="1" x14ac:dyDescent="0.3"/>
    <row r="50332" s="160" customFormat="1" x14ac:dyDescent="0.3"/>
    <row r="50333" s="160" customFormat="1" x14ac:dyDescent="0.3"/>
    <row r="50334" s="160" customFormat="1" x14ac:dyDescent="0.3"/>
    <row r="50335" s="160" customFormat="1" x14ac:dyDescent="0.3"/>
    <row r="50336" s="160" customFormat="1" x14ac:dyDescent="0.3"/>
    <row r="50337" s="160" customFormat="1" x14ac:dyDescent="0.3"/>
    <row r="50338" s="160" customFormat="1" x14ac:dyDescent="0.3"/>
    <row r="50339" s="160" customFormat="1" x14ac:dyDescent="0.3"/>
    <row r="50340" s="160" customFormat="1" x14ac:dyDescent="0.3"/>
    <row r="50341" s="160" customFormat="1" x14ac:dyDescent="0.3"/>
    <row r="50342" s="160" customFormat="1" x14ac:dyDescent="0.3"/>
    <row r="50343" s="160" customFormat="1" x14ac:dyDescent="0.3"/>
    <row r="50344" s="160" customFormat="1" x14ac:dyDescent="0.3"/>
    <row r="50345" s="160" customFormat="1" x14ac:dyDescent="0.3"/>
    <row r="50346" s="160" customFormat="1" x14ac:dyDescent="0.3"/>
    <row r="50347" s="160" customFormat="1" x14ac:dyDescent="0.3"/>
    <row r="50348" s="160" customFormat="1" x14ac:dyDescent="0.3"/>
    <row r="50349" s="160" customFormat="1" x14ac:dyDescent="0.3"/>
    <row r="50350" s="160" customFormat="1" x14ac:dyDescent="0.3"/>
    <row r="50351" s="160" customFormat="1" x14ac:dyDescent="0.3"/>
    <row r="50352" s="160" customFormat="1" x14ac:dyDescent="0.3"/>
    <row r="50353" s="160" customFormat="1" x14ac:dyDescent="0.3"/>
    <row r="50354" s="160" customFormat="1" x14ac:dyDescent="0.3"/>
    <row r="50355" s="160" customFormat="1" x14ac:dyDescent="0.3"/>
    <row r="50356" s="160" customFormat="1" x14ac:dyDescent="0.3"/>
    <row r="50357" s="160" customFormat="1" x14ac:dyDescent="0.3"/>
    <row r="50358" s="160" customFormat="1" x14ac:dyDescent="0.3"/>
    <row r="50359" s="160" customFormat="1" x14ac:dyDescent="0.3"/>
    <row r="50360" s="160" customFormat="1" x14ac:dyDescent="0.3"/>
    <row r="50361" s="160" customFormat="1" x14ac:dyDescent="0.3"/>
    <row r="50362" s="160" customFormat="1" x14ac:dyDescent="0.3"/>
    <row r="50363" s="160" customFormat="1" x14ac:dyDescent="0.3"/>
    <row r="50364" s="160" customFormat="1" x14ac:dyDescent="0.3"/>
    <row r="50365" s="160" customFormat="1" x14ac:dyDescent="0.3"/>
    <row r="50366" s="160" customFormat="1" x14ac:dyDescent="0.3"/>
    <row r="50367" s="160" customFormat="1" x14ac:dyDescent="0.3"/>
    <row r="50368" s="160" customFormat="1" x14ac:dyDescent="0.3"/>
    <row r="50369" s="160" customFormat="1" x14ac:dyDescent="0.3"/>
    <row r="50370" s="160" customFormat="1" x14ac:dyDescent="0.3"/>
    <row r="50371" s="160" customFormat="1" x14ac:dyDescent="0.3"/>
    <row r="50372" s="160" customFormat="1" x14ac:dyDescent="0.3"/>
    <row r="50373" s="160" customFormat="1" x14ac:dyDescent="0.3"/>
    <row r="50374" s="160" customFormat="1" x14ac:dyDescent="0.3"/>
    <row r="50375" s="160" customFormat="1" x14ac:dyDescent="0.3"/>
    <row r="50376" s="160" customFormat="1" x14ac:dyDescent="0.3"/>
    <row r="50377" s="160" customFormat="1" x14ac:dyDescent="0.3"/>
    <row r="50378" s="160" customFormat="1" x14ac:dyDescent="0.3"/>
    <row r="50379" s="160" customFormat="1" x14ac:dyDescent="0.3"/>
    <row r="50380" s="160" customFormat="1" x14ac:dyDescent="0.3"/>
    <row r="50381" s="160" customFormat="1" x14ac:dyDescent="0.3"/>
    <row r="50382" s="160" customFormat="1" x14ac:dyDescent="0.3"/>
    <row r="50383" s="160" customFormat="1" x14ac:dyDescent="0.3"/>
    <row r="50384" s="160" customFormat="1" x14ac:dyDescent="0.3"/>
    <row r="50385" s="160" customFormat="1" x14ac:dyDescent="0.3"/>
    <row r="50386" s="160" customFormat="1" x14ac:dyDescent="0.3"/>
    <row r="50387" s="160" customFormat="1" x14ac:dyDescent="0.3"/>
    <row r="50388" s="160" customFormat="1" x14ac:dyDescent="0.3"/>
    <row r="50389" s="160" customFormat="1" x14ac:dyDescent="0.3"/>
    <row r="50390" s="160" customFormat="1" x14ac:dyDescent="0.3"/>
    <row r="50391" s="160" customFormat="1" x14ac:dyDescent="0.3"/>
    <row r="50392" s="160" customFormat="1" x14ac:dyDescent="0.3"/>
    <row r="50393" s="160" customFormat="1" x14ac:dyDescent="0.3"/>
    <row r="50394" s="160" customFormat="1" x14ac:dyDescent="0.3"/>
    <row r="50395" s="160" customFormat="1" x14ac:dyDescent="0.3"/>
    <row r="50396" s="160" customFormat="1" x14ac:dyDescent="0.3"/>
    <row r="50397" s="160" customFormat="1" x14ac:dyDescent="0.3"/>
    <row r="50398" s="160" customFormat="1" x14ac:dyDescent="0.3"/>
    <row r="50399" s="160" customFormat="1" x14ac:dyDescent="0.3"/>
    <row r="50400" s="160" customFormat="1" x14ac:dyDescent="0.3"/>
    <row r="50401" s="160" customFormat="1" x14ac:dyDescent="0.3"/>
    <row r="50402" s="160" customFormat="1" x14ac:dyDescent="0.3"/>
    <row r="50403" s="160" customFormat="1" x14ac:dyDescent="0.3"/>
    <row r="50404" s="160" customFormat="1" x14ac:dyDescent="0.3"/>
    <row r="50405" s="160" customFormat="1" x14ac:dyDescent="0.3"/>
    <row r="50406" s="160" customFormat="1" x14ac:dyDescent="0.3"/>
    <row r="50407" s="160" customFormat="1" x14ac:dyDescent="0.3"/>
    <row r="50408" s="160" customFormat="1" x14ac:dyDescent="0.3"/>
    <row r="50409" s="160" customFormat="1" x14ac:dyDescent="0.3"/>
    <row r="50410" s="160" customFormat="1" x14ac:dyDescent="0.3"/>
    <row r="50411" s="160" customFormat="1" x14ac:dyDescent="0.3"/>
    <row r="50412" s="160" customFormat="1" x14ac:dyDescent="0.3"/>
    <row r="50413" s="160" customFormat="1" x14ac:dyDescent="0.3"/>
    <row r="50414" s="160" customFormat="1" x14ac:dyDescent="0.3"/>
    <row r="50415" s="160" customFormat="1" x14ac:dyDescent="0.3"/>
    <row r="50416" s="160" customFormat="1" x14ac:dyDescent="0.3"/>
    <row r="50417" s="160" customFormat="1" x14ac:dyDescent="0.3"/>
    <row r="50418" s="160" customFormat="1" x14ac:dyDescent="0.3"/>
    <row r="50419" s="160" customFormat="1" x14ac:dyDescent="0.3"/>
    <row r="50420" s="160" customFormat="1" x14ac:dyDescent="0.3"/>
    <row r="50421" s="160" customFormat="1" x14ac:dyDescent="0.3"/>
    <row r="50422" s="160" customFormat="1" x14ac:dyDescent="0.3"/>
    <row r="50423" s="160" customFormat="1" x14ac:dyDescent="0.3"/>
    <row r="50424" s="160" customFormat="1" x14ac:dyDescent="0.3"/>
    <row r="50425" s="160" customFormat="1" x14ac:dyDescent="0.3"/>
    <row r="50426" s="160" customFormat="1" x14ac:dyDescent="0.3"/>
    <row r="50427" s="160" customFormat="1" x14ac:dyDescent="0.3"/>
    <row r="50428" s="160" customFormat="1" x14ac:dyDescent="0.3"/>
    <row r="50429" s="160" customFormat="1" x14ac:dyDescent="0.3"/>
    <row r="50430" s="160" customFormat="1" x14ac:dyDescent="0.3"/>
    <row r="50431" s="160" customFormat="1" x14ac:dyDescent="0.3"/>
    <row r="50432" s="160" customFormat="1" x14ac:dyDescent="0.3"/>
    <row r="50433" s="160" customFormat="1" x14ac:dyDescent="0.3"/>
    <row r="50434" s="160" customFormat="1" x14ac:dyDescent="0.3"/>
    <row r="50435" s="160" customFormat="1" x14ac:dyDescent="0.3"/>
    <row r="50436" s="160" customFormat="1" x14ac:dyDescent="0.3"/>
    <row r="50437" s="160" customFormat="1" x14ac:dyDescent="0.3"/>
    <row r="50438" s="160" customFormat="1" x14ac:dyDescent="0.3"/>
    <row r="50439" s="160" customFormat="1" x14ac:dyDescent="0.3"/>
    <row r="50440" s="160" customFormat="1" x14ac:dyDescent="0.3"/>
    <row r="50441" s="160" customFormat="1" x14ac:dyDescent="0.3"/>
    <row r="50442" s="160" customFormat="1" x14ac:dyDescent="0.3"/>
    <row r="50443" s="160" customFormat="1" x14ac:dyDescent="0.3"/>
    <row r="50444" s="160" customFormat="1" x14ac:dyDescent="0.3"/>
    <row r="50445" s="160" customFormat="1" x14ac:dyDescent="0.3"/>
    <row r="50446" s="160" customFormat="1" x14ac:dyDescent="0.3"/>
    <row r="50447" s="160" customFormat="1" x14ac:dyDescent="0.3"/>
    <row r="50448" s="160" customFormat="1" x14ac:dyDescent="0.3"/>
    <row r="50449" s="160" customFormat="1" x14ac:dyDescent="0.3"/>
    <row r="50450" s="160" customFormat="1" x14ac:dyDescent="0.3"/>
    <row r="50451" s="160" customFormat="1" x14ac:dyDescent="0.3"/>
    <row r="50452" s="160" customFormat="1" x14ac:dyDescent="0.3"/>
    <row r="50453" s="160" customFormat="1" x14ac:dyDescent="0.3"/>
    <row r="50454" s="160" customFormat="1" x14ac:dyDescent="0.3"/>
    <row r="50455" s="160" customFormat="1" x14ac:dyDescent="0.3"/>
    <row r="50456" s="160" customFormat="1" x14ac:dyDescent="0.3"/>
    <row r="50457" s="160" customFormat="1" x14ac:dyDescent="0.3"/>
    <row r="50458" s="160" customFormat="1" x14ac:dyDescent="0.3"/>
    <row r="50459" s="160" customFormat="1" x14ac:dyDescent="0.3"/>
    <row r="50460" s="160" customFormat="1" x14ac:dyDescent="0.3"/>
    <row r="50461" s="160" customFormat="1" x14ac:dyDescent="0.3"/>
    <row r="50462" s="160" customFormat="1" x14ac:dyDescent="0.3"/>
    <row r="50463" s="160" customFormat="1" x14ac:dyDescent="0.3"/>
    <row r="50464" s="160" customFormat="1" x14ac:dyDescent="0.3"/>
    <row r="50465" s="160" customFormat="1" x14ac:dyDescent="0.3"/>
    <row r="50466" s="160" customFormat="1" x14ac:dyDescent="0.3"/>
    <row r="50467" s="160" customFormat="1" x14ac:dyDescent="0.3"/>
    <row r="50468" s="160" customFormat="1" x14ac:dyDescent="0.3"/>
    <row r="50469" s="160" customFormat="1" x14ac:dyDescent="0.3"/>
    <row r="50470" s="160" customFormat="1" x14ac:dyDescent="0.3"/>
    <row r="50471" s="160" customFormat="1" x14ac:dyDescent="0.3"/>
    <row r="50472" s="160" customFormat="1" x14ac:dyDescent="0.3"/>
    <row r="50473" s="160" customFormat="1" x14ac:dyDescent="0.3"/>
    <row r="50474" s="160" customFormat="1" x14ac:dyDescent="0.3"/>
    <row r="50475" s="160" customFormat="1" x14ac:dyDescent="0.3"/>
    <row r="50476" s="160" customFormat="1" x14ac:dyDescent="0.3"/>
    <row r="50477" s="160" customFormat="1" x14ac:dyDescent="0.3"/>
    <row r="50478" s="160" customFormat="1" x14ac:dyDescent="0.3"/>
    <row r="50479" s="160" customFormat="1" x14ac:dyDescent="0.3"/>
    <row r="50480" s="160" customFormat="1" x14ac:dyDescent="0.3"/>
    <row r="50481" s="160" customFormat="1" x14ac:dyDescent="0.3"/>
    <row r="50482" s="160" customFormat="1" x14ac:dyDescent="0.3"/>
    <row r="50483" s="160" customFormat="1" x14ac:dyDescent="0.3"/>
    <row r="50484" s="160" customFormat="1" x14ac:dyDescent="0.3"/>
    <row r="50485" s="160" customFormat="1" x14ac:dyDescent="0.3"/>
    <row r="50486" s="160" customFormat="1" x14ac:dyDescent="0.3"/>
    <row r="50487" s="160" customFormat="1" x14ac:dyDescent="0.3"/>
    <row r="50488" s="160" customFormat="1" x14ac:dyDescent="0.3"/>
    <row r="50489" s="160" customFormat="1" x14ac:dyDescent="0.3"/>
    <row r="50490" s="160" customFormat="1" x14ac:dyDescent="0.3"/>
    <row r="50491" s="160" customFormat="1" x14ac:dyDescent="0.3"/>
    <row r="50492" s="160" customFormat="1" x14ac:dyDescent="0.3"/>
    <row r="50493" s="160" customFormat="1" x14ac:dyDescent="0.3"/>
    <row r="50494" s="160" customFormat="1" x14ac:dyDescent="0.3"/>
    <row r="50495" s="160" customFormat="1" x14ac:dyDescent="0.3"/>
    <row r="50496" s="160" customFormat="1" x14ac:dyDescent="0.3"/>
    <row r="50497" s="160" customFormat="1" x14ac:dyDescent="0.3"/>
    <row r="50498" s="160" customFormat="1" x14ac:dyDescent="0.3"/>
    <row r="50499" s="160" customFormat="1" x14ac:dyDescent="0.3"/>
    <row r="50500" s="160" customFormat="1" x14ac:dyDescent="0.3"/>
    <row r="50501" s="160" customFormat="1" x14ac:dyDescent="0.3"/>
    <row r="50502" s="160" customFormat="1" x14ac:dyDescent="0.3"/>
    <row r="50503" s="160" customFormat="1" x14ac:dyDescent="0.3"/>
    <row r="50504" s="160" customFormat="1" x14ac:dyDescent="0.3"/>
    <row r="50505" s="160" customFormat="1" x14ac:dyDescent="0.3"/>
    <row r="50506" s="160" customFormat="1" x14ac:dyDescent="0.3"/>
    <row r="50507" s="160" customFormat="1" x14ac:dyDescent="0.3"/>
    <row r="50508" s="160" customFormat="1" x14ac:dyDescent="0.3"/>
    <row r="50509" s="160" customFormat="1" x14ac:dyDescent="0.3"/>
    <row r="50510" s="160" customFormat="1" x14ac:dyDescent="0.3"/>
    <row r="50511" s="160" customFormat="1" x14ac:dyDescent="0.3"/>
    <row r="50512" s="160" customFormat="1" x14ac:dyDescent="0.3"/>
    <row r="50513" s="160" customFormat="1" x14ac:dyDescent="0.3"/>
    <row r="50514" s="160" customFormat="1" x14ac:dyDescent="0.3"/>
    <row r="50515" s="160" customFormat="1" x14ac:dyDescent="0.3"/>
    <row r="50516" s="160" customFormat="1" x14ac:dyDescent="0.3"/>
    <row r="50517" s="160" customFormat="1" x14ac:dyDescent="0.3"/>
    <row r="50518" s="160" customFormat="1" x14ac:dyDescent="0.3"/>
    <row r="50519" s="160" customFormat="1" x14ac:dyDescent="0.3"/>
    <row r="50520" s="160" customFormat="1" x14ac:dyDescent="0.3"/>
    <row r="50521" s="160" customFormat="1" x14ac:dyDescent="0.3"/>
    <row r="50522" s="160" customFormat="1" x14ac:dyDescent="0.3"/>
    <row r="50523" s="160" customFormat="1" x14ac:dyDescent="0.3"/>
    <row r="50524" s="160" customFormat="1" x14ac:dyDescent="0.3"/>
    <row r="50525" s="160" customFormat="1" x14ac:dyDescent="0.3"/>
    <row r="50526" s="160" customFormat="1" x14ac:dyDescent="0.3"/>
    <row r="50527" s="160" customFormat="1" x14ac:dyDescent="0.3"/>
    <row r="50528" s="160" customFormat="1" x14ac:dyDescent="0.3"/>
    <row r="50529" s="160" customFormat="1" x14ac:dyDescent="0.3"/>
    <row r="50530" s="160" customFormat="1" x14ac:dyDescent="0.3"/>
    <row r="50531" s="160" customFormat="1" x14ac:dyDescent="0.3"/>
    <row r="50532" s="160" customFormat="1" x14ac:dyDescent="0.3"/>
    <row r="50533" s="160" customFormat="1" x14ac:dyDescent="0.3"/>
    <row r="50534" s="160" customFormat="1" x14ac:dyDescent="0.3"/>
    <row r="50535" s="160" customFormat="1" x14ac:dyDescent="0.3"/>
    <row r="50536" s="160" customFormat="1" x14ac:dyDescent="0.3"/>
    <row r="50537" s="160" customFormat="1" x14ac:dyDescent="0.3"/>
    <row r="50538" s="160" customFormat="1" x14ac:dyDescent="0.3"/>
    <row r="50539" s="160" customFormat="1" x14ac:dyDescent="0.3"/>
    <row r="50540" s="160" customFormat="1" x14ac:dyDescent="0.3"/>
    <row r="50541" s="160" customFormat="1" x14ac:dyDescent="0.3"/>
    <row r="50542" s="160" customFormat="1" x14ac:dyDescent="0.3"/>
    <row r="50543" s="160" customFormat="1" x14ac:dyDescent="0.3"/>
    <row r="50544" s="160" customFormat="1" x14ac:dyDescent="0.3"/>
    <row r="50545" s="160" customFormat="1" x14ac:dyDescent="0.3"/>
    <row r="50546" s="160" customFormat="1" x14ac:dyDescent="0.3"/>
    <row r="50547" s="160" customFormat="1" x14ac:dyDescent="0.3"/>
    <row r="50548" s="160" customFormat="1" x14ac:dyDescent="0.3"/>
    <row r="50549" s="160" customFormat="1" x14ac:dyDescent="0.3"/>
    <row r="50550" s="160" customFormat="1" x14ac:dyDescent="0.3"/>
    <row r="50551" s="160" customFormat="1" x14ac:dyDescent="0.3"/>
    <row r="50552" s="160" customFormat="1" x14ac:dyDescent="0.3"/>
    <row r="50553" s="160" customFormat="1" x14ac:dyDescent="0.3"/>
    <row r="50554" s="160" customFormat="1" x14ac:dyDescent="0.3"/>
    <row r="50555" s="160" customFormat="1" x14ac:dyDescent="0.3"/>
    <row r="50556" s="160" customFormat="1" x14ac:dyDescent="0.3"/>
    <row r="50557" s="160" customFormat="1" x14ac:dyDescent="0.3"/>
    <row r="50558" s="160" customFormat="1" x14ac:dyDescent="0.3"/>
    <row r="50559" s="160" customFormat="1" x14ac:dyDescent="0.3"/>
    <row r="50560" s="160" customFormat="1" x14ac:dyDescent="0.3"/>
    <row r="50561" s="160" customFormat="1" x14ac:dyDescent="0.3"/>
    <row r="50562" s="160" customFormat="1" x14ac:dyDescent="0.3"/>
    <row r="50563" s="160" customFormat="1" x14ac:dyDescent="0.3"/>
    <row r="50564" s="160" customFormat="1" x14ac:dyDescent="0.3"/>
    <row r="50565" s="160" customFormat="1" x14ac:dyDescent="0.3"/>
    <row r="50566" s="160" customFormat="1" x14ac:dyDescent="0.3"/>
    <row r="50567" s="160" customFormat="1" x14ac:dyDescent="0.3"/>
    <row r="50568" s="160" customFormat="1" x14ac:dyDescent="0.3"/>
    <row r="50569" s="160" customFormat="1" x14ac:dyDescent="0.3"/>
    <row r="50570" s="160" customFormat="1" x14ac:dyDescent="0.3"/>
    <row r="50571" s="160" customFormat="1" x14ac:dyDescent="0.3"/>
    <row r="50572" s="160" customFormat="1" x14ac:dyDescent="0.3"/>
    <row r="50573" s="160" customFormat="1" x14ac:dyDescent="0.3"/>
    <row r="50574" s="160" customFormat="1" x14ac:dyDescent="0.3"/>
    <row r="50575" s="160" customFormat="1" x14ac:dyDescent="0.3"/>
    <row r="50576" s="160" customFormat="1" x14ac:dyDescent="0.3"/>
    <row r="50577" s="160" customFormat="1" x14ac:dyDescent="0.3"/>
    <row r="50578" s="160" customFormat="1" x14ac:dyDescent="0.3"/>
    <row r="50579" s="160" customFormat="1" x14ac:dyDescent="0.3"/>
    <row r="50580" s="160" customFormat="1" x14ac:dyDescent="0.3"/>
    <row r="50581" s="160" customFormat="1" x14ac:dyDescent="0.3"/>
    <row r="50582" s="160" customFormat="1" x14ac:dyDescent="0.3"/>
    <row r="50583" s="160" customFormat="1" x14ac:dyDescent="0.3"/>
    <row r="50584" s="160" customFormat="1" x14ac:dyDescent="0.3"/>
    <row r="50585" s="160" customFormat="1" x14ac:dyDescent="0.3"/>
    <row r="50586" s="160" customFormat="1" x14ac:dyDescent="0.3"/>
    <row r="50587" s="160" customFormat="1" x14ac:dyDescent="0.3"/>
    <row r="50588" s="160" customFormat="1" x14ac:dyDescent="0.3"/>
    <row r="50589" s="160" customFormat="1" x14ac:dyDescent="0.3"/>
    <row r="50590" s="160" customFormat="1" x14ac:dyDescent="0.3"/>
    <row r="50591" s="160" customFormat="1" x14ac:dyDescent="0.3"/>
    <row r="50592" s="160" customFormat="1" x14ac:dyDescent="0.3"/>
    <row r="50593" s="160" customFormat="1" x14ac:dyDescent="0.3"/>
    <row r="50594" s="160" customFormat="1" x14ac:dyDescent="0.3"/>
    <row r="50595" s="160" customFormat="1" x14ac:dyDescent="0.3"/>
    <row r="50596" s="160" customFormat="1" x14ac:dyDescent="0.3"/>
    <row r="50597" s="160" customFormat="1" x14ac:dyDescent="0.3"/>
    <row r="50598" s="160" customFormat="1" x14ac:dyDescent="0.3"/>
    <row r="50599" s="160" customFormat="1" x14ac:dyDescent="0.3"/>
    <row r="50600" s="160" customFormat="1" x14ac:dyDescent="0.3"/>
    <row r="50601" s="160" customFormat="1" x14ac:dyDescent="0.3"/>
    <row r="50602" s="160" customFormat="1" x14ac:dyDescent="0.3"/>
    <row r="50603" s="160" customFormat="1" x14ac:dyDescent="0.3"/>
    <row r="50604" s="160" customFormat="1" x14ac:dyDescent="0.3"/>
    <row r="50605" s="160" customFormat="1" x14ac:dyDescent="0.3"/>
    <row r="50606" s="160" customFormat="1" x14ac:dyDescent="0.3"/>
    <row r="50607" s="160" customFormat="1" x14ac:dyDescent="0.3"/>
    <row r="50608" s="160" customFormat="1" x14ac:dyDescent="0.3"/>
    <row r="50609" s="160" customFormat="1" x14ac:dyDescent="0.3"/>
    <row r="50610" s="160" customFormat="1" x14ac:dyDescent="0.3"/>
    <row r="50611" s="160" customFormat="1" x14ac:dyDescent="0.3"/>
    <row r="50612" s="160" customFormat="1" x14ac:dyDescent="0.3"/>
    <row r="50613" s="160" customFormat="1" x14ac:dyDescent="0.3"/>
    <row r="50614" s="160" customFormat="1" x14ac:dyDescent="0.3"/>
    <row r="50615" s="160" customFormat="1" x14ac:dyDescent="0.3"/>
    <row r="50616" s="160" customFormat="1" x14ac:dyDescent="0.3"/>
    <row r="50617" s="160" customFormat="1" x14ac:dyDescent="0.3"/>
    <row r="50618" s="160" customFormat="1" x14ac:dyDescent="0.3"/>
    <row r="50619" s="160" customFormat="1" x14ac:dyDescent="0.3"/>
    <row r="50620" s="160" customFormat="1" x14ac:dyDescent="0.3"/>
    <row r="50621" s="160" customFormat="1" x14ac:dyDescent="0.3"/>
    <row r="50622" s="160" customFormat="1" x14ac:dyDescent="0.3"/>
    <row r="50623" s="160" customFormat="1" x14ac:dyDescent="0.3"/>
    <row r="50624" s="160" customFormat="1" x14ac:dyDescent="0.3"/>
    <row r="50625" s="160" customFormat="1" x14ac:dyDescent="0.3"/>
    <row r="50626" s="160" customFormat="1" x14ac:dyDescent="0.3"/>
    <row r="50627" s="160" customFormat="1" x14ac:dyDescent="0.3"/>
    <row r="50628" s="160" customFormat="1" x14ac:dyDescent="0.3"/>
    <row r="50629" s="160" customFormat="1" x14ac:dyDescent="0.3"/>
    <row r="50630" s="160" customFormat="1" x14ac:dyDescent="0.3"/>
    <row r="50631" s="160" customFormat="1" x14ac:dyDescent="0.3"/>
    <row r="50632" s="160" customFormat="1" x14ac:dyDescent="0.3"/>
    <row r="50633" s="160" customFormat="1" x14ac:dyDescent="0.3"/>
    <row r="50634" s="160" customFormat="1" x14ac:dyDescent="0.3"/>
    <row r="50635" s="160" customFormat="1" x14ac:dyDescent="0.3"/>
    <row r="50636" s="160" customFormat="1" x14ac:dyDescent="0.3"/>
    <row r="50637" s="160" customFormat="1" x14ac:dyDescent="0.3"/>
    <row r="50638" s="160" customFormat="1" x14ac:dyDescent="0.3"/>
    <row r="50639" s="160" customFormat="1" x14ac:dyDescent="0.3"/>
    <row r="50640" s="160" customFormat="1" x14ac:dyDescent="0.3"/>
    <row r="50641" s="160" customFormat="1" x14ac:dyDescent="0.3"/>
    <row r="50642" s="160" customFormat="1" x14ac:dyDescent="0.3"/>
    <row r="50643" s="160" customFormat="1" x14ac:dyDescent="0.3"/>
    <row r="50644" s="160" customFormat="1" x14ac:dyDescent="0.3"/>
    <row r="50645" s="160" customFormat="1" x14ac:dyDescent="0.3"/>
    <row r="50646" s="160" customFormat="1" x14ac:dyDescent="0.3"/>
    <row r="50647" s="160" customFormat="1" x14ac:dyDescent="0.3"/>
    <row r="50648" s="160" customFormat="1" x14ac:dyDescent="0.3"/>
    <row r="50649" s="160" customFormat="1" x14ac:dyDescent="0.3"/>
    <row r="50650" s="160" customFormat="1" x14ac:dyDescent="0.3"/>
    <row r="50651" s="160" customFormat="1" x14ac:dyDescent="0.3"/>
    <row r="50652" s="160" customFormat="1" x14ac:dyDescent="0.3"/>
    <row r="50653" s="160" customFormat="1" x14ac:dyDescent="0.3"/>
    <row r="50654" s="160" customFormat="1" x14ac:dyDescent="0.3"/>
    <row r="50655" s="160" customFormat="1" x14ac:dyDescent="0.3"/>
    <row r="50656" s="160" customFormat="1" x14ac:dyDescent="0.3"/>
    <row r="50657" s="160" customFormat="1" x14ac:dyDescent="0.3"/>
    <row r="50658" s="160" customFormat="1" x14ac:dyDescent="0.3"/>
    <row r="50659" s="160" customFormat="1" x14ac:dyDescent="0.3"/>
    <row r="50660" s="160" customFormat="1" x14ac:dyDescent="0.3"/>
    <row r="50661" s="160" customFormat="1" x14ac:dyDescent="0.3"/>
    <row r="50662" s="160" customFormat="1" x14ac:dyDescent="0.3"/>
    <row r="50663" s="160" customFormat="1" x14ac:dyDescent="0.3"/>
    <row r="50664" s="160" customFormat="1" x14ac:dyDescent="0.3"/>
    <row r="50665" s="160" customFormat="1" x14ac:dyDescent="0.3"/>
    <row r="50666" s="160" customFormat="1" x14ac:dyDescent="0.3"/>
    <row r="50667" s="160" customFormat="1" x14ac:dyDescent="0.3"/>
    <row r="50668" s="160" customFormat="1" x14ac:dyDescent="0.3"/>
    <row r="50669" s="160" customFormat="1" x14ac:dyDescent="0.3"/>
    <row r="50670" s="160" customFormat="1" x14ac:dyDescent="0.3"/>
    <row r="50671" s="160" customFormat="1" x14ac:dyDescent="0.3"/>
    <row r="50672" s="160" customFormat="1" x14ac:dyDescent="0.3"/>
    <row r="50673" s="160" customFormat="1" x14ac:dyDescent="0.3"/>
    <row r="50674" s="160" customFormat="1" x14ac:dyDescent="0.3"/>
    <row r="50675" s="160" customFormat="1" x14ac:dyDescent="0.3"/>
    <row r="50676" s="160" customFormat="1" x14ac:dyDescent="0.3"/>
    <row r="50677" s="160" customFormat="1" x14ac:dyDescent="0.3"/>
    <row r="50678" s="160" customFormat="1" x14ac:dyDescent="0.3"/>
    <row r="50679" s="160" customFormat="1" x14ac:dyDescent="0.3"/>
    <row r="50680" s="160" customFormat="1" x14ac:dyDescent="0.3"/>
    <row r="50681" s="160" customFormat="1" x14ac:dyDescent="0.3"/>
    <row r="50682" s="160" customFormat="1" x14ac:dyDescent="0.3"/>
    <row r="50683" s="160" customFormat="1" x14ac:dyDescent="0.3"/>
    <row r="50684" s="160" customFormat="1" x14ac:dyDescent="0.3"/>
    <row r="50685" s="160" customFormat="1" x14ac:dyDescent="0.3"/>
    <row r="50686" s="160" customFormat="1" x14ac:dyDescent="0.3"/>
    <row r="50687" s="160" customFormat="1" x14ac:dyDescent="0.3"/>
    <row r="50688" s="160" customFormat="1" x14ac:dyDescent="0.3"/>
    <row r="50689" s="160" customFormat="1" x14ac:dyDescent="0.3"/>
    <row r="50690" s="160" customFormat="1" x14ac:dyDescent="0.3"/>
    <row r="50691" s="160" customFormat="1" x14ac:dyDescent="0.3"/>
    <row r="50692" s="160" customFormat="1" x14ac:dyDescent="0.3"/>
    <row r="50693" s="160" customFormat="1" x14ac:dyDescent="0.3"/>
    <row r="50694" s="160" customFormat="1" x14ac:dyDescent="0.3"/>
    <row r="50695" s="160" customFormat="1" x14ac:dyDescent="0.3"/>
    <row r="50696" s="160" customFormat="1" x14ac:dyDescent="0.3"/>
    <row r="50697" s="160" customFormat="1" x14ac:dyDescent="0.3"/>
    <row r="50698" s="160" customFormat="1" x14ac:dyDescent="0.3"/>
    <row r="50699" s="160" customFormat="1" x14ac:dyDescent="0.3"/>
    <row r="50700" s="160" customFormat="1" x14ac:dyDescent="0.3"/>
    <row r="50701" s="160" customFormat="1" x14ac:dyDescent="0.3"/>
    <row r="50702" s="160" customFormat="1" x14ac:dyDescent="0.3"/>
    <row r="50703" s="160" customFormat="1" x14ac:dyDescent="0.3"/>
    <row r="50704" s="160" customFormat="1" x14ac:dyDescent="0.3"/>
    <row r="50705" s="160" customFormat="1" x14ac:dyDescent="0.3"/>
    <row r="50706" s="160" customFormat="1" x14ac:dyDescent="0.3"/>
    <row r="50707" s="160" customFormat="1" x14ac:dyDescent="0.3"/>
    <row r="50708" s="160" customFormat="1" x14ac:dyDescent="0.3"/>
    <row r="50709" s="160" customFormat="1" x14ac:dyDescent="0.3"/>
    <row r="50710" s="160" customFormat="1" x14ac:dyDescent="0.3"/>
    <row r="50711" s="160" customFormat="1" x14ac:dyDescent="0.3"/>
    <row r="50712" s="160" customFormat="1" x14ac:dyDescent="0.3"/>
    <row r="50713" s="160" customFormat="1" x14ac:dyDescent="0.3"/>
    <row r="50714" s="160" customFormat="1" x14ac:dyDescent="0.3"/>
    <row r="50715" s="160" customFormat="1" x14ac:dyDescent="0.3"/>
    <row r="50716" s="160" customFormat="1" x14ac:dyDescent="0.3"/>
    <row r="50717" s="160" customFormat="1" x14ac:dyDescent="0.3"/>
    <row r="50718" s="160" customFormat="1" x14ac:dyDescent="0.3"/>
    <row r="50719" s="160" customFormat="1" x14ac:dyDescent="0.3"/>
    <row r="50720" s="160" customFormat="1" x14ac:dyDescent="0.3"/>
    <row r="50721" s="160" customFormat="1" x14ac:dyDescent="0.3"/>
    <row r="50722" s="160" customFormat="1" x14ac:dyDescent="0.3"/>
    <row r="50723" s="160" customFormat="1" x14ac:dyDescent="0.3"/>
    <row r="50724" s="160" customFormat="1" x14ac:dyDescent="0.3"/>
    <row r="50725" s="160" customFormat="1" x14ac:dyDescent="0.3"/>
    <row r="50726" s="160" customFormat="1" x14ac:dyDescent="0.3"/>
    <row r="50727" s="160" customFormat="1" x14ac:dyDescent="0.3"/>
    <row r="50728" s="160" customFormat="1" x14ac:dyDescent="0.3"/>
    <row r="50729" s="160" customFormat="1" x14ac:dyDescent="0.3"/>
    <row r="50730" s="160" customFormat="1" x14ac:dyDescent="0.3"/>
    <row r="50731" s="160" customFormat="1" x14ac:dyDescent="0.3"/>
    <row r="50732" s="160" customFormat="1" x14ac:dyDescent="0.3"/>
    <row r="50733" s="160" customFormat="1" x14ac:dyDescent="0.3"/>
    <row r="50734" s="160" customFormat="1" x14ac:dyDescent="0.3"/>
    <row r="50735" s="160" customFormat="1" x14ac:dyDescent="0.3"/>
    <row r="50736" s="160" customFormat="1" x14ac:dyDescent="0.3"/>
    <row r="50737" s="160" customFormat="1" x14ac:dyDescent="0.3"/>
    <row r="50738" s="160" customFormat="1" x14ac:dyDescent="0.3"/>
    <row r="50739" s="160" customFormat="1" x14ac:dyDescent="0.3"/>
    <row r="50740" s="160" customFormat="1" x14ac:dyDescent="0.3"/>
    <row r="50741" s="160" customFormat="1" x14ac:dyDescent="0.3"/>
    <row r="50742" s="160" customFormat="1" x14ac:dyDescent="0.3"/>
    <row r="50743" s="160" customFormat="1" x14ac:dyDescent="0.3"/>
    <row r="50744" s="160" customFormat="1" x14ac:dyDescent="0.3"/>
    <row r="50745" s="160" customFormat="1" x14ac:dyDescent="0.3"/>
    <row r="50746" s="160" customFormat="1" x14ac:dyDescent="0.3"/>
    <row r="50747" s="160" customFormat="1" x14ac:dyDescent="0.3"/>
    <row r="50748" s="160" customFormat="1" x14ac:dyDescent="0.3"/>
    <row r="50749" s="160" customFormat="1" x14ac:dyDescent="0.3"/>
    <row r="50750" s="160" customFormat="1" x14ac:dyDescent="0.3"/>
    <row r="50751" s="160" customFormat="1" x14ac:dyDescent="0.3"/>
    <row r="50752" s="160" customFormat="1" x14ac:dyDescent="0.3"/>
    <row r="50753" s="160" customFormat="1" x14ac:dyDescent="0.3"/>
    <row r="50754" s="160" customFormat="1" x14ac:dyDescent="0.3"/>
    <row r="50755" s="160" customFormat="1" x14ac:dyDescent="0.3"/>
    <row r="50756" s="160" customFormat="1" x14ac:dyDescent="0.3"/>
    <row r="50757" s="160" customFormat="1" x14ac:dyDescent="0.3"/>
    <row r="50758" s="160" customFormat="1" x14ac:dyDescent="0.3"/>
    <row r="50759" s="160" customFormat="1" x14ac:dyDescent="0.3"/>
    <row r="50760" s="160" customFormat="1" x14ac:dyDescent="0.3"/>
    <row r="50761" s="160" customFormat="1" x14ac:dyDescent="0.3"/>
    <row r="50762" s="160" customFormat="1" x14ac:dyDescent="0.3"/>
    <row r="50763" s="160" customFormat="1" x14ac:dyDescent="0.3"/>
    <row r="50764" s="160" customFormat="1" x14ac:dyDescent="0.3"/>
    <row r="50765" s="160" customFormat="1" x14ac:dyDescent="0.3"/>
    <row r="50766" s="160" customFormat="1" x14ac:dyDescent="0.3"/>
    <row r="50767" s="160" customFormat="1" x14ac:dyDescent="0.3"/>
    <row r="50768" s="160" customFormat="1" x14ac:dyDescent="0.3"/>
    <row r="50769" s="160" customFormat="1" x14ac:dyDescent="0.3"/>
    <row r="50770" s="160" customFormat="1" x14ac:dyDescent="0.3"/>
    <row r="50771" s="160" customFormat="1" x14ac:dyDescent="0.3"/>
    <row r="50772" s="160" customFormat="1" x14ac:dyDescent="0.3"/>
    <row r="50773" s="160" customFormat="1" x14ac:dyDescent="0.3"/>
    <row r="50774" s="160" customFormat="1" x14ac:dyDescent="0.3"/>
    <row r="50775" s="160" customFormat="1" x14ac:dyDescent="0.3"/>
    <row r="50776" s="160" customFormat="1" x14ac:dyDescent="0.3"/>
    <row r="50777" s="160" customFormat="1" x14ac:dyDescent="0.3"/>
    <row r="50778" s="160" customFormat="1" x14ac:dyDescent="0.3"/>
    <row r="50779" s="160" customFormat="1" x14ac:dyDescent="0.3"/>
    <row r="50780" s="160" customFormat="1" x14ac:dyDescent="0.3"/>
    <row r="50781" s="160" customFormat="1" x14ac:dyDescent="0.3"/>
    <row r="50782" s="160" customFormat="1" x14ac:dyDescent="0.3"/>
    <row r="50783" s="160" customFormat="1" x14ac:dyDescent="0.3"/>
    <row r="50784" s="160" customFormat="1" x14ac:dyDescent="0.3"/>
    <row r="50785" s="160" customFormat="1" x14ac:dyDescent="0.3"/>
    <row r="50786" s="160" customFormat="1" x14ac:dyDescent="0.3"/>
    <row r="50787" s="160" customFormat="1" x14ac:dyDescent="0.3"/>
    <row r="50788" s="160" customFormat="1" x14ac:dyDescent="0.3"/>
    <row r="50789" s="160" customFormat="1" x14ac:dyDescent="0.3"/>
    <row r="50790" s="160" customFormat="1" x14ac:dyDescent="0.3"/>
    <row r="50791" s="160" customFormat="1" x14ac:dyDescent="0.3"/>
    <row r="50792" s="160" customFormat="1" x14ac:dyDescent="0.3"/>
    <row r="50793" s="160" customFormat="1" x14ac:dyDescent="0.3"/>
    <row r="50794" s="160" customFormat="1" x14ac:dyDescent="0.3"/>
    <row r="50795" s="160" customFormat="1" x14ac:dyDescent="0.3"/>
    <row r="50796" s="160" customFormat="1" x14ac:dyDescent="0.3"/>
    <row r="50797" s="160" customFormat="1" x14ac:dyDescent="0.3"/>
    <row r="50798" s="160" customFormat="1" x14ac:dyDescent="0.3"/>
    <row r="50799" s="160" customFormat="1" x14ac:dyDescent="0.3"/>
    <row r="50800" s="160" customFormat="1" x14ac:dyDescent="0.3"/>
    <row r="50801" s="160" customFormat="1" x14ac:dyDescent="0.3"/>
    <row r="50802" s="160" customFormat="1" x14ac:dyDescent="0.3"/>
    <row r="50803" s="160" customFormat="1" x14ac:dyDescent="0.3"/>
    <row r="50804" s="160" customFormat="1" x14ac:dyDescent="0.3"/>
    <row r="50805" s="160" customFormat="1" x14ac:dyDescent="0.3"/>
    <row r="50806" s="160" customFormat="1" x14ac:dyDescent="0.3"/>
    <row r="50807" s="160" customFormat="1" x14ac:dyDescent="0.3"/>
    <row r="50808" s="160" customFormat="1" x14ac:dyDescent="0.3"/>
    <row r="50809" s="160" customFormat="1" x14ac:dyDescent="0.3"/>
    <row r="50810" s="160" customFormat="1" x14ac:dyDescent="0.3"/>
    <row r="50811" s="160" customFormat="1" x14ac:dyDescent="0.3"/>
    <row r="50812" s="160" customFormat="1" x14ac:dyDescent="0.3"/>
    <row r="50813" s="160" customFormat="1" x14ac:dyDescent="0.3"/>
    <row r="50814" s="160" customFormat="1" x14ac:dyDescent="0.3"/>
    <row r="50815" s="160" customFormat="1" x14ac:dyDescent="0.3"/>
    <row r="50816" s="160" customFormat="1" x14ac:dyDescent="0.3"/>
    <row r="50817" s="160" customFormat="1" x14ac:dyDescent="0.3"/>
    <row r="50818" s="160" customFormat="1" x14ac:dyDescent="0.3"/>
    <row r="50819" s="160" customFormat="1" x14ac:dyDescent="0.3"/>
    <row r="50820" s="160" customFormat="1" x14ac:dyDescent="0.3"/>
    <row r="50821" s="160" customFormat="1" x14ac:dyDescent="0.3"/>
    <row r="50822" s="160" customFormat="1" x14ac:dyDescent="0.3"/>
    <row r="50823" s="160" customFormat="1" x14ac:dyDescent="0.3"/>
    <row r="50824" s="160" customFormat="1" x14ac:dyDescent="0.3"/>
    <row r="50825" s="160" customFormat="1" x14ac:dyDescent="0.3"/>
    <row r="50826" s="160" customFormat="1" x14ac:dyDescent="0.3"/>
    <row r="50827" s="160" customFormat="1" x14ac:dyDescent="0.3"/>
    <row r="50828" s="160" customFormat="1" x14ac:dyDescent="0.3"/>
    <row r="50829" s="160" customFormat="1" x14ac:dyDescent="0.3"/>
    <row r="50830" s="160" customFormat="1" x14ac:dyDescent="0.3"/>
    <row r="50831" s="160" customFormat="1" x14ac:dyDescent="0.3"/>
    <row r="50832" s="160" customFormat="1" x14ac:dyDescent="0.3"/>
    <row r="50833" s="160" customFormat="1" x14ac:dyDescent="0.3"/>
    <row r="50834" s="160" customFormat="1" x14ac:dyDescent="0.3"/>
    <row r="50835" s="160" customFormat="1" x14ac:dyDescent="0.3"/>
    <row r="50836" s="160" customFormat="1" x14ac:dyDescent="0.3"/>
    <row r="50837" s="160" customFormat="1" x14ac:dyDescent="0.3"/>
    <row r="50838" s="160" customFormat="1" x14ac:dyDescent="0.3"/>
    <row r="50839" s="160" customFormat="1" x14ac:dyDescent="0.3"/>
    <row r="50840" s="160" customFormat="1" x14ac:dyDescent="0.3"/>
    <row r="50841" s="160" customFormat="1" x14ac:dyDescent="0.3"/>
    <row r="50842" s="160" customFormat="1" x14ac:dyDescent="0.3"/>
    <row r="50843" s="160" customFormat="1" x14ac:dyDescent="0.3"/>
    <row r="50844" s="160" customFormat="1" x14ac:dyDescent="0.3"/>
    <row r="50845" s="160" customFormat="1" x14ac:dyDescent="0.3"/>
    <row r="50846" s="160" customFormat="1" x14ac:dyDescent="0.3"/>
    <row r="50847" s="160" customFormat="1" x14ac:dyDescent="0.3"/>
    <row r="50848" s="160" customFormat="1" x14ac:dyDescent="0.3"/>
    <row r="50849" s="160" customFormat="1" x14ac:dyDescent="0.3"/>
    <row r="50850" s="160" customFormat="1" x14ac:dyDescent="0.3"/>
    <row r="50851" s="160" customFormat="1" x14ac:dyDescent="0.3"/>
    <row r="50852" s="160" customFormat="1" x14ac:dyDescent="0.3"/>
    <row r="50853" s="160" customFormat="1" x14ac:dyDescent="0.3"/>
    <row r="50854" s="160" customFormat="1" x14ac:dyDescent="0.3"/>
    <row r="50855" s="160" customFormat="1" x14ac:dyDescent="0.3"/>
    <row r="50856" s="160" customFormat="1" x14ac:dyDescent="0.3"/>
    <row r="50857" s="160" customFormat="1" x14ac:dyDescent="0.3"/>
    <row r="50858" s="160" customFormat="1" x14ac:dyDescent="0.3"/>
    <row r="50859" s="160" customFormat="1" x14ac:dyDescent="0.3"/>
    <row r="50860" s="160" customFormat="1" x14ac:dyDescent="0.3"/>
    <row r="50861" s="160" customFormat="1" x14ac:dyDescent="0.3"/>
    <row r="50862" s="160" customFormat="1" x14ac:dyDescent="0.3"/>
    <row r="50863" s="160" customFormat="1" x14ac:dyDescent="0.3"/>
    <row r="50864" s="160" customFormat="1" x14ac:dyDescent="0.3"/>
    <row r="50865" s="160" customFormat="1" x14ac:dyDescent="0.3"/>
    <row r="50866" s="160" customFormat="1" x14ac:dyDescent="0.3"/>
    <row r="50867" s="160" customFormat="1" x14ac:dyDescent="0.3"/>
    <row r="50868" s="160" customFormat="1" x14ac:dyDescent="0.3"/>
    <row r="50869" s="160" customFormat="1" x14ac:dyDescent="0.3"/>
    <row r="50870" s="160" customFormat="1" x14ac:dyDescent="0.3"/>
    <row r="50871" s="160" customFormat="1" x14ac:dyDescent="0.3"/>
    <row r="50872" s="160" customFormat="1" x14ac:dyDescent="0.3"/>
    <row r="50873" s="160" customFormat="1" x14ac:dyDescent="0.3"/>
    <row r="50874" s="160" customFormat="1" x14ac:dyDescent="0.3"/>
    <row r="50875" s="160" customFormat="1" x14ac:dyDescent="0.3"/>
    <row r="50876" s="160" customFormat="1" x14ac:dyDescent="0.3"/>
    <row r="50877" s="160" customFormat="1" x14ac:dyDescent="0.3"/>
    <row r="50878" s="160" customFormat="1" x14ac:dyDescent="0.3"/>
    <row r="50879" s="160" customFormat="1" x14ac:dyDescent="0.3"/>
    <row r="50880" s="160" customFormat="1" x14ac:dyDescent="0.3"/>
    <row r="50881" s="160" customFormat="1" x14ac:dyDescent="0.3"/>
    <row r="50882" s="160" customFormat="1" x14ac:dyDescent="0.3"/>
    <row r="50883" s="160" customFormat="1" x14ac:dyDescent="0.3"/>
    <row r="50884" s="160" customFormat="1" x14ac:dyDescent="0.3"/>
    <row r="50885" s="160" customFormat="1" x14ac:dyDescent="0.3"/>
    <row r="50886" s="160" customFormat="1" x14ac:dyDescent="0.3"/>
    <row r="50887" s="160" customFormat="1" x14ac:dyDescent="0.3"/>
    <row r="50888" s="160" customFormat="1" x14ac:dyDescent="0.3"/>
    <row r="50889" s="160" customFormat="1" x14ac:dyDescent="0.3"/>
    <row r="50890" s="160" customFormat="1" x14ac:dyDescent="0.3"/>
    <row r="50891" s="160" customFormat="1" x14ac:dyDescent="0.3"/>
    <row r="50892" s="160" customFormat="1" x14ac:dyDescent="0.3"/>
    <row r="50893" s="160" customFormat="1" x14ac:dyDescent="0.3"/>
    <row r="50894" s="160" customFormat="1" x14ac:dyDescent="0.3"/>
    <row r="50895" s="160" customFormat="1" x14ac:dyDescent="0.3"/>
    <row r="50896" s="160" customFormat="1" x14ac:dyDescent="0.3"/>
    <row r="50897" s="160" customFormat="1" x14ac:dyDescent="0.3"/>
    <row r="50898" s="160" customFormat="1" x14ac:dyDescent="0.3"/>
    <row r="50899" s="160" customFormat="1" x14ac:dyDescent="0.3"/>
    <row r="50900" s="160" customFormat="1" x14ac:dyDescent="0.3"/>
    <row r="50901" s="160" customFormat="1" x14ac:dyDescent="0.3"/>
    <row r="50902" s="160" customFormat="1" x14ac:dyDescent="0.3"/>
    <row r="50903" s="160" customFormat="1" x14ac:dyDescent="0.3"/>
    <row r="50904" s="160" customFormat="1" x14ac:dyDescent="0.3"/>
    <row r="50905" s="160" customFormat="1" x14ac:dyDescent="0.3"/>
    <row r="50906" s="160" customFormat="1" x14ac:dyDescent="0.3"/>
    <row r="50907" s="160" customFormat="1" x14ac:dyDescent="0.3"/>
    <row r="50908" s="160" customFormat="1" x14ac:dyDescent="0.3"/>
    <row r="50909" s="160" customFormat="1" x14ac:dyDescent="0.3"/>
    <row r="50910" s="160" customFormat="1" x14ac:dyDescent="0.3"/>
    <row r="50911" s="160" customFormat="1" x14ac:dyDescent="0.3"/>
    <row r="50912" s="160" customFormat="1" x14ac:dyDescent="0.3"/>
    <row r="50913" s="160" customFormat="1" x14ac:dyDescent="0.3"/>
    <row r="50914" s="160" customFormat="1" x14ac:dyDescent="0.3"/>
    <row r="50915" s="160" customFormat="1" x14ac:dyDescent="0.3"/>
    <row r="50916" s="160" customFormat="1" x14ac:dyDescent="0.3"/>
    <row r="50917" s="160" customFormat="1" x14ac:dyDescent="0.3"/>
    <row r="50918" s="160" customFormat="1" x14ac:dyDescent="0.3"/>
    <row r="50919" s="160" customFormat="1" x14ac:dyDescent="0.3"/>
    <row r="50920" s="160" customFormat="1" x14ac:dyDescent="0.3"/>
    <row r="50921" s="160" customFormat="1" x14ac:dyDescent="0.3"/>
    <row r="50922" s="160" customFormat="1" x14ac:dyDescent="0.3"/>
    <row r="50923" s="160" customFormat="1" x14ac:dyDescent="0.3"/>
    <row r="50924" s="160" customFormat="1" x14ac:dyDescent="0.3"/>
    <row r="50925" s="160" customFormat="1" x14ac:dyDescent="0.3"/>
    <row r="50926" s="160" customFormat="1" x14ac:dyDescent="0.3"/>
    <row r="50927" s="160" customFormat="1" x14ac:dyDescent="0.3"/>
    <row r="50928" s="160" customFormat="1" x14ac:dyDescent="0.3"/>
    <row r="50929" s="160" customFormat="1" x14ac:dyDescent="0.3"/>
    <row r="50930" s="160" customFormat="1" x14ac:dyDescent="0.3"/>
    <row r="50931" s="160" customFormat="1" x14ac:dyDescent="0.3"/>
    <row r="50932" s="160" customFormat="1" x14ac:dyDescent="0.3"/>
    <row r="50933" s="160" customFormat="1" x14ac:dyDescent="0.3"/>
    <row r="50934" s="160" customFormat="1" x14ac:dyDescent="0.3"/>
    <row r="50935" s="160" customFormat="1" x14ac:dyDescent="0.3"/>
    <row r="50936" s="160" customFormat="1" x14ac:dyDescent="0.3"/>
    <row r="50937" s="160" customFormat="1" x14ac:dyDescent="0.3"/>
    <row r="50938" s="160" customFormat="1" x14ac:dyDescent="0.3"/>
    <row r="50939" s="160" customFormat="1" x14ac:dyDescent="0.3"/>
    <row r="50940" s="160" customFormat="1" x14ac:dyDescent="0.3"/>
    <row r="50941" s="160" customFormat="1" x14ac:dyDescent="0.3"/>
    <row r="50942" s="160" customFormat="1" x14ac:dyDescent="0.3"/>
    <row r="50943" s="160" customFormat="1" x14ac:dyDescent="0.3"/>
    <row r="50944" s="160" customFormat="1" x14ac:dyDescent="0.3"/>
    <row r="50945" s="160" customFormat="1" x14ac:dyDescent="0.3"/>
    <row r="50946" s="160" customFormat="1" x14ac:dyDescent="0.3"/>
    <row r="50947" s="160" customFormat="1" x14ac:dyDescent="0.3"/>
    <row r="50948" s="160" customFormat="1" x14ac:dyDescent="0.3"/>
    <row r="50949" s="160" customFormat="1" x14ac:dyDescent="0.3"/>
    <row r="50950" s="160" customFormat="1" x14ac:dyDescent="0.3"/>
    <row r="50951" s="160" customFormat="1" x14ac:dyDescent="0.3"/>
    <row r="50952" s="160" customFormat="1" x14ac:dyDescent="0.3"/>
    <row r="50953" s="160" customFormat="1" x14ac:dyDescent="0.3"/>
    <row r="50954" s="160" customFormat="1" x14ac:dyDescent="0.3"/>
    <row r="50955" s="160" customFormat="1" x14ac:dyDescent="0.3"/>
    <row r="50956" s="160" customFormat="1" x14ac:dyDescent="0.3"/>
    <row r="50957" s="160" customFormat="1" x14ac:dyDescent="0.3"/>
    <row r="50958" s="160" customFormat="1" x14ac:dyDescent="0.3"/>
    <row r="50959" s="160" customFormat="1" x14ac:dyDescent="0.3"/>
    <row r="50960" s="160" customFormat="1" x14ac:dyDescent="0.3"/>
    <row r="50961" s="160" customFormat="1" x14ac:dyDescent="0.3"/>
    <row r="50962" s="160" customFormat="1" x14ac:dyDescent="0.3"/>
    <row r="50963" s="160" customFormat="1" x14ac:dyDescent="0.3"/>
    <row r="50964" s="160" customFormat="1" x14ac:dyDescent="0.3"/>
    <row r="50965" s="160" customFormat="1" x14ac:dyDescent="0.3"/>
    <row r="50966" s="160" customFormat="1" x14ac:dyDescent="0.3"/>
    <row r="50967" s="160" customFormat="1" x14ac:dyDescent="0.3"/>
    <row r="50968" s="160" customFormat="1" x14ac:dyDescent="0.3"/>
    <row r="50969" s="160" customFormat="1" x14ac:dyDescent="0.3"/>
    <row r="50970" s="160" customFormat="1" x14ac:dyDescent="0.3"/>
    <row r="50971" s="160" customFormat="1" x14ac:dyDescent="0.3"/>
    <row r="50972" s="160" customFormat="1" x14ac:dyDescent="0.3"/>
    <row r="50973" s="160" customFormat="1" x14ac:dyDescent="0.3"/>
    <row r="50974" s="160" customFormat="1" x14ac:dyDescent="0.3"/>
    <row r="50975" s="160" customFormat="1" x14ac:dyDescent="0.3"/>
    <row r="50976" s="160" customFormat="1" x14ac:dyDescent="0.3"/>
    <row r="50977" s="160" customFormat="1" x14ac:dyDescent="0.3"/>
    <row r="50978" s="160" customFormat="1" x14ac:dyDescent="0.3"/>
    <row r="50979" s="160" customFormat="1" x14ac:dyDescent="0.3"/>
    <row r="50980" s="160" customFormat="1" x14ac:dyDescent="0.3"/>
    <row r="50981" s="160" customFormat="1" x14ac:dyDescent="0.3"/>
    <row r="50982" s="160" customFormat="1" x14ac:dyDescent="0.3"/>
    <row r="50983" s="160" customFormat="1" x14ac:dyDescent="0.3"/>
    <row r="50984" s="160" customFormat="1" x14ac:dyDescent="0.3"/>
    <row r="50985" s="160" customFormat="1" x14ac:dyDescent="0.3"/>
    <row r="50986" s="160" customFormat="1" x14ac:dyDescent="0.3"/>
    <row r="50987" s="160" customFormat="1" x14ac:dyDescent="0.3"/>
    <row r="50988" s="160" customFormat="1" x14ac:dyDescent="0.3"/>
    <row r="50989" s="160" customFormat="1" x14ac:dyDescent="0.3"/>
    <row r="50990" s="160" customFormat="1" x14ac:dyDescent="0.3"/>
    <row r="50991" s="160" customFormat="1" x14ac:dyDescent="0.3"/>
    <row r="50992" s="160" customFormat="1" x14ac:dyDescent="0.3"/>
    <row r="50993" s="160" customFormat="1" x14ac:dyDescent="0.3"/>
    <row r="50994" s="160" customFormat="1" x14ac:dyDescent="0.3"/>
    <row r="50995" s="160" customFormat="1" x14ac:dyDescent="0.3"/>
    <row r="50996" s="160" customFormat="1" x14ac:dyDescent="0.3"/>
    <row r="50997" s="160" customFormat="1" x14ac:dyDescent="0.3"/>
    <row r="50998" s="160" customFormat="1" x14ac:dyDescent="0.3"/>
    <row r="50999" s="160" customFormat="1" x14ac:dyDescent="0.3"/>
    <row r="51000" s="160" customFormat="1" x14ac:dyDescent="0.3"/>
    <row r="51001" s="160" customFormat="1" x14ac:dyDescent="0.3"/>
    <row r="51002" s="160" customFormat="1" x14ac:dyDescent="0.3"/>
    <row r="51003" s="160" customFormat="1" x14ac:dyDescent="0.3"/>
    <row r="51004" s="160" customFormat="1" x14ac:dyDescent="0.3"/>
    <row r="51005" s="160" customFormat="1" x14ac:dyDescent="0.3"/>
    <row r="51006" s="160" customFormat="1" x14ac:dyDescent="0.3"/>
    <row r="51007" s="160" customFormat="1" x14ac:dyDescent="0.3"/>
    <row r="51008" s="160" customFormat="1" x14ac:dyDescent="0.3"/>
    <row r="51009" s="160" customFormat="1" x14ac:dyDescent="0.3"/>
    <row r="51010" s="160" customFormat="1" x14ac:dyDescent="0.3"/>
    <row r="51011" s="160" customFormat="1" x14ac:dyDescent="0.3"/>
    <row r="51012" s="160" customFormat="1" x14ac:dyDescent="0.3"/>
    <row r="51013" s="160" customFormat="1" x14ac:dyDescent="0.3"/>
    <row r="51014" s="160" customFormat="1" x14ac:dyDescent="0.3"/>
    <row r="51015" s="160" customFormat="1" x14ac:dyDescent="0.3"/>
    <row r="51016" s="160" customFormat="1" x14ac:dyDescent="0.3"/>
    <row r="51017" s="160" customFormat="1" x14ac:dyDescent="0.3"/>
    <row r="51018" s="160" customFormat="1" x14ac:dyDescent="0.3"/>
    <row r="51019" s="160" customFormat="1" x14ac:dyDescent="0.3"/>
    <row r="51020" s="160" customFormat="1" x14ac:dyDescent="0.3"/>
    <row r="51021" s="160" customFormat="1" x14ac:dyDescent="0.3"/>
    <row r="51022" s="160" customFormat="1" x14ac:dyDescent="0.3"/>
    <row r="51023" s="160" customFormat="1" x14ac:dyDescent="0.3"/>
    <row r="51024" s="160" customFormat="1" x14ac:dyDescent="0.3"/>
    <row r="51025" s="160" customFormat="1" x14ac:dyDescent="0.3"/>
    <row r="51026" s="160" customFormat="1" x14ac:dyDescent="0.3"/>
    <row r="51027" s="160" customFormat="1" x14ac:dyDescent="0.3"/>
    <row r="51028" s="160" customFormat="1" x14ac:dyDescent="0.3"/>
    <row r="51029" s="160" customFormat="1" x14ac:dyDescent="0.3"/>
    <row r="51030" s="160" customFormat="1" x14ac:dyDescent="0.3"/>
    <row r="51031" s="160" customFormat="1" x14ac:dyDescent="0.3"/>
    <row r="51032" s="160" customFormat="1" x14ac:dyDescent="0.3"/>
    <row r="51033" s="160" customFormat="1" x14ac:dyDescent="0.3"/>
    <row r="51034" s="160" customFormat="1" x14ac:dyDescent="0.3"/>
    <row r="51035" s="160" customFormat="1" x14ac:dyDescent="0.3"/>
    <row r="51036" s="160" customFormat="1" x14ac:dyDescent="0.3"/>
    <row r="51037" s="160" customFormat="1" x14ac:dyDescent="0.3"/>
    <row r="51038" s="160" customFormat="1" x14ac:dyDescent="0.3"/>
    <row r="51039" s="160" customFormat="1" x14ac:dyDescent="0.3"/>
    <row r="51040" s="160" customFormat="1" x14ac:dyDescent="0.3"/>
    <row r="51041" s="160" customFormat="1" x14ac:dyDescent="0.3"/>
    <row r="51042" s="160" customFormat="1" x14ac:dyDescent="0.3"/>
    <row r="51043" s="160" customFormat="1" x14ac:dyDescent="0.3"/>
    <row r="51044" s="160" customFormat="1" x14ac:dyDescent="0.3"/>
    <row r="51045" s="160" customFormat="1" x14ac:dyDescent="0.3"/>
    <row r="51046" s="160" customFormat="1" x14ac:dyDescent="0.3"/>
    <row r="51047" s="160" customFormat="1" x14ac:dyDescent="0.3"/>
    <row r="51048" s="160" customFormat="1" x14ac:dyDescent="0.3"/>
    <row r="51049" s="160" customFormat="1" x14ac:dyDescent="0.3"/>
    <row r="51050" s="160" customFormat="1" x14ac:dyDescent="0.3"/>
    <row r="51051" s="160" customFormat="1" x14ac:dyDescent="0.3"/>
    <row r="51052" s="160" customFormat="1" x14ac:dyDescent="0.3"/>
    <row r="51053" s="160" customFormat="1" x14ac:dyDescent="0.3"/>
    <row r="51054" s="160" customFormat="1" x14ac:dyDescent="0.3"/>
    <row r="51055" s="160" customFormat="1" x14ac:dyDescent="0.3"/>
    <row r="51056" s="160" customFormat="1" x14ac:dyDescent="0.3"/>
    <row r="51057" s="160" customFormat="1" x14ac:dyDescent="0.3"/>
    <row r="51058" s="160" customFormat="1" x14ac:dyDescent="0.3"/>
    <row r="51059" s="160" customFormat="1" x14ac:dyDescent="0.3"/>
    <row r="51060" s="160" customFormat="1" x14ac:dyDescent="0.3"/>
    <row r="51061" s="160" customFormat="1" x14ac:dyDescent="0.3"/>
    <row r="51062" s="160" customFormat="1" x14ac:dyDescent="0.3"/>
    <row r="51063" s="160" customFormat="1" x14ac:dyDescent="0.3"/>
    <row r="51064" s="160" customFormat="1" x14ac:dyDescent="0.3"/>
    <row r="51065" s="160" customFormat="1" x14ac:dyDescent="0.3"/>
    <row r="51066" s="160" customFormat="1" x14ac:dyDescent="0.3"/>
    <row r="51067" s="160" customFormat="1" x14ac:dyDescent="0.3"/>
    <row r="51068" s="160" customFormat="1" x14ac:dyDescent="0.3"/>
    <row r="51069" s="160" customFormat="1" x14ac:dyDescent="0.3"/>
    <row r="51070" s="160" customFormat="1" x14ac:dyDescent="0.3"/>
    <row r="51071" s="160" customFormat="1" x14ac:dyDescent="0.3"/>
    <row r="51072" s="160" customFormat="1" x14ac:dyDescent="0.3"/>
    <row r="51073" s="160" customFormat="1" x14ac:dyDescent="0.3"/>
    <row r="51074" s="160" customFormat="1" x14ac:dyDescent="0.3"/>
    <row r="51075" s="160" customFormat="1" x14ac:dyDescent="0.3"/>
    <row r="51076" s="160" customFormat="1" x14ac:dyDescent="0.3"/>
    <row r="51077" s="160" customFormat="1" x14ac:dyDescent="0.3"/>
    <row r="51078" s="160" customFormat="1" x14ac:dyDescent="0.3"/>
    <row r="51079" s="160" customFormat="1" x14ac:dyDescent="0.3"/>
    <row r="51080" s="160" customFormat="1" x14ac:dyDescent="0.3"/>
    <row r="51081" s="160" customFormat="1" x14ac:dyDescent="0.3"/>
    <row r="51082" s="160" customFormat="1" x14ac:dyDescent="0.3"/>
    <row r="51083" s="160" customFormat="1" x14ac:dyDescent="0.3"/>
    <row r="51084" s="160" customFormat="1" x14ac:dyDescent="0.3"/>
    <row r="51085" s="160" customFormat="1" x14ac:dyDescent="0.3"/>
    <row r="51086" s="160" customFormat="1" x14ac:dyDescent="0.3"/>
    <row r="51087" s="160" customFormat="1" x14ac:dyDescent="0.3"/>
    <row r="51088" s="160" customFormat="1" x14ac:dyDescent="0.3"/>
    <row r="51089" s="160" customFormat="1" x14ac:dyDescent="0.3"/>
    <row r="51090" s="160" customFormat="1" x14ac:dyDescent="0.3"/>
    <row r="51091" s="160" customFormat="1" x14ac:dyDescent="0.3"/>
    <row r="51092" s="160" customFormat="1" x14ac:dyDescent="0.3"/>
    <row r="51093" s="160" customFormat="1" x14ac:dyDescent="0.3"/>
    <row r="51094" s="160" customFormat="1" x14ac:dyDescent="0.3"/>
    <row r="51095" s="160" customFormat="1" x14ac:dyDescent="0.3"/>
    <row r="51096" s="160" customFormat="1" x14ac:dyDescent="0.3"/>
    <row r="51097" s="160" customFormat="1" x14ac:dyDescent="0.3"/>
    <row r="51098" s="160" customFormat="1" x14ac:dyDescent="0.3"/>
    <row r="51099" s="160" customFormat="1" x14ac:dyDescent="0.3"/>
    <row r="51100" s="160" customFormat="1" x14ac:dyDescent="0.3"/>
    <row r="51101" s="160" customFormat="1" x14ac:dyDescent="0.3"/>
    <row r="51102" s="160" customFormat="1" x14ac:dyDescent="0.3"/>
    <row r="51103" s="160" customFormat="1" x14ac:dyDescent="0.3"/>
    <row r="51104" s="160" customFormat="1" x14ac:dyDescent="0.3"/>
    <row r="51105" s="160" customFormat="1" x14ac:dyDescent="0.3"/>
    <row r="51106" s="160" customFormat="1" x14ac:dyDescent="0.3"/>
    <row r="51107" s="160" customFormat="1" x14ac:dyDescent="0.3"/>
    <row r="51108" s="160" customFormat="1" x14ac:dyDescent="0.3"/>
    <row r="51109" s="160" customFormat="1" x14ac:dyDescent="0.3"/>
    <row r="51110" s="160" customFormat="1" x14ac:dyDescent="0.3"/>
    <row r="51111" s="160" customFormat="1" x14ac:dyDescent="0.3"/>
    <row r="51112" s="160" customFormat="1" x14ac:dyDescent="0.3"/>
    <row r="51113" s="160" customFormat="1" x14ac:dyDescent="0.3"/>
    <row r="51114" s="160" customFormat="1" x14ac:dyDescent="0.3"/>
    <row r="51115" s="160" customFormat="1" x14ac:dyDescent="0.3"/>
    <row r="51116" s="160" customFormat="1" x14ac:dyDescent="0.3"/>
    <row r="51117" s="160" customFormat="1" x14ac:dyDescent="0.3"/>
    <row r="51118" s="160" customFormat="1" x14ac:dyDescent="0.3"/>
    <row r="51119" s="160" customFormat="1" x14ac:dyDescent="0.3"/>
    <row r="51120" s="160" customFormat="1" x14ac:dyDescent="0.3"/>
    <row r="51121" s="160" customFormat="1" x14ac:dyDescent="0.3"/>
    <row r="51122" s="160" customFormat="1" x14ac:dyDescent="0.3"/>
    <row r="51123" s="160" customFormat="1" x14ac:dyDescent="0.3"/>
    <row r="51124" s="160" customFormat="1" x14ac:dyDescent="0.3"/>
    <row r="51125" s="160" customFormat="1" x14ac:dyDescent="0.3"/>
    <row r="51126" s="160" customFormat="1" x14ac:dyDescent="0.3"/>
    <row r="51127" s="160" customFormat="1" x14ac:dyDescent="0.3"/>
    <row r="51128" s="160" customFormat="1" x14ac:dyDescent="0.3"/>
    <row r="51129" s="160" customFormat="1" x14ac:dyDescent="0.3"/>
    <row r="51130" s="160" customFormat="1" x14ac:dyDescent="0.3"/>
    <row r="51131" s="160" customFormat="1" x14ac:dyDescent="0.3"/>
    <row r="51132" s="160" customFormat="1" x14ac:dyDescent="0.3"/>
    <row r="51133" s="160" customFormat="1" x14ac:dyDescent="0.3"/>
    <row r="51134" s="160" customFormat="1" x14ac:dyDescent="0.3"/>
    <row r="51135" s="160" customFormat="1" x14ac:dyDescent="0.3"/>
    <row r="51136" s="160" customFormat="1" x14ac:dyDescent="0.3"/>
    <row r="51137" s="160" customFormat="1" x14ac:dyDescent="0.3"/>
    <row r="51138" s="160" customFormat="1" x14ac:dyDescent="0.3"/>
    <row r="51139" s="160" customFormat="1" x14ac:dyDescent="0.3"/>
    <row r="51140" s="160" customFormat="1" x14ac:dyDescent="0.3"/>
    <row r="51141" s="160" customFormat="1" x14ac:dyDescent="0.3"/>
    <row r="51142" s="160" customFormat="1" x14ac:dyDescent="0.3"/>
    <row r="51143" s="160" customFormat="1" x14ac:dyDescent="0.3"/>
    <row r="51144" s="160" customFormat="1" x14ac:dyDescent="0.3"/>
    <row r="51145" s="160" customFormat="1" x14ac:dyDescent="0.3"/>
    <row r="51146" s="160" customFormat="1" x14ac:dyDescent="0.3"/>
    <row r="51147" s="160" customFormat="1" x14ac:dyDescent="0.3"/>
    <row r="51148" s="160" customFormat="1" x14ac:dyDescent="0.3"/>
    <row r="51149" s="160" customFormat="1" x14ac:dyDescent="0.3"/>
    <row r="51150" s="160" customFormat="1" x14ac:dyDescent="0.3"/>
    <row r="51151" s="160" customFormat="1" x14ac:dyDescent="0.3"/>
    <row r="51152" s="160" customFormat="1" x14ac:dyDescent="0.3"/>
    <row r="51153" s="160" customFormat="1" x14ac:dyDescent="0.3"/>
    <row r="51154" s="160" customFormat="1" x14ac:dyDescent="0.3"/>
    <row r="51155" s="160" customFormat="1" x14ac:dyDescent="0.3"/>
    <row r="51156" s="160" customFormat="1" x14ac:dyDescent="0.3"/>
    <row r="51157" s="160" customFormat="1" x14ac:dyDescent="0.3"/>
    <row r="51158" s="160" customFormat="1" x14ac:dyDescent="0.3"/>
    <row r="51159" s="160" customFormat="1" x14ac:dyDescent="0.3"/>
    <row r="51160" s="160" customFormat="1" x14ac:dyDescent="0.3"/>
    <row r="51161" s="160" customFormat="1" x14ac:dyDescent="0.3"/>
    <row r="51162" s="160" customFormat="1" x14ac:dyDescent="0.3"/>
    <row r="51163" s="160" customFormat="1" x14ac:dyDescent="0.3"/>
    <row r="51164" s="160" customFormat="1" x14ac:dyDescent="0.3"/>
    <row r="51165" s="160" customFormat="1" x14ac:dyDescent="0.3"/>
    <row r="51166" s="160" customFormat="1" x14ac:dyDescent="0.3"/>
    <row r="51167" s="160" customFormat="1" x14ac:dyDescent="0.3"/>
    <row r="51168" s="160" customFormat="1" x14ac:dyDescent="0.3"/>
    <row r="51169" s="160" customFormat="1" x14ac:dyDescent="0.3"/>
    <row r="51170" s="160" customFormat="1" x14ac:dyDescent="0.3"/>
    <row r="51171" s="160" customFormat="1" x14ac:dyDescent="0.3"/>
    <row r="51172" s="160" customFormat="1" x14ac:dyDescent="0.3"/>
    <row r="51173" s="160" customFormat="1" x14ac:dyDescent="0.3"/>
    <row r="51174" s="160" customFormat="1" x14ac:dyDescent="0.3"/>
    <row r="51175" s="160" customFormat="1" x14ac:dyDescent="0.3"/>
    <row r="51176" s="160" customFormat="1" x14ac:dyDescent="0.3"/>
    <row r="51177" s="160" customFormat="1" x14ac:dyDescent="0.3"/>
    <row r="51178" s="160" customFormat="1" x14ac:dyDescent="0.3"/>
    <row r="51179" s="160" customFormat="1" x14ac:dyDescent="0.3"/>
    <row r="51180" s="160" customFormat="1" x14ac:dyDescent="0.3"/>
    <row r="51181" s="160" customFormat="1" x14ac:dyDescent="0.3"/>
    <row r="51182" s="160" customFormat="1" x14ac:dyDescent="0.3"/>
    <row r="51183" s="160" customFormat="1" x14ac:dyDescent="0.3"/>
    <row r="51184" s="160" customFormat="1" x14ac:dyDescent="0.3"/>
    <row r="51185" s="160" customFormat="1" x14ac:dyDescent="0.3"/>
    <row r="51186" s="160" customFormat="1" x14ac:dyDescent="0.3"/>
    <row r="51187" s="160" customFormat="1" x14ac:dyDescent="0.3"/>
    <row r="51188" s="160" customFormat="1" x14ac:dyDescent="0.3"/>
    <row r="51189" s="160" customFormat="1" x14ac:dyDescent="0.3"/>
    <row r="51190" s="160" customFormat="1" x14ac:dyDescent="0.3"/>
    <row r="51191" s="160" customFormat="1" x14ac:dyDescent="0.3"/>
    <row r="51192" s="160" customFormat="1" x14ac:dyDescent="0.3"/>
    <row r="51193" s="160" customFormat="1" x14ac:dyDescent="0.3"/>
    <row r="51194" s="160" customFormat="1" x14ac:dyDescent="0.3"/>
    <row r="51195" s="160" customFormat="1" x14ac:dyDescent="0.3"/>
    <row r="51196" s="160" customFormat="1" x14ac:dyDescent="0.3"/>
    <row r="51197" s="160" customFormat="1" x14ac:dyDescent="0.3"/>
    <row r="51198" s="160" customFormat="1" x14ac:dyDescent="0.3"/>
    <row r="51199" s="160" customFormat="1" x14ac:dyDescent="0.3"/>
    <row r="51200" s="160" customFormat="1" x14ac:dyDescent="0.3"/>
    <row r="51201" s="160" customFormat="1" x14ac:dyDescent="0.3"/>
    <row r="51202" s="160" customFormat="1" x14ac:dyDescent="0.3"/>
    <row r="51203" s="160" customFormat="1" x14ac:dyDescent="0.3"/>
    <row r="51204" s="160" customFormat="1" x14ac:dyDescent="0.3"/>
    <row r="51205" s="160" customFormat="1" x14ac:dyDescent="0.3"/>
    <row r="51206" s="160" customFormat="1" x14ac:dyDescent="0.3"/>
    <row r="51207" s="160" customFormat="1" x14ac:dyDescent="0.3"/>
    <row r="51208" s="160" customFormat="1" x14ac:dyDescent="0.3"/>
    <row r="51209" s="160" customFormat="1" x14ac:dyDescent="0.3"/>
    <row r="51210" s="160" customFormat="1" x14ac:dyDescent="0.3"/>
    <row r="51211" s="160" customFormat="1" x14ac:dyDescent="0.3"/>
    <row r="51212" s="160" customFormat="1" x14ac:dyDescent="0.3"/>
    <row r="51213" s="160" customFormat="1" x14ac:dyDescent="0.3"/>
    <row r="51214" s="160" customFormat="1" x14ac:dyDescent="0.3"/>
    <row r="51215" s="160" customFormat="1" x14ac:dyDescent="0.3"/>
    <row r="51216" s="160" customFormat="1" x14ac:dyDescent="0.3"/>
    <row r="51217" s="160" customFormat="1" x14ac:dyDescent="0.3"/>
    <row r="51218" s="160" customFormat="1" x14ac:dyDescent="0.3"/>
    <row r="51219" s="160" customFormat="1" x14ac:dyDescent="0.3"/>
    <row r="51220" s="160" customFormat="1" x14ac:dyDescent="0.3"/>
    <row r="51221" s="160" customFormat="1" x14ac:dyDescent="0.3"/>
    <row r="51222" s="160" customFormat="1" x14ac:dyDescent="0.3"/>
    <row r="51223" s="160" customFormat="1" x14ac:dyDescent="0.3"/>
    <row r="51224" s="160" customFormat="1" x14ac:dyDescent="0.3"/>
    <row r="51225" s="160" customFormat="1" x14ac:dyDescent="0.3"/>
    <row r="51226" s="160" customFormat="1" x14ac:dyDescent="0.3"/>
    <row r="51227" s="160" customFormat="1" x14ac:dyDescent="0.3"/>
    <row r="51228" s="160" customFormat="1" x14ac:dyDescent="0.3"/>
    <row r="51229" s="160" customFormat="1" x14ac:dyDescent="0.3"/>
    <row r="51230" s="160" customFormat="1" x14ac:dyDescent="0.3"/>
    <row r="51231" s="160" customFormat="1" x14ac:dyDescent="0.3"/>
    <row r="51232" s="160" customFormat="1" x14ac:dyDescent="0.3"/>
    <row r="51233" s="160" customFormat="1" x14ac:dyDescent="0.3"/>
    <row r="51234" s="160" customFormat="1" x14ac:dyDescent="0.3"/>
    <row r="51235" s="160" customFormat="1" x14ac:dyDescent="0.3"/>
    <row r="51236" s="160" customFormat="1" x14ac:dyDescent="0.3"/>
    <row r="51237" s="160" customFormat="1" x14ac:dyDescent="0.3"/>
    <row r="51238" s="160" customFormat="1" x14ac:dyDescent="0.3"/>
    <row r="51239" s="160" customFormat="1" x14ac:dyDescent="0.3"/>
    <row r="51240" s="160" customFormat="1" x14ac:dyDescent="0.3"/>
    <row r="51241" s="160" customFormat="1" x14ac:dyDescent="0.3"/>
    <row r="51242" s="160" customFormat="1" x14ac:dyDescent="0.3"/>
    <row r="51243" s="160" customFormat="1" x14ac:dyDescent="0.3"/>
    <row r="51244" s="160" customFormat="1" x14ac:dyDescent="0.3"/>
    <row r="51245" s="160" customFormat="1" x14ac:dyDescent="0.3"/>
    <row r="51246" s="160" customFormat="1" x14ac:dyDescent="0.3"/>
    <row r="51247" s="160" customFormat="1" x14ac:dyDescent="0.3"/>
    <row r="51248" s="160" customFormat="1" x14ac:dyDescent="0.3"/>
    <row r="51249" s="160" customFormat="1" x14ac:dyDescent="0.3"/>
    <row r="51250" s="160" customFormat="1" x14ac:dyDescent="0.3"/>
    <row r="51251" s="160" customFormat="1" x14ac:dyDescent="0.3"/>
    <row r="51252" s="160" customFormat="1" x14ac:dyDescent="0.3"/>
    <row r="51253" s="160" customFormat="1" x14ac:dyDescent="0.3"/>
    <row r="51254" s="160" customFormat="1" x14ac:dyDescent="0.3"/>
    <row r="51255" s="160" customFormat="1" x14ac:dyDescent="0.3"/>
    <row r="51256" s="160" customFormat="1" x14ac:dyDescent="0.3"/>
    <row r="51257" s="160" customFormat="1" x14ac:dyDescent="0.3"/>
    <row r="51258" s="160" customFormat="1" x14ac:dyDescent="0.3"/>
    <row r="51259" s="160" customFormat="1" x14ac:dyDescent="0.3"/>
    <row r="51260" s="160" customFormat="1" x14ac:dyDescent="0.3"/>
    <row r="51261" s="160" customFormat="1" x14ac:dyDescent="0.3"/>
    <row r="51262" s="160" customFormat="1" x14ac:dyDescent="0.3"/>
    <row r="51263" s="160" customFormat="1" x14ac:dyDescent="0.3"/>
    <row r="51264" s="160" customFormat="1" x14ac:dyDescent="0.3"/>
    <row r="51265" s="160" customFormat="1" x14ac:dyDescent="0.3"/>
    <row r="51266" s="160" customFormat="1" x14ac:dyDescent="0.3"/>
    <row r="51267" s="160" customFormat="1" x14ac:dyDescent="0.3"/>
    <row r="51268" s="160" customFormat="1" x14ac:dyDescent="0.3"/>
    <row r="51269" s="160" customFormat="1" x14ac:dyDescent="0.3"/>
    <row r="51270" s="160" customFormat="1" x14ac:dyDescent="0.3"/>
    <row r="51271" s="160" customFormat="1" x14ac:dyDescent="0.3"/>
    <row r="51272" s="160" customFormat="1" x14ac:dyDescent="0.3"/>
    <row r="51273" s="160" customFormat="1" x14ac:dyDescent="0.3"/>
    <row r="51274" s="160" customFormat="1" x14ac:dyDescent="0.3"/>
    <row r="51275" s="160" customFormat="1" x14ac:dyDescent="0.3"/>
    <row r="51276" s="160" customFormat="1" x14ac:dyDescent="0.3"/>
    <row r="51277" s="160" customFormat="1" x14ac:dyDescent="0.3"/>
    <row r="51278" s="160" customFormat="1" x14ac:dyDescent="0.3"/>
    <row r="51279" s="160" customFormat="1" x14ac:dyDescent="0.3"/>
    <row r="51280" s="160" customFormat="1" x14ac:dyDescent="0.3"/>
    <row r="51281" s="160" customFormat="1" x14ac:dyDescent="0.3"/>
    <row r="51282" s="160" customFormat="1" x14ac:dyDescent="0.3"/>
    <row r="51283" s="160" customFormat="1" x14ac:dyDescent="0.3"/>
    <row r="51284" s="160" customFormat="1" x14ac:dyDescent="0.3"/>
    <row r="51285" s="160" customFormat="1" x14ac:dyDescent="0.3"/>
    <row r="51286" s="160" customFormat="1" x14ac:dyDescent="0.3"/>
    <row r="51287" s="160" customFormat="1" x14ac:dyDescent="0.3"/>
    <row r="51288" s="160" customFormat="1" x14ac:dyDescent="0.3"/>
    <row r="51289" s="160" customFormat="1" x14ac:dyDescent="0.3"/>
    <row r="51290" s="160" customFormat="1" x14ac:dyDescent="0.3"/>
    <row r="51291" s="160" customFormat="1" x14ac:dyDescent="0.3"/>
    <row r="51292" s="160" customFormat="1" x14ac:dyDescent="0.3"/>
    <row r="51293" s="160" customFormat="1" x14ac:dyDescent="0.3"/>
    <row r="51294" s="160" customFormat="1" x14ac:dyDescent="0.3"/>
    <row r="51295" s="160" customFormat="1" x14ac:dyDescent="0.3"/>
    <row r="51296" s="160" customFormat="1" x14ac:dyDescent="0.3"/>
    <row r="51297" s="160" customFormat="1" x14ac:dyDescent="0.3"/>
    <row r="51298" s="160" customFormat="1" x14ac:dyDescent="0.3"/>
    <row r="51299" s="160" customFormat="1" x14ac:dyDescent="0.3"/>
    <row r="51300" s="160" customFormat="1" x14ac:dyDescent="0.3"/>
    <row r="51301" s="160" customFormat="1" x14ac:dyDescent="0.3"/>
    <row r="51302" s="160" customFormat="1" x14ac:dyDescent="0.3"/>
    <row r="51303" s="160" customFormat="1" x14ac:dyDescent="0.3"/>
    <row r="51304" s="160" customFormat="1" x14ac:dyDescent="0.3"/>
    <row r="51305" s="160" customFormat="1" x14ac:dyDescent="0.3"/>
    <row r="51306" s="160" customFormat="1" x14ac:dyDescent="0.3"/>
    <row r="51307" s="160" customFormat="1" x14ac:dyDescent="0.3"/>
    <row r="51308" s="160" customFormat="1" x14ac:dyDescent="0.3"/>
    <row r="51309" s="160" customFormat="1" x14ac:dyDescent="0.3"/>
    <row r="51310" s="160" customFormat="1" x14ac:dyDescent="0.3"/>
    <row r="51311" s="160" customFormat="1" x14ac:dyDescent="0.3"/>
    <row r="51312" s="160" customFormat="1" x14ac:dyDescent="0.3"/>
    <row r="51313" s="160" customFormat="1" x14ac:dyDescent="0.3"/>
    <row r="51314" s="160" customFormat="1" x14ac:dyDescent="0.3"/>
    <row r="51315" s="160" customFormat="1" x14ac:dyDescent="0.3"/>
    <row r="51316" s="160" customFormat="1" x14ac:dyDescent="0.3"/>
    <row r="51317" s="160" customFormat="1" x14ac:dyDescent="0.3"/>
    <row r="51318" s="160" customFormat="1" x14ac:dyDescent="0.3"/>
    <row r="51319" s="160" customFormat="1" x14ac:dyDescent="0.3"/>
    <row r="51320" s="160" customFormat="1" x14ac:dyDescent="0.3"/>
    <row r="51321" s="160" customFormat="1" x14ac:dyDescent="0.3"/>
    <row r="51322" s="160" customFormat="1" x14ac:dyDescent="0.3"/>
    <row r="51323" s="160" customFormat="1" x14ac:dyDescent="0.3"/>
    <row r="51324" s="160" customFormat="1" x14ac:dyDescent="0.3"/>
    <row r="51325" s="160" customFormat="1" x14ac:dyDescent="0.3"/>
    <row r="51326" s="160" customFormat="1" x14ac:dyDescent="0.3"/>
    <row r="51327" s="160" customFormat="1" x14ac:dyDescent="0.3"/>
    <row r="51328" s="160" customFormat="1" x14ac:dyDescent="0.3"/>
    <row r="51329" s="160" customFormat="1" x14ac:dyDescent="0.3"/>
    <row r="51330" s="160" customFormat="1" x14ac:dyDescent="0.3"/>
    <row r="51331" s="160" customFormat="1" x14ac:dyDescent="0.3"/>
    <row r="51332" s="160" customFormat="1" x14ac:dyDescent="0.3"/>
    <row r="51333" s="160" customFormat="1" x14ac:dyDescent="0.3"/>
    <row r="51334" s="160" customFormat="1" x14ac:dyDescent="0.3"/>
    <row r="51335" s="160" customFormat="1" x14ac:dyDescent="0.3"/>
    <row r="51336" s="160" customFormat="1" x14ac:dyDescent="0.3"/>
    <row r="51337" s="160" customFormat="1" x14ac:dyDescent="0.3"/>
    <row r="51338" s="160" customFormat="1" x14ac:dyDescent="0.3"/>
    <row r="51339" s="160" customFormat="1" x14ac:dyDescent="0.3"/>
    <row r="51340" s="160" customFormat="1" x14ac:dyDescent="0.3"/>
    <row r="51341" s="160" customFormat="1" x14ac:dyDescent="0.3"/>
    <row r="51342" s="160" customFormat="1" x14ac:dyDescent="0.3"/>
    <row r="51343" s="160" customFormat="1" x14ac:dyDescent="0.3"/>
    <row r="51344" s="160" customFormat="1" x14ac:dyDescent="0.3"/>
    <row r="51345" s="160" customFormat="1" x14ac:dyDescent="0.3"/>
    <row r="51346" s="160" customFormat="1" x14ac:dyDescent="0.3"/>
    <row r="51347" s="160" customFormat="1" x14ac:dyDescent="0.3"/>
    <row r="51348" s="160" customFormat="1" x14ac:dyDescent="0.3"/>
    <row r="51349" s="160" customFormat="1" x14ac:dyDescent="0.3"/>
    <row r="51350" s="160" customFormat="1" x14ac:dyDescent="0.3"/>
    <row r="51351" s="160" customFormat="1" x14ac:dyDescent="0.3"/>
    <row r="51352" s="160" customFormat="1" x14ac:dyDescent="0.3"/>
    <row r="51353" s="160" customFormat="1" x14ac:dyDescent="0.3"/>
    <row r="51354" s="160" customFormat="1" x14ac:dyDescent="0.3"/>
    <row r="51355" s="160" customFormat="1" x14ac:dyDescent="0.3"/>
    <row r="51356" s="160" customFormat="1" x14ac:dyDescent="0.3"/>
    <row r="51357" s="160" customFormat="1" x14ac:dyDescent="0.3"/>
    <row r="51358" s="160" customFormat="1" x14ac:dyDescent="0.3"/>
    <row r="51359" s="160" customFormat="1" x14ac:dyDescent="0.3"/>
    <row r="51360" s="160" customFormat="1" x14ac:dyDescent="0.3"/>
    <row r="51361" s="160" customFormat="1" x14ac:dyDescent="0.3"/>
    <row r="51362" s="160" customFormat="1" x14ac:dyDescent="0.3"/>
    <row r="51363" s="160" customFormat="1" x14ac:dyDescent="0.3"/>
    <row r="51364" s="160" customFormat="1" x14ac:dyDescent="0.3"/>
    <row r="51365" s="160" customFormat="1" x14ac:dyDescent="0.3"/>
    <row r="51366" s="160" customFormat="1" x14ac:dyDescent="0.3"/>
    <row r="51367" s="160" customFormat="1" x14ac:dyDescent="0.3"/>
    <row r="51368" s="160" customFormat="1" x14ac:dyDescent="0.3"/>
    <row r="51369" s="160" customFormat="1" x14ac:dyDescent="0.3"/>
    <row r="51370" s="160" customFormat="1" x14ac:dyDescent="0.3"/>
    <row r="51371" s="160" customFormat="1" x14ac:dyDescent="0.3"/>
    <row r="51372" s="160" customFormat="1" x14ac:dyDescent="0.3"/>
    <row r="51373" s="160" customFormat="1" x14ac:dyDescent="0.3"/>
    <row r="51374" s="160" customFormat="1" x14ac:dyDescent="0.3"/>
    <row r="51375" s="160" customFormat="1" x14ac:dyDescent="0.3"/>
    <row r="51376" s="160" customFormat="1" x14ac:dyDescent="0.3"/>
    <row r="51377" s="160" customFormat="1" x14ac:dyDescent="0.3"/>
    <row r="51378" s="160" customFormat="1" x14ac:dyDescent="0.3"/>
    <row r="51379" s="160" customFormat="1" x14ac:dyDescent="0.3"/>
    <row r="51380" s="160" customFormat="1" x14ac:dyDescent="0.3"/>
    <row r="51381" s="160" customFormat="1" x14ac:dyDescent="0.3"/>
    <row r="51382" s="160" customFormat="1" x14ac:dyDescent="0.3"/>
    <row r="51383" s="160" customFormat="1" x14ac:dyDescent="0.3"/>
    <row r="51384" s="160" customFormat="1" x14ac:dyDescent="0.3"/>
    <row r="51385" s="160" customFormat="1" x14ac:dyDescent="0.3"/>
    <row r="51386" s="160" customFormat="1" x14ac:dyDescent="0.3"/>
    <row r="51387" s="160" customFormat="1" x14ac:dyDescent="0.3"/>
    <row r="51388" s="160" customFormat="1" x14ac:dyDescent="0.3"/>
    <row r="51389" s="160" customFormat="1" x14ac:dyDescent="0.3"/>
    <row r="51390" s="160" customFormat="1" x14ac:dyDescent="0.3"/>
    <row r="51391" s="160" customFormat="1" x14ac:dyDescent="0.3"/>
    <row r="51392" s="160" customFormat="1" x14ac:dyDescent="0.3"/>
    <row r="51393" s="160" customFormat="1" x14ac:dyDescent="0.3"/>
    <row r="51394" s="160" customFormat="1" x14ac:dyDescent="0.3"/>
    <row r="51395" s="160" customFormat="1" x14ac:dyDescent="0.3"/>
    <row r="51396" s="160" customFormat="1" x14ac:dyDescent="0.3"/>
    <row r="51397" s="160" customFormat="1" x14ac:dyDescent="0.3"/>
    <row r="51398" s="160" customFormat="1" x14ac:dyDescent="0.3"/>
    <row r="51399" s="160" customFormat="1" x14ac:dyDescent="0.3"/>
    <row r="51400" s="160" customFormat="1" x14ac:dyDescent="0.3"/>
    <row r="51401" s="160" customFormat="1" x14ac:dyDescent="0.3"/>
    <row r="51402" s="160" customFormat="1" x14ac:dyDescent="0.3"/>
    <row r="51403" s="160" customFormat="1" x14ac:dyDescent="0.3"/>
    <row r="51404" s="160" customFormat="1" x14ac:dyDescent="0.3"/>
    <row r="51405" s="160" customFormat="1" x14ac:dyDescent="0.3"/>
    <row r="51406" s="160" customFormat="1" x14ac:dyDescent="0.3"/>
    <row r="51407" s="160" customFormat="1" x14ac:dyDescent="0.3"/>
    <row r="51408" s="160" customFormat="1" x14ac:dyDescent="0.3"/>
    <row r="51409" s="160" customFormat="1" x14ac:dyDescent="0.3"/>
    <row r="51410" s="160" customFormat="1" x14ac:dyDescent="0.3"/>
    <row r="51411" s="160" customFormat="1" x14ac:dyDescent="0.3"/>
    <row r="51412" s="160" customFormat="1" x14ac:dyDescent="0.3"/>
    <row r="51413" s="160" customFormat="1" x14ac:dyDescent="0.3"/>
    <row r="51414" s="160" customFormat="1" x14ac:dyDescent="0.3"/>
    <row r="51415" s="160" customFormat="1" x14ac:dyDescent="0.3"/>
    <row r="51416" s="160" customFormat="1" x14ac:dyDescent="0.3"/>
    <row r="51417" s="160" customFormat="1" x14ac:dyDescent="0.3"/>
    <row r="51418" s="160" customFormat="1" x14ac:dyDescent="0.3"/>
    <row r="51419" s="160" customFormat="1" x14ac:dyDescent="0.3"/>
    <row r="51420" s="160" customFormat="1" x14ac:dyDescent="0.3"/>
    <row r="51421" s="160" customFormat="1" x14ac:dyDescent="0.3"/>
    <row r="51422" s="160" customFormat="1" x14ac:dyDescent="0.3"/>
    <row r="51423" s="160" customFormat="1" x14ac:dyDescent="0.3"/>
    <row r="51424" s="160" customFormat="1" x14ac:dyDescent="0.3"/>
    <row r="51425" s="160" customFormat="1" x14ac:dyDescent="0.3"/>
    <row r="51426" s="160" customFormat="1" x14ac:dyDescent="0.3"/>
    <row r="51427" s="160" customFormat="1" x14ac:dyDescent="0.3"/>
    <row r="51428" s="160" customFormat="1" x14ac:dyDescent="0.3"/>
    <row r="51429" s="160" customFormat="1" x14ac:dyDescent="0.3"/>
    <row r="51430" s="160" customFormat="1" x14ac:dyDescent="0.3"/>
    <row r="51431" s="160" customFormat="1" x14ac:dyDescent="0.3"/>
    <row r="51432" s="160" customFormat="1" x14ac:dyDescent="0.3"/>
    <row r="51433" s="160" customFormat="1" x14ac:dyDescent="0.3"/>
    <row r="51434" s="160" customFormat="1" x14ac:dyDescent="0.3"/>
    <row r="51435" s="160" customFormat="1" x14ac:dyDescent="0.3"/>
    <row r="51436" s="160" customFormat="1" x14ac:dyDescent="0.3"/>
    <row r="51437" s="160" customFormat="1" x14ac:dyDescent="0.3"/>
    <row r="51438" s="160" customFormat="1" x14ac:dyDescent="0.3"/>
    <row r="51439" s="160" customFormat="1" x14ac:dyDescent="0.3"/>
    <row r="51440" s="160" customFormat="1" x14ac:dyDescent="0.3"/>
    <row r="51441" s="160" customFormat="1" x14ac:dyDescent="0.3"/>
    <row r="51442" s="160" customFormat="1" x14ac:dyDescent="0.3"/>
    <row r="51443" s="160" customFormat="1" x14ac:dyDescent="0.3"/>
    <row r="51444" s="160" customFormat="1" x14ac:dyDescent="0.3"/>
    <row r="51445" s="160" customFormat="1" x14ac:dyDescent="0.3"/>
    <row r="51446" s="160" customFormat="1" x14ac:dyDescent="0.3"/>
    <row r="51447" s="160" customFormat="1" x14ac:dyDescent="0.3"/>
    <row r="51448" s="160" customFormat="1" x14ac:dyDescent="0.3"/>
    <row r="51449" s="160" customFormat="1" x14ac:dyDescent="0.3"/>
    <row r="51450" s="160" customFormat="1" x14ac:dyDescent="0.3"/>
    <row r="51451" s="160" customFormat="1" x14ac:dyDescent="0.3"/>
    <row r="51452" s="160" customFormat="1" x14ac:dyDescent="0.3"/>
    <row r="51453" s="160" customFormat="1" x14ac:dyDescent="0.3"/>
    <row r="51454" s="160" customFormat="1" x14ac:dyDescent="0.3"/>
    <row r="51455" s="160" customFormat="1" x14ac:dyDescent="0.3"/>
    <row r="51456" s="160" customFormat="1" x14ac:dyDescent="0.3"/>
    <row r="51457" s="160" customFormat="1" x14ac:dyDescent="0.3"/>
    <row r="51458" s="160" customFormat="1" x14ac:dyDescent="0.3"/>
    <row r="51459" s="160" customFormat="1" x14ac:dyDescent="0.3"/>
    <row r="51460" s="160" customFormat="1" x14ac:dyDescent="0.3"/>
    <row r="51461" s="160" customFormat="1" x14ac:dyDescent="0.3"/>
    <row r="51462" s="160" customFormat="1" x14ac:dyDescent="0.3"/>
    <row r="51463" s="160" customFormat="1" x14ac:dyDescent="0.3"/>
    <row r="51464" s="160" customFormat="1" x14ac:dyDescent="0.3"/>
    <row r="51465" s="160" customFormat="1" x14ac:dyDescent="0.3"/>
    <row r="51466" s="160" customFormat="1" x14ac:dyDescent="0.3"/>
    <row r="51467" s="160" customFormat="1" x14ac:dyDescent="0.3"/>
    <row r="51468" s="160" customFormat="1" x14ac:dyDescent="0.3"/>
    <row r="51469" s="160" customFormat="1" x14ac:dyDescent="0.3"/>
    <row r="51470" s="160" customFormat="1" x14ac:dyDescent="0.3"/>
    <row r="51471" s="160" customFormat="1" x14ac:dyDescent="0.3"/>
    <row r="51472" s="160" customFormat="1" x14ac:dyDescent="0.3"/>
    <row r="51473" s="160" customFormat="1" x14ac:dyDescent="0.3"/>
    <row r="51474" s="160" customFormat="1" x14ac:dyDescent="0.3"/>
    <row r="51475" s="160" customFormat="1" x14ac:dyDescent="0.3"/>
    <row r="51476" s="160" customFormat="1" x14ac:dyDescent="0.3"/>
    <row r="51477" s="160" customFormat="1" x14ac:dyDescent="0.3"/>
    <row r="51478" s="160" customFormat="1" x14ac:dyDescent="0.3"/>
    <row r="51479" s="160" customFormat="1" x14ac:dyDescent="0.3"/>
    <row r="51480" s="160" customFormat="1" x14ac:dyDescent="0.3"/>
    <row r="51481" s="160" customFormat="1" x14ac:dyDescent="0.3"/>
    <row r="51482" s="160" customFormat="1" x14ac:dyDescent="0.3"/>
    <row r="51483" s="160" customFormat="1" x14ac:dyDescent="0.3"/>
    <row r="51484" s="160" customFormat="1" x14ac:dyDescent="0.3"/>
    <row r="51485" s="160" customFormat="1" x14ac:dyDescent="0.3"/>
    <row r="51486" s="160" customFormat="1" x14ac:dyDescent="0.3"/>
    <row r="51487" s="160" customFormat="1" x14ac:dyDescent="0.3"/>
    <row r="51488" s="160" customFormat="1" x14ac:dyDescent="0.3"/>
    <row r="51489" s="160" customFormat="1" x14ac:dyDescent="0.3"/>
    <row r="51490" s="160" customFormat="1" x14ac:dyDescent="0.3"/>
    <row r="51491" s="160" customFormat="1" x14ac:dyDescent="0.3"/>
    <row r="51492" s="160" customFormat="1" x14ac:dyDescent="0.3"/>
    <row r="51493" s="160" customFormat="1" x14ac:dyDescent="0.3"/>
    <row r="51494" s="160" customFormat="1" x14ac:dyDescent="0.3"/>
    <row r="51495" s="160" customFormat="1" x14ac:dyDescent="0.3"/>
    <row r="51496" s="160" customFormat="1" x14ac:dyDescent="0.3"/>
    <row r="51497" s="160" customFormat="1" x14ac:dyDescent="0.3"/>
    <row r="51498" s="160" customFormat="1" x14ac:dyDescent="0.3"/>
    <row r="51499" s="160" customFormat="1" x14ac:dyDescent="0.3"/>
    <row r="51500" s="160" customFormat="1" x14ac:dyDescent="0.3"/>
    <row r="51501" s="160" customFormat="1" x14ac:dyDescent="0.3"/>
    <row r="51502" s="160" customFormat="1" x14ac:dyDescent="0.3"/>
    <row r="51503" s="160" customFormat="1" x14ac:dyDescent="0.3"/>
    <row r="51504" s="160" customFormat="1" x14ac:dyDescent="0.3"/>
    <row r="51505" s="160" customFormat="1" x14ac:dyDescent="0.3"/>
    <row r="51506" s="160" customFormat="1" x14ac:dyDescent="0.3"/>
    <row r="51507" s="160" customFormat="1" x14ac:dyDescent="0.3"/>
    <row r="51508" s="160" customFormat="1" x14ac:dyDescent="0.3"/>
    <row r="51509" s="160" customFormat="1" x14ac:dyDescent="0.3"/>
    <row r="51510" s="160" customFormat="1" x14ac:dyDescent="0.3"/>
    <row r="51511" s="160" customFormat="1" x14ac:dyDescent="0.3"/>
    <row r="51512" s="160" customFormat="1" x14ac:dyDescent="0.3"/>
    <row r="51513" s="160" customFormat="1" x14ac:dyDescent="0.3"/>
    <row r="51514" s="160" customFormat="1" x14ac:dyDescent="0.3"/>
    <row r="51515" s="160" customFormat="1" x14ac:dyDescent="0.3"/>
    <row r="51516" s="160" customFormat="1" x14ac:dyDescent="0.3"/>
    <row r="51517" s="160" customFormat="1" x14ac:dyDescent="0.3"/>
    <row r="51518" s="160" customFormat="1" x14ac:dyDescent="0.3"/>
    <row r="51519" s="160" customFormat="1" x14ac:dyDescent="0.3"/>
    <row r="51520" s="160" customFormat="1" x14ac:dyDescent="0.3"/>
    <row r="51521" s="160" customFormat="1" x14ac:dyDescent="0.3"/>
    <row r="51522" s="160" customFormat="1" x14ac:dyDescent="0.3"/>
    <row r="51523" s="160" customFormat="1" x14ac:dyDescent="0.3"/>
    <row r="51524" s="160" customFormat="1" x14ac:dyDescent="0.3"/>
    <row r="51525" s="160" customFormat="1" x14ac:dyDescent="0.3"/>
    <row r="51526" s="160" customFormat="1" x14ac:dyDescent="0.3"/>
    <row r="51527" s="160" customFormat="1" x14ac:dyDescent="0.3"/>
    <row r="51528" s="160" customFormat="1" x14ac:dyDescent="0.3"/>
    <row r="51529" s="160" customFormat="1" x14ac:dyDescent="0.3"/>
    <row r="51530" s="160" customFormat="1" x14ac:dyDescent="0.3"/>
    <row r="51531" s="160" customFormat="1" x14ac:dyDescent="0.3"/>
    <row r="51532" s="160" customFormat="1" x14ac:dyDescent="0.3"/>
    <row r="51533" s="160" customFormat="1" x14ac:dyDescent="0.3"/>
    <row r="51534" s="160" customFormat="1" x14ac:dyDescent="0.3"/>
    <row r="51535" s="160" customFormat="1" x14ac:dyDescent="0.3"/>
    <row r="51536" s="160" customFormat="1" x14ac:dyDescent="0.3"/>
    <row r="51537" s="160" customFormat="1" x14ac:dyDescent="0.3"/>
    <row r="51538" s="160" customFormat="1" x14ac:dyDescent="0.3"/>
    <row r="51539" s="160" customFormat="1" x14ac:dyDescent="0.3"/>
    <row r="51540" s="160" customFormat="1" x14ac:dyDescent="0.3"/>
    <row r="51541" s="160" customFormat="1" x14ac:dyDescent="0.3"/>
    <row r="51542" s="160" customFormat="1" x14ac:dyDescent="0.3"/>
    <row r="51543" s="160" customFormat="1" x14ac:dyDescent="0.3"/>
    <row r="51544" s="160" customFormat="1" x14ac:dyDescent="0.3"/>
    <row r="51545" s="160" customFormat="1" x14ac:dyDescent="0.3"/>
    <row r="51546" s="160" customFormat="1" x14ac:dyDescent="0.3"/>
    <row r="51547" s="160" customFormat="1" x14ac:dyDescent="0.3"/>
    <row r="51548" s="160" customFormat="1" x14ac:dyDescent="0.3"/>
    <row r="51549" s="160" customFormat="1" x14ac:dyDescent="0.3"/>
    <row r="51550" s="160" customFormat="1" x14ac:dyDescent="0.3"/>
    <row r="51551" s="160" customFormat="1" x14ac:dyDescent="0.3"/>
    <row r="51552" s="160" customFormat="1" x14ac:dyDescent="0.3"/>
    <row r="51553" s="160" customFormat="1" x14ac:dyDescent="0.3"/>
    <row r="51554" s="160" customFormat="1" x14ac:dyDescent="0.3"/>
    <row r="51555" s="160" customFormat="1" x14ac:dyDescent="0.3"/>
    <row r="51556" s="160" customFormat="1" x14ac:dyDescent="0.3"/>
    <row r="51557" s="160" customFormat="1" x14ac:dyDescent="0.3"/>
    <row r="51558" s="160" customFormat="1" x14ac:dyDescent="0.3"/>
    <row r="51559" s="160" customFormat="1" x14ac:dyDescent="0.3"/>
    <row r="51560" s="160" customFormat="1" x14ac:dyDescent="0.3"/>
    <row r="51561" s="160" customFormat="1" x14ac:dyDescent="0.3"/>
    <row r="51562" s="160" customFormat="1" x14ac:dyDescent="0.3"/>
    <row r="51563" s="160" customFormat="1" x14ac:dyDescent="0.3"/>
    <row r="51564" s="160" customFormat="1" x14ac:dyDescent="0.3"/>
    <row r="51565" s="160" customFormat="1" x14ac:dyDescent="0.3"/>
    <row r="51566" s="160" customFormat="1" x14ac:dyDescent="0.3"/>
    <row r="51567" s="160" customFormat="1" x14ac:dyDescent="0.3"/>
    <row r="51568" s="160" customFormat="1" x14ac:dyDescent="0.3"/>
    <row r="51569" s="160" customFormat="1" x14ac:dyDescent="0.3"/>
    <row r="51570" s="160" customFormat="1" x14ac:dyDescent="0.3"/>
    <row r="51571" s="160" customFormat="1" x14ac:dyDescent="0.3"/>
    <row r="51572" s="160" customFormat="1" x14ac:dyDescent="0.3"/>
    <row r="51573" s="160" customFormat="1" x14ac:dyDescent="0.3"/>
    <row r="51574" s="160" customFormat="1" x14ac:dyDescent="0.3"/>
    <row r="51575" s="160" customFormat="1" x14ac:dyDescent="0.3"/>
    <row r="51576" s="160" customFormat="1" x14ac:dyDescent="0.3"/>
    <row r="51577" s="160" customFormat="1" x14ac:dyDescent="0.3"/>
    <row r="51578" s="160" customFormat="1" x14ac:dyDescent="0.3"/>
    <row r="51579" s="160" customFormat="1" x14ac:dyDescent="0.3"/>
    <row r="51580" s="160" customFormat="1" x14ac:dyDescent="0.3"/>
    <row r="51581" s="160" customFormat="1" x14ac:dyDescent="0.3"/>
    <row r="51582" s="160" customFormat="1" x14ac:dyDescent="0.3"/>
    <row r="51583" s="160" customFormat="1" x14ac:dyDescent="0.3"/>
    <row r="51584" s="160" customFormat="1" x14ac:dyDescent="0.3"/>
    <row r="51585" s="160" customFormat="1" x14ac:dyDescent="0.3"/>
    <row r="51586" s="160" customFormat="1" x14ac:dyDescent="0.3"/>
    <row r="51587" s="160" customFormat="1" x14ac:dyDescent="0.3"/>
    <row r="51588" s="160" customFormat="1" x14ac:dyDescent="0.3"/>
    <row r="51589" s="160" customFormat="1" x14ac:dyDescent="0.3"/>
    <row r="51590" s="160" customFormat="1" x14ac:dyDescent="0.3"/>
    <row r="51591" s="160" customFormat="1" x14ac:dyDescent="0.3"/>
    <row r="51592" s="160" customFormat="1" x14ac:dyDescent="0.3"/>
    <row r="51593" s="160" customFormat="1" x14ac:dyDescent="0.3"/>
    <row r="51594" s="160" customFormat="1" x14ac:dyDescent="0.3"/>
    <row r="51595" s="160" customFormat="1" x14ac:dyDescent="0.3"/>
    <row r="51596" s="160" customFormat="1" x14ac:dyDescent="0.3"/>
    <row r="51597" s="160" customFormat="1" x14ac:dyDescent="0.3"/>
    <row r="51598" s="160" customFormat="1" x14ac:dyDescent="0.3"/>
    <row r="51599" s="160" customFormat="1" x14ac:dyDescent="0.3"/>
    <row r="51600" s="160" customFormat="1" x14ac:dyDescent="0.3"/>
    <row r="51601" s="160" customFormat="1" x14ac:dyDescent="0.3"/>
    <row r="51602" s="160" customFormat="1" x14ac:dyDescent="0.3"/>
    <row r="51603" s="160" customFormat="1" x14ac:dyDescent="0.3"/>
    <row r="51604" s="160" customFormat="1" x14ac:dyDescent="0.3"/>
    <row r="51605" s="160" customFormat="1" x14ac:dyDescent="0.3"/>
    <row r="51606" s="160" customFormat="1" x14ac:dyDescent="0.3"/>
    <row r="51607" s="160" customFormat="1" x14ac:dyDescent="0.3"/>
    <row r="51608" s="160" customFormat="1" x14ac:dyDescent="0.3"/>
    <row r="51609" s="160" customFormat="1" x14ac:dyDescent="0.3"/>
    <row r="51610" s="160" customFormat="1" x14ac:dyDescent="0.3"/>
    <row r="51611" s="160" customFormat="1" x14ac:dyDescent="0.3"/>
    <row r="51612" s="160" customFormat="1" x14ac:dyDescent="0.3"/>
    <row r="51613" s="160" customFormat="1" x14ac:dyDescent="0.3"/>
    <row r="51614" s="160" customFormat="1" x14ac:dyDescent="0.3"/>
    <row r="51615" s="160" customFormat="1" x14ac:dyDescent="0.3"/>
    <row r="51616" s="160" customFormat="1" x14ac:dyDescent="0.3"/>
    <row r="51617" s="160" customFormat="1" x14ac:dyDescent="0.3"/>
    <row r="51618" s="160" customFormat="1" x14ac:dyDescent="0.3"/>
    <row r="51619" s="160" customFormat="1" x14ac:dyDescent="0.3"/>
    <row r="51620" s="160" customFormat="1" x14ac:dyDescent="0.3"/>
    <row r="51621" s="160" customFormat="1" x14ac:dyDescent="0.3"/>
    <row r="51622" s="160" customFormat="1" x14ac:dyDescent="0.3"/>
    <row r="51623" s="160" customFormat="1" x14ac:dyDescent="0.3"/>
    <row r="51624" s="160" customFormat="1" x14ac:dyDescent="0.3"/>
    <row r="51625" s="160" customFormat="1" x14ac:dyDescent="0.3"/>
    <row r="51626" s="160" customFormat="1" x14ac:dyDescent="0.3"/>
    <row r="51627" s="160" customFormat="1" x14ac:dyDescent="0.3"/>
    <row r="51628" s="160" customFormat="1" x14ac:dyDescent="0.3"/>
    <row r="51629" s="160" customFormat="1" x14ac:dyDescent="0.3"/>
    <row r="51630" s="160" customFormat="1" x14ac:dyDescent="0.3"/>
    <row r="51631" s="160" customFormat="1" x14ac:dyDescent="0.3"/>
    <row r="51632" s="160" customFormat="1" x14ac:dyDescent="0.3"/>
    <row r="51633" s="160" customFormat="1" x14ac:dyDescent="0.3"/>
    <row r="51634" s="160" customFormat="1" x14ac:dyDescent="0.3"/>
    <row r="51635" s="160" customFormat="1" x14ac:dyDescent="0.3"/>
    <row r="51636" s="160" customFormat="1" x14ac:dyDescent="0.3"/>
    <row r="51637" s="160" customFormat="1" x14ac:dyDescent="0.3"/>
    <row r="51638" s="160" customFormat="1" x14ac:dyDescent="0.3"/>
    <row r="51639" s="160" customFormat="1" x14ac:dyDescent="0.3"/>
    <row r="51640" s="160" customFormat="1" x14ac:dyDescent="0.3"/>
    <row r="51641" s="160" customFormat="1" x14ac:dyDescent="0.3"/>
    <row r="51642" s="160" customFormat="1" x14ac:dyDescent="0.3"/>
    <row r="51643" s="160" customFormat="1" x14ac:dyDescent="0.3"/>
    <row r="51644" s="160" customFormat="1" x14ac:dyDescent="0.3"/>
    <row r="51645" s="160" customFormat="1" x14ac:dyDescent="0.3"/>
    <row r="51646" s="160" customFormat="1" x14ac:dyDescent="0.3"/>
    <row r="51647" s="160" customFormat="1" x14ac:dyDescent="0.3"/>
    <row r="51648" s="160" customFormat="1" x14ac:dyDescent="0.3"/>
    <row r="51649" s="160" customFormat="1" x14ac:dyDescent="0.3"/>
    <row r="51650" s="160" customFormat="1" x14ac:dyDescent="0.3"/>
    <row r="51651" s="160" customFormat="1" x14ac:dyDescent="0.3"/>
    <row r="51652" s="160" customFormat="1" x14ac:dyDescent="0.3"/>
    <row r="51653" s="160" customFormat="1" x14ac:dyDescent="0.3"/>
    <row r="51654" s="160" customFormat="1" x14ac:dyDescent="0.3"/>
    <row r="51655" s="160" customFormat="1" x14ac:dyDescent="0.3"/>
    <row r="51656" s="160" customFormat="1" x14ac:dyDescent="0.3"/>
    <row r="51657" s="160" customFormat="1" x14ac:dyDescent="0.3"/>
    <row r="51658" s="160" customFormat="1" x14ac:dyDescent="0.3"/>
    <row r="51659" s="160" customFormat="1" x14ac:dyDescent="0.3"/>
    <row r="51660" s="160" customFormat="1" x14ac:dyDescent="0.3"/>
    <row r="51661" s="160" customFormat="1" x14ac:dyDescent="0.3"/>
    <row r="51662" s="160" customFormat="1" x14ac:dyDescent="0.3"/>
    <row r="51663" s="160" customFormat="1" x14ac:dyDescent="0.3"/>
    <row r="51664" s="160" customFormat="1" x14ac:dyDescent="0.3"/>
    <row r="51665" s="160" customFormat="1" x14ac:dyDescent="0.3"/>
    <row r="51666" s="160" customFormat="1" x14ac:dyDescent="0.3"/>
    <row r="51667" s="160" customFormat="1" x14ac:dyDescent="0.3"/>
    <row r="51668" s="160" customFormat="1" x14ac:dyDescent="0.3"/>
    <row r="51669" s="160" customFormat="1" x14ac:dyDescent="0.3"/>
    <row r="51670" s="160" customFormat="1" x14ac:dyDescent="0.3"/>
    <row r="51671" s="160" customFormat="1" x14ac:dyDescent="0.3"/>
    <row r="51672" s="160" customFormat="1" x14ac:dyDescent="0.3"/>
    <row r="51673" s="160" customFormat="1" x14ac:dyDescent="0.3"/>
    <row r="51674" s="160" customFormat="1" x14ac:dyDescent="0.3"/>
    <row r="51675" s="160" customFormat="1" x14ac:dyDescent="0.3"/>
    <row r="51676" s="160" customFormat="1" x14ac:dyDescent="0.3"/>
    <row r="51677" s="160" customFormat="1" x14ac:dyDescent="0.3"/>
    <row r="51678" s="160" customFormat="1" x14ac:dyDescent="0.3"/>
    <row r="51679" s="160" customFormat="1" x14ac:dyDescent="0.3"/>
    <row r="51680" s="160" customFormat="1" x14ac:dyDescent="0.3"/>
    <row r="51681" s="160" customFormat="1" x14ac:dyDescent="0.3"/>
    <row r="51682" s="160" customFormat="1" x14ac:dyDescent="0.3"/>
    <row r="51683" s="160" customFormat="1" x14ac:dyDescent="0.3"/>
    <row r="51684" s="160" customFormat="1" x14ac:dyDescent="0.3"/>
    <row r="51685" s="160" customFormat="1" x14ac:dyDescent="0.3"/>
    <row r="51686" s="160" customFormat="1" x14ac:dyDescent="0.3"/>
    <row r="51687" s="160" customFormat="1" x14ac:dyDescent="0.3"/>
    <row r="51688" s="160" customFormat="1" x14ac:dyDescent="0.3"/>
    <row r="51689" s="160" customFormat="1" x14ac:dyDescent="0.3"/>
    <row r="51690" s="160" customFormat="1" x14ac:dyDescent="0.3"/>
    <row r="51691" s="160" customFormat="1" x14ac:dyDescent="0.3"/>
    <row r="51692" s="160" customFormat="1" x14ac:dyDescent="0.3"/>
    <row r="51693" s="160" customFormat="1" x14ac:dyDescent="0.3"/>
    <row r="51694" s="160" customFormat="1" x14ac:dyDescent="0.3"/>
    <row r="51695" s="160" customFormat="1" x14ac:dyDescent="0.3"/>
    <row r="51696" s="160" customFormat="1" x14ac:dyDescent="0.3"/>
    <row r="51697" s="160" customFormat="1" x14ac:dyDescent="0.3"/>
    <row r="51698" s="160" customFormat="1" x14ac:dyDescent="0.3"/>
    <row r="51699" s="160" customFormat="1" x14ac:dyDescent="0.3"/>
    <row r="51700" s="160" customFormat="1" x14ac:dyDescent="0.3"/>
    <row r="51701" s="160" customFormat="1" x14ac:dyDescent="0.3"/>
    <row r="51702" s="160" customFormat="1" x14ac:dyDescent="0.3"/>
    <row r="51703" s="160" customFormat="1" x14ac:dyDescent="0.3"/>
    <row r="51704" s="160" customFormat="1" x14ac:dyDescent="0.3"/>
    <row r="51705" s="160" customFormat="1" x14ac:dyDescent="0.3"/>
    <row r="51706" s="160" customFormat="1" x14ac:dyDescent="0.3"/>
    <row r="51707" s="160" customFormat="1" x14ac:dyDescent="0.3"/>
    <row r="51708" s="160" customFormat="1" x14ac:dyDescent="0.3"/>
    <row r="51709" s="160" customFormat="1" x14ac:dyDescent="0.3"/>
    <row r="51710" s="160" customFormat="1" x14ac:dyDescent="0.3"/>
    <row r="51711" s="160" customFormat="1" x14ac:dyDescent="0.3"/>
    <row r="51712" s="160" customFormat="1" x14ac:dyDescent="0.3"/>
    <row r="51713" s="160" customFormat="1" x14ac:dyDescent="0.3"/>
    <row r="51714" s="160" customFormat="1" x14ac:dyDescent="0.3"/>
    <row r="51715" s="160" customFormat="1" x14ac:dyDescent="0.3"/>
    <row r="51716" s="160" customFormat="1" x14ac:dyDescent="0.3"/>
    <row r="51717" s="160" customFormat="1" x14ac:dyDescent="0.3"/>
    <row r="51718" s="160" customFormat="1" x14ac:dyDescent="0.3"/>
    <row r="51719" s="160" customFormat="1" x14ac:dyDescent="0.3"/>
    <row r="51720" s="160" customFormat="1" x14ac:dyDescent="0.3"/>
    <row r="51721" s="160" customFormat="1" x14ac:dyDescent="0.3"/>
    <row r="51722" s="160" customFormat="1" x14ac:dyDescent="0.3"/>
    <row r="51723" s="160" customFormat="1" x14ac:dyDescent="0.3"/>
    <row r="51724" s="160" customFormat="1" x14ac:dyDescent="0.3"/>
    <row r="51725" s="160" customFormat="1" x14ac:dyDescent="0.3"/>
    <row r="51726" s="160" customFormat="1" x14ac:dyDescent="0.3"/>
    <row r="51727" s="160" customFormat="1" x14ac:dyDescent="0.3"/>
    <row r="51728" s="160" customFormat="1" x14ac:dyDescent="0.3"/>
    <row r="51729" s="160" customFormat="1" x14ac:dyDescent="0.3"/>
    <row r="51730" s="160" customFormat="1" x14ac:dyDescent="0.3"/>
    <row r="51731" s="160" customFormat="1" x14ac:dyDescent="0.3"/>
    <row r="51732" s="160" customFormat="1" x14ac:dyDescent="0.3"/>
    <row r="51733" s="160" customFormat="1" x14ac:dyDescent="0.3"/>
    <row r="51734" s="160" customFormat="1" x14ac:dyDescent="0.3"/>
    <row r="51735" s="160" customFormat="1" x14ac:dyDescent="0.3"/>
    <row r="51736" s="160" customFormat="1" x14ac:dyDescent="0.3"/>
    <row r="51737" s="160" customFormat="1" x14ac:dyDescent="0.3"/>
    <row r="51738" s="160" customFormat="1" x14ac:dyDescent="0.3"/>
    <row r="51739" s="160" customFormat="1" x14ac:dyDescent="0.3"/>
    <row r="51740" s="160" customFormat="1" x14ac:dyDescent="0.3"/>
    <row r="51741" s="160" customFormat="1" x14ac:dyDescent="0.3"/>
    <row r="51742" s="160" customFormat="1" x14ac:dyDescent="0.3"/>
    <row r="51743" s="160" customFormat="1" x14ac:dyDescent="0.3"/>
    <row r="51744" s="160" customFormat="1" x14ac:dyDescent="0.3"/>
    <row r="51745" s="160" customFormat="1" x14ac:dyDescent="0.3"/>
    <row r="51746" s="160" customFormat="1" x14ac:dyDescent="0.3"/>
    <row r="51747" s="160" customFormat="1" x14ac:dyDescent="0.3"/>
    <row r="51748" s="160" customFormat="1" x14ac:dyDescent="0.3"/>
    <row r="51749" s="160" customFormat="1" x14ac:dyDescent="0.3"/>
    <row r="51750" s="160" customFormat="1" x14ac:dyDescent="0.3"/>
    <row r="51751" s="160" customFormat="1" x14ac:dyDescent="0.3"/>
    <row r="51752" s="160" customFormat="1" x14ac:dyDescent="0.3"/>
    <row r="51753" s="160" customFormat="1" x14ac:dyDescent="0.3"/>
    <row r="51754" s="160" customFormat="1" x14ac:dyDescent="0.3"/>
    <row r="51755" s="160" customFormat="1" x14ac:dyDescent="0.3"/>
    <row r="51756" s="160" customFormat="1" x14ac:dyDescent="0.3"/>
    <row r="51757" s="160" customFormat="1" x14ac:dyDescent="0.3"/>
    <row r="51758" s="160" customFormat="1" x14ac:dyDescent="0.3"/>
    <row r="51759" s="160" customFormat="1" x14ac:dyDescent="0.3"/>
    <row r="51760" s="160" customFormat="1" x14ac:dyDescent="0.3"/>
    <row r="51761" s="160" customFormat="1" x14ac:dyDescent="0.3"/>
    <row r="51762" s="160" customFormat="1" x14ac:dyDescent="0.3"/>
    <row r="51763" s="160" customFormat="1" x14ac:dyDescent="0.3"/>
    <row r="51764" s="160" customFormat="1" x14ac:dyDescent="0.3"/>
    <row r="51765" s="160" customFormat="1" x14ac:dyDescent="0.3"/>
    <row r="51766" s="160" customFormat="1" x14ac:dyDescent="0.3"/>
    <row r="51767" s="160" customFormat="1" x14ac:dyDescent="0.3"/>
    <row r="51768" s="160" customFormat="1" x14ac:dyDescent="0.3"/>
    <row r="51769" s="160" customFormat="1" x14ac:dyDescent="0.3"/>
    <row r="51770" s="160" customFormat="1" x14ac:dyDescent="0.3"/>
    <row r="51771" s="160" customFormat="1" x14ac:dyDescent="0.3"/>
    <row r="51772" s="160" customFormat="1" x14ac:dyDescent="0.3"/>
    <row r="51773" s="160" customFormat="1" x14ac:dyDescent="0.3"/>
    <row r="51774" s="160" customFormat="1" x14ac:dyDescent="0.3"/>
    <row r="51775" s="160" customFormat="1" x14ac:dyDescent="0.3"/>
    <row r="51776" s="160" customFormat="1" x14ac:dyDescent="0.3"/>
    <row r="51777" s="160" customFormat="1" x14ac:dyDescent="0.3"/>
    <row r="51778" s="160" customFormat="1" x14ac:dyDescent="0.3"/>
    <row r="51779" s="160" customFormat="1" x14ac:dyDescent="0.3"/>
    <row r="51780" s="160" customFormat="1" x14ac:dyDescent="0.3"/>
    <row r="51781" s="160" customFormat="1" x14ac:dyDescent="0.3"/>
    <row r="51782" s="160" customFormat="1" x14ac:dyDescent="0.3"/>
    <row r="51783" s="160" customFormat="1" x14ac:dyDescent="0.3"/>
    <row r="51784" s="160" customFormat="1" x14ac:dyDescent="0.3"/>
    <row r="51785" s="160" customFormat="1" x14ac:dyDescent="0.3"/>
    <row r="51786" s="160" customFormat="1" x14ac:dyDescent="0.3"/>
    <row r="51787" s="160" customFormat="1" x14ac:dyDescent="0.3"/>
    <row r="51788" s="160" customFormat="1" x14ac:dyDescent="0.3"/>
    <row r="51789" s="160" customFormat="1" x14ac:dyDescent="0.3"/>
    <row r="51790" s="160" customFormat="1" x14ac:dyDescent="0.3"/>
    <row r="51791" s="160" customFormat="1" x14ac:dyDescent="0.3"/>
    <row r="51792" s="160" customFormat="1" x14ac:dyDescent="0.3"/>
    <row r="51793" s="160" customFormat="1" x14ac:dyDescent="0.3"/>
    <row r="51794" s="160" customFormat="1" x14ac:dyDescent="0.3"/>
    <row r="51795" s="160" customFormat="1" x14ac:dyDescent="0.3"/>
    <row r="51796" s="160" customFormat="1" x14ac:dyDescent="0.3"/>
    <row r="51797" s="160" customFormat="1" x14ac:dyDescent="0.3"/>
    <row r="51798" s="160" customFormat="1" x14ac:dyDescent="0.3"/>
    <row r="51799" s="160" customFormat="1" x14ac:dyDescent="0.3"/>
    <row r="51800" s="160" customFormat="1" x14ac:dyDescent="0.3"/>
    <row r="51801" s="160" customFormat="1" x14ac:dyDescent="0.3"/>
    <row r="51802" s="160" customFormat="1" x14ac:dyDescent="0.3"/>
    <row r="51803" s="160" customFormat="1" x14ac:dyDescent="0.3"/>
    <row r="51804" s="160" customFormat="1" x14ac:dyDescent="0.3"/>
    <row r="51805" s="160" customFormat="1" x14ac:dyDescent="0.3"/>
    <row r="51806" s="160" customFormat="1" x14ac:dyDescent="0.3"/>
    <row r="51807" s="160" customFormat="1" x14ac:dyDescent="0.3"/>
    <row r="51808" s="160" customFormat="1" x14ac:dyDescent="0.3"/>
    <row r="51809" s="160" customFormat="1" x14ac:dyDescent="0.3"/>
    <row r="51810" s="160" customFormat="1" x14ac:dyDescent="0.3"/>
    <row r="51811" s="160" customFormat="1" x14ac:dyDescent="0.3"/>
    <row r="51812" s="160" customFormat="1" x14ac:dyDescent="0.3"/>
    <row r="51813" s="160" customFormat="1" x14ac:dyDescent="0.3"/>
    <row r="51814" s="160" customFormat="1" x14ac:dyDescent="0.3"/>
    <row r="51815" s="160" customFormat="1" x14ac:dyDescent="0.3"/>
    <row r="51816" s="160" customFormat="1" x14ac:dyDescent="0.3"/>
    <row r="51817" s="160" customFormat="1" x14ac:dyDescent="0.3"/>
    <row r="51818" s="160" customFormat="1" x14ac:dyDescent="0.3"/>
    <row r="51819" s="160" customFormat="1" x14ac:dyDescent="0.3"/>
    <row r="51820" s="160" customFormat="1" x14ac:dyDescent="0.3"/>
    <row r="51821" s="160" customFormat="1" x14ac:dyDescent="0.3"/>
    <row r="51822" s="160" customFormat="1" x14ac:dyDescent="0.3"/>
    <row r="51823" s="160" customFormat="1" x14ac:dyDescent="0.3"/>
    <row r="51824" s="160" customFormat="1" x14ac:dyDescent="0.3"/>
    <row r="51825" s="160" customFormat="1" x14ac:dyDescent="0.3"/>
    <row r="51826" s="160" customFormat="1" x14ac:dyDescent="0.3"/>
    <row r="51827" s="160" customFormat="1" x14ac:dyDescent="0.3"/>
    <row r="51828" s="160" customFormat="1" x14ac:dyDescent="0.3"/>
    <row r="51829" s="160" customFormat="1" x14ac:dyDescent="0.3"/>
    <row r="51830" s="160" customFormat="1" x14ac:dyDescent="0.3"/>
    <row r="51831" s="160" customFormat="1" x14ac:dyDescent="0.3"/>
    <row r="51832" s="160" customFormat="1" x14ac:dyDescent="0.3"/>
    <row r="51833" s="160" customFormat="1" x14ac:dyDescent="0.3"/>
    <row r="51834" s="160" customFormat="1" x14ac:dyDescent="0.3"/>
    <row r="51835" s="160" customFormat="1" x14ac:dyDescent="0.3"/>
    <row r="51836" s="160" customFormat="1" x14ac:dyDescent="0.3"/>
    <row r="51837" s="160" customFormat="1" x14ac:dyDescent="0.3"/>
    <row r="51838" s="160" customFormat="1" x14ac:dyDescent="0.3"/>
    <row r="51839" s="160" customFormat="1" x14ac:dyDescent="0.3"/>
    <row r="51840" s="160" customFormat="1" x14ac:dyDescent="0.3"/>
    <row r="51841" s="160" customFormat="1" x14ac:dyDescent="0.3"/>
    <row r="51842" s="160" customFormat="1" x14ac:dyDescent="0.3"/>
    <row r="51843" s="160" customFormat="1" x14ac:dyDescent="0.3"/>
    <row r="51844" s="160" customFormat="1" x14ac:dyDescent="0.3"/>
    <row r="51845" s="160" customFormat="1" x14ac:dyDescent="0.3"/>
    <row r="51846" s="160" customFormat="1" x14ac:dyDescent="0.3"/>
    <row r="51847" s="160" customFormat="1" x14ac:dyDescent="0.3"/>
    <row r="51848" s="160" customFormat="1" x14ac:dyDescent="0.3"/>
    <row r="51849" s="160" customFormat="1" x14ac:dyDescent="0.3"/>
    <row r="51850" s="160" customFormat="1" x14ac:dyDescent="0.3"/>
    <row r="51851" s="160" customFormat="1" x14ac:dyDescent="0.3"/>
    <row r="51852" s="160" customFormat="1" x14ac:dyDescent="0.3"/>
    <row r="51853" s="160" customFormat="1" x14ac:dyDescent="0.3"/>
    <row r="51854" s="160" customFormat="1" x14ac:dyDescent="0.3"/>
    <row r="51855" s="160" customFormat="1" x14ac:dyDescent="0.3"/>
    <row r="51856" s="160" customFormat="1" x14ac:dyDescent="0.3"/>
    <row r="51857" s="160" customFormat="1" x14ac:dyDescent="0.3"/>
    <row r="51858" s="160" customFormat="1" x14ac:dyDescent="0.3"/>
    <row r="51859" s="160" customFormat="1" x14ac:dyDescent="0.3"/>
    <row r="51860" s="160" customFormat="1" x14ac:dyDescent="0.3"/>
    <row r="51861" s="160" customFormat="1" x14ac:dyDescent="0.3"/>
    <row r="51862" s="160" customFormat="1" x14ac:dyDescent="0.3"/>
    <row r="51863" s="160" customFormat="1" x14ac:dyDescent="0.3"/>
    <row r="51864" s="160" customFormat="1" x14ac:dyDescent="0.3"/>
    <row r="51865" s="160" customFormat="1" x14ac:dyDescent="0.3"/>
    <row r="51866" s="160" customFormat="1" x14ac:dyDescent="0.3"/>
    <row r="51867" s="160" customFormat="1" x14ac:dyDescent="0.3"/>
    <row r="51868" s="160" customFormat="1" x14ac:dyDescent="0.3"/>
    <row r="51869" s="160" customFormat="1" x14ac:dyDescent="0.3"/>
    <row r="51870" s="160" customFormat="1" x14ac:dyDescent="0.3"/>
    <row r="51871" s="160" customFormat="1" x14ac:dyDescent="0.3"/>
    <row r="51872" s="160" customFormat="1" x14ac:dyDescent="0.3"/>
    <row r="51873" s="160" customFormat="1" x14ac:dyDescent="0.3"/>
    <row r="51874" s="160" customFormat="1" x14ac:dyDescent="0.3"/>
    <row r="51875" s="160" customFormat="1" x14ac:dyDescent="0.3"/>
    <row r="51876" s="160" customFormat="1" x14ac:dyDescent="0.3"/>
    <row r="51877" s="160" customFormat="1" x14ac:dyDescent="0.3"/>
    <row r="51878" s="160" customFormat="1" x14ac:dyDescent="0.3"/>
    <row r="51879" s="160" customFormat="1" x14ac:dyDescent="0.3"/>
    <row r="51880" s="160" customFormat="1" x14ac:dyDescent="0.3"/>
    <row r="51881" s="160" customFormat="1" x14ac:dyDescent="0.3"/>
    <row r="51882" s="160" customFormat="1" x14ac:dyDescent="0.3"/>
    <row r="51883" s="160" customFormat="1" x14ac:dyDescent="0.3"/>
    <row r="51884" s="160" customFormat="1" x14ac:dyDescent="0.3"/>
    <row r="51885" s="160" customFormat="1" x14ac:dyDescent="0.3"/>
    <row r="51886" s="160" customFormat="1" x14ac:dyDescent="0.3"/>
    <row r="51887" s="160" customFormat="1" x14ac:dyDescent="0.3"/>
    <row r="51888" s="160" customFormat="1" x14ac:dyDescent="0.3"/>
    <row r="51889" s="160" customFormat="1" x14ac:dyDescent="0.3"/>
    <row r="51890" s="160" customFormat="1" x14ac:dyDescent="0.3"/>
    <row r="51891" s="160" customFormat="1" x14ac:dyDescent="0.3"/>
    <row r="51892" s="160" customFormat="1" x14ac:dyDescent="0.3"/>
    <row r="51893" s="160" customFormat="1" x14ac:dyDescent="0.3"/>
    <row r="51894" s="160" customFormat="1" x14ac:dyDescent="0.3"/>
    <row r="51895" s="160" customFormat="1" x14ac:dyDescent="0.3"/>
    <row r="51896" s="160" customFormat="1" x14ac:dyDescent="0.3"/>
    <row r="51897" s="160" customFormat="1" x14ac:dyDescent="0.3"/>
    <row r="51898" s="160" customFormat="1" x14ac:dyDescent="0.3"/>
    <row r="51899" s="160" customFormat="1" x14ac:dyDescent="0.3"/>
    <row r="51900" s="160" customFormat="1" x14ac:dyDescent="0.3"/>
    <row r="51901" s="160" customFormat="1" x14ac:dyDescent="0.3"/>
    <row r="51902" s="160" customFormat="1" x14ac:dyDescent="0.3"/>
    <row r="51903" s="160" customFormat="1" x14ac:dyDescent="0.3"/>
    <row r="51904" s="160" customFormat="1" x14ac:dyDescent="0.3"/>
    <row r="51905" s="160" customFormat="1" x14ac:dyDescent="0.3"/>
    <row r="51906" s="160" customFormat="1" x14ac:dyDescent="0.3"/>
    <row r="51907" s="160" customFormat="1" x14ac:dyDescent="0.3"/>
    <row r="51908" s="160" customFormat="1" x14ac:dyDescent="0.3"/>
    <row r="51909" s="160" customFormat="1" x14ac:dyDescent="0.3"/>
    <row r="51910" s="160" customFormat="1" x14ac:dyDescent="0.3"/>
    <row r="51911" s="160" customFormat="1" x14ac:dyDescent="0.3"/>
    <row r="51912" s="160" customFormat="1" x14ac:dyDescent="0.3"/>
    <row r="51913" s="160" customFormat="1" x14ac:dyDescent="0.3"/>
    <row r="51914" s="160" customFormat="1" x14ac:dyDescent="0.3"/>
    <row r="51915" s="160" customFormat="1" x14ac:dyDescent="0.3"/>
    <row r="51916" s="160" customFormat="1" x14ac:dyDescent="0.3"/>
    <row r="51917" s="160" customFormat="1" x14ac:dyDescent="0.3"/>
    <row r="51918" s="160" customFormat="1" x14ac:dyDescent="0.3"/>
    <row r="51919" s="160" customFormat="1" x14ac:dyDescent="0.3"/>
    <row r="51920" s="160" customFormat="1" x14ac:dyDescent="0.3"/>
    <row r="51921" s="160" customFormat="1" x14ac:dyDescent="0.3"/>
    <row r="51922" s="160" customFormat="1" x14ac:dyDescent="0.3"/>
    <row r="51923" s="160" customFormat="1" x14ac:dyDescent="0.3"/>
    <row r="51924" s="160" customFormat="1" x14ac:dyDescent="0.3"/>
    <row r="51925" s="160" customFormat="1" x14ac:dyDescent="0.3"/>
    <row r="51926" s="160" customFormat="1" x14ac:dyDescent="0.3"/>
    <row r="51927" s="160" customFormat="1" x14ac:dyDescent="0.3"/>
    <row r="51928" s="160" customFormat="1" x14ac:dyDescent="0.3"/>
    <row r="51929" s="160" customFormat="1" x14ac:dyDescent="0.3"/>
    <row r="51930" s="160" customFormat="1" x14ac:dyDescent="0.3"/>
    <row r="51931" s="160" customFormat="1" x14ac:dyDescent="0.3"/>
    <row r="51932" s="160" customFormat="1" x14ac:dyDescent="0.3"/>
    <row r="51933" s="160" customFormat="1" x14ac:dyDescent="0.3"/>
    <row r="51934" s="160" customFormat="1" x14ac:dyDescent="0.3"/>
    <row r="51935" s="160" customFormat="1" x14ac:dyDescent="0.3"/>
    <row r="51936" s="160" customFormat="1" x14ac:dyDescent="0.3"/>
    <row r="51937" s="160" customFormat="1" x14ac:dyDescent="0.3"/>
    <row r="51938" s="160" customFormat="1" x14ac:dyDescent="0.3"/>
    <row r="51939" s="160" customFormat="1" x14ac:dyDescent="0.3"/>
    <row r="51940" s="160" customFormat="1" x14ac:dyDescent="0.3"/>
    <row r="51941" s="160" customFormat="1" x14ac:dyDescent="0.3"/>
    <row r="51942" s="160" customFormat="1" x14ac:dyDescent="0.3"/>
    <row r="51943" s="160" customFormat="1" x14ac:dyDescent="0.3"/>
    <row r="51944" s="160" customFormat="1" x14ac:dyDescent="0.3"/>
    <row r="51945" s="160" customFormat="1" x14ac:dyDescent="0.3"/>
    <row r="51946" s="160" customFormat="1" x14ac:dyDescent="0.3"/>
    <row r="51947" s="160" customFormat="1" x14ac:dyDescent="0.3"/>
    <row r="51948" s="160" customFormat="1" x14ac:dyDescent="0.3"/>
    <row r="51949" s="160" customFormat="1" x14ac:dyDescent="0.3"/>
    <row r="51950" s="160" customFormat="1" x14ac:dyDescent="0.3"/>
    <row r="51951" s="160" customFormat="1" x14ac:dyDescent="0.3"/>
    <row r="51952" s="160" customFormat="1" x14ac:dyDescent="0.3"/>
    <row r="51953" s="160" customFormat="1" x14ac:dyDescent="0.3"/>
    <row r="51954" s="160" customFormat="1" x14ac:dyDescent="0.3"/>
    <row r="51955" s="160" customFormat="1" x14ac:dyDescent="0.3"/>
    <row r="51956" s="160" customFormat="1" x14ac:dyDescent="0.3"/>
    <row r="51957" s="160" customFormat="1" x14ac:dyDescent="0.3"/>
    <row r="51958" s="160" customFormat="1" x14ac:dyDescent="0.3"/>
    <row r="51959" s="160" customFormat="1" x14ac:dyDescent="0.3"/>
    <row r="51960" s="160" customFormat="1" x14ac:dyDescent="0.3"/>
    <row r="51961" s="160" customFormat="1" x14ac:dyDescent="0.3"/>
    <row r="51962" s="160" customFormat="1" x14ac:dyDescent="0.3"/>
    <row r="51963" s="160" customFormat="1" x14ac:dyDescent="0.3"/>
    <row r="51964" s="160" customFormat="1" x14ac:dyDescent="0.3"/>
    <row r="51965" s="160" customFormat="1" x14ac:dyDescent="0.3"/>
    <row r="51966" s="160" customFormat="1" x14ac:dyDescent="0.3"/>
    <row r="51967" s="160" customFormat="1" x14ac:dyDescent="0.3"/>
    <row r="51968" s="160" customFormat="1" x14ac:dyDescent="0.3"/>
    <row r="51969" s="160" customFormat="1" x14ac:dyDescent="0.3"/>
    <row r="51970" s="160" customFormat="1" x14ac:dyDescent="0.3"/>
    <row r="51971" s="160" customFormat="1" x14ac:dyDescent="0.3"/>
    <row r="51972" s="160" customFormat="1" x14ac:dyDescent="0.3"/>
    <row r="51973" s="160" customFormat="1" x14ac:dyDescent="0.3"/>
    <row r="51974" s="160" customFormat="1" x14ac:dyDescent="0.3"/>
    <row r="51975" s="160" customFormat="1" x14ac:dyDescent="0.3"/>
    <row r="51976" s="160" customFormat="1" x14ac:dyDescent="0.3"/>
    <row r="51977" s="160" customFormat="1" x14ac:dyDescent="0.3"/>
    <row r="51978" s="160" customFormat="1" x14ac:dyDescent="0.3"/>
    <row r="51979" s="160" customFormat="1" x14ac:dyDescent="0.3"/>
    <row r="51980" s="160" customFormat="1" x14ac:dyDescent="0.3"/>
    <row r="51981" s="160" customFormat="1" x14ac:dyDescent="0.3"/>
    <row r="51982" s="160" customFormat="1" x14ac:dyDescent="0.3"/>
    <row r="51983" s="160" customFormat="1" x14ac:dyDescent="0.3"/>
    <row r="51984" s="160" customFormat="1" x14ac:dyDescent="0.3"/>
    <row r="51985" s="160" customFormat="1" x14ac:dyDescent="0.3"/>
    <row r="51986" s="160" customFormat="1" x14ac:dyDescent="0.3"/>
    <row r="51987" s="160" customFormat="1" x14ac:dyDescent="0.3"/>
    <row r="51988" s="160" customFormat="1" x14ac:dyDescent="0.3"/>
    <row r="51989" s="160" customFormat="1" x14ac:dyDescent="0.3"/>
    <row r="51990" s="160" customFormat="1" x14ac:dyDescent="0.3"/>
    <row r="51991" s="160" customFormat="1" x14ac:dyDescent="0.3"/>
    <row r="51992" s="160" customFormat="1" x14ac:dyDescent="0.3"/>
    <row r="51993" s="160" customFormat="1" x14ac:dyDescent="0.3"/>
    <row r="51994" s="160" customFormat="1" x14ac:dyDescent="0.3"/>
    <row r="51995" s="160" customFormat="1" x14ac:dyDescent="0.3"/>
    <row r="51996" s="160" customFormat="1" x14ac:dyDescent="0.3"/>
    <row r="51997" s="160" customFormat="1" x14ac:dyDescent="0.3"/>
    <row r="51998" s="160" customFormat="1" x14ac:dyDescent="0.3"/>
    <row r="51999" s="160" customFormat="1" x14ac:dyDescent="0.3"/>
    <row r="52000" s="160" customFormat="1" x14ac:dyDescent="0.3"/>
    <row r="52001" s="160" customFormat="1" x14ac:dyDescent="0.3"/>
    <row r="52002" s="160" customFormat="1" x14ac:dyDescent="0.3"/>
    <row r="52003" s="160" customFormat="1" x14ac:dyDescent="0.3"/>
    <row r="52004" s="160" customFormat="1" x14ac:dyDescent="0.3"/>
    <row r="52005" s="160" customFormat="1" x14ac:dyDescent="0.3"/>
    <row r="52006" s="160" customFormat="1" x14ac:dyDescent="0.3"/>
    <row r="52007" s="160" customFormat="1" x14ac:dyDescent="0.3"/>
    <row r="52008" s="160" customFormat="1" x14ac:dyDescent="0.3"/>
    <row r="52009" s="160" customFormat="1" x14ac:dyDescent="0.3"/>
    <row r="52010" s="160" customFormat="1" x14ac:dyDescent="0.3"/>
    <row r="52011" s="160" customFormat="1" x14ac:dyDescent="0.3"/>
    <row r="52012" s="160" customFormat="1" x14ac:dyDescent="0.3"/>
    <row r="52013" s="160" customFormat="1" x14ac:dyDescent="0.3"/>
    <row r="52014" s="160" customFormat="1" x14ac:dyDescent="0.3"/>
    <row r="52015" s="160" customFormat="1" x14ac:dyDescent="0.3"/>
    <row r="52016" s="160" customFormat="1" x14ac:dyDescent="0.3"/>
    <row r="52017" s="160" customFormat="1" x14ac:dyDescent="0.3"/>
    <row r="52018" s="160" customFormat="1" x14ac:dyDescent="0.3"/>
    <row r="52019" s="160" customFormat="1" x14ac:dyDescent="0.3"/>
    <row r="52020" s="160" customFormat="1" x14ac:dyDescent="0.3"/>
    <row r="52021" s="160" customFormat="1" x14ac:dyDescent="0.3"/>
    <row r="52022" s="160" customFormat="1" x14ac:dyDescent="0.3"/>
    <row r="52023" s="160" customFormat="1" x14ac:dyDescent="0.3"/>
    <row r="52024" s="160" customFormat="1" x14ac:dyDescent="0.3"/>
    <row r="52025" s="160" customFormat="1" x14ac:dyDescent="0.3"/>
    <row r="52026" s="160" customFormat="1" x14ac:dyDescent="0.3"/>
    <row r="52027" s="160" customFormat="1" x14ac:dyDescent="0.3"/>
    <row r="52028" s="160" customFormat="1" x14ac:dyDescent="0.3"/>
    <row r="52029" s="160" customFormat="1" x14ac:dyDescent="0.3"/>
    <row r="52030" s="160" customFormat="1" x14ac:dyDescent="0.3"/>
    <row r="52031" s="160" customFormat="1" x14ac:dyDescent="0.3"/>
    <row r="52032" s="160" customFormat="1" x14ac:dyDescent="0.3"/>
    <row r="52033" s="160" customFormat="1" x14ac:dyDescent="0.3"/>
    <row r="52034" s="160" customFormat="1" x14ac:dyDescent="0.3"/>
    <row r="52035" s="160" customFormat="1" x14ac:dyDescent="0.3"/>
    <row r="52036" s="160" customFormat="1" x14ac:dyDescent="0.3"/>
    <row r="52037" s="160" customFormat="1" x14ac:dyDescent="0.3"/>
    <row r="52038" s="160" customFormat="1" x14ac:dyDescent="0.3"/>
    <row r="52039" s="160" customFormat="1" x14ac:dyDescent="0.3"/>
    <row r="52040" s="160" customFormat="1" x14ac:dyDescent="0.3"/>
    <row r="52041" s="160" customFormat="1" x14ac:dyDescent="0.3"/>
    <row r="52042" s="160" customFormat="1" x14ac:dyDescent="0.3"/>
    <row r="52043" s="160" customFormat="1" x14ac:dyDescent="0.3"/>
    <row r="52044" s="160" customFormat="1" x14ac:dyDescent="0.3"/>
    <row r="52045" s="160" customFormat="1" x14ac:dyDescent="0.3"/>
    <row r="52046" s="160" customFormat="1" x14ac:dyDescent="0.3"/>
    <row r="52047" s="160" customFormat="1" x14ac:dyDescent="0.3"/>
    <row r="52048" s="160" customFormat="1" x14ac:dyDescent="0.3"/>
    <row r="52049" s="160" customFormat="1" x14ac:dyDescent="0.3"/>
    <row r="52050" s="160" customFormat="1" x14ac:dyDescent="0.3"/>
    <row r="52051" s="160" customFormat="1" x14ac:dyDescent="0.3"/>
    <row r="52052" s="160" customFormat="1" x14ac:dyDescent="0.3"/>
    <row r="52053" s="160" customFormat="1" x14ac:dyDescent="0.3"/>
    <row r="52054" s="160" customFormat="1" x14ac:dyDescent="0.3"/>
    <row r="52055" s="160" customFormat="1" x14ac:dyDescent="0.3"/>
    <row r="52056" s="160" customFormat="1" x14ac:dyDescent="0.3"/>
    <row r="52057" s="160" customFormat="1" x14ac:dyDescent="0.3"/>
    <row r="52058" s="160" customFormat="1" x14ac:dyDescent="0.3"/>
    <row r="52059" s="160" customFormat="1" x14ac:dyDescent="0.3"/>
    <row r="52060" s="160" customFormat="1" x14ac:dyDescent="0.3"/>
    <row r="52061" s="160" customFormat="1" x14ac:dyDescent="0.3"/>
    <row r="52062" s="160" customFormat="1" x14ac:dyDescent="0.3"/>
    <row r="52063" s="160" customFormat="1" x14ac:dyDescent="0.3"/>
    <row r="52064" s="160" customFormat="1" x14ac:dyDescent="0.3"/>
    <row r="52065" s="160" customFormat="1" x14ac:dyDescent="0.3"/>
    <row r="52066" s="160" customFormat="1" x14ac:dyDescent="0.3"/>
    <row r="52067" s="160" customFormat="1" x14ac:dyDescent="0.3"/>
    <row r="52068" s="160" customFormat="1" x14ac:dyDescent="0.3"/>
    <row r="52069" s="160" customFormat="1" x14ac:dyDescent="0.3"/>
    <row r="52070" s="160" customFormat="1" x14ac:dyDescent="0.3"/>
    <row r="52071" s="160" customFormat="1" x14ac:dyDescent="0.3"/>
    <row r="52072" s="160" customFormat="1" x14ac:dyDescent="0.3"/>
    <row r="52073" s="160" customFormat="1" x14ac:dyDescent="0.3"/>
    <row r="52074" s="160" customFormat="1" x14ac:dyDescent="0.3"/>
    <row r="52075" s="160" customFormat="1" x14ac:dyDescent="0.3"/>
    <row r="52076" s="160" customFormat="1" x14ac:dyDescent="0.3"/>
    <row r="52077" s="160" customFormat="1" x14ac:dyDescent="0.3"/>
    <row r="52078" s="160" customFormat="1" x14ac:dyDescent="0.3"/>
    <row r="52079" s="160" customFormat="1" x14ac:dyDescent="0.3"/>
    <row r="52080" s="160" customFormat="1" x14ac:dyDescent="0.3"/>
    <row r="52081" s="160" customFormat="1" x14ac:dyDescent="0.3"/>
    <row r="52082" s="160" customFormat="1" x14ac:dyDescent="0.3"/>
    <row r="52083" s="160" customFormat="1" x14ac:dyDescent="0.3"/>
    <row r="52084" s="160" customFormat="1" x14ac:dyDescent="0.3"/>
    <row r="52085" s="160" customFormat="1" x14ac:dyDescent="0.3"/>
    <row r="52086" s="160" customFormat="1" x14ac:dyDescent="0.3"/>
    <row r="52087" s="160" customFormat="1" x14ac:dyDescent="0.3"/>
    <row r="52088" s="160" customFormat="1" x14ac:dyDescent="0.3"/>
    <row r="52089" s="160" customFormat="1" x14ac:dyDescent="0.3"/>
    <row r="52090" s="160" customFormat="1" x14ac:dyDescent="0.3"/>
    <row r="52091" s="160" customFormat="1" x14ac:dyDescent="0.3"/>
    <row r="52092" s="160" customFormat="1" x14ac:dyDescent="0.3"/>
    <row r="52093" s="160" customFormat="1" x14ac:dyDescent="0.3"/>
    <row r="52094" s="160" customFormat="1" x14ac:dyDescent="0.3"/>
    <row r="52095" s="160" customFormat="1" x14ac:dyDescent="0.3"/>
    <row r="52096" s="160" customFormat="1" x14ac:dyDescent="0.3"/>
    <row r="52097" s="160" customFormat="1" x14ac:dyDescent="0.3"/>
    <row r="52098" s="160" customFormat="1" x14ac:dyDescent="0.3"/>
    <row r="52099" s="160" customFormat="1" x14ac:dyDescent="0.3"/>
    <row r="52100" s="160" customFormat="1" x14ac:dyDescent="0.3"/>
    <row r="52101" s="160" customFormat="1" x14ac:dyDescent="0.3"/>
    <row r="52102" s="160" customFormat="1" x14ac:dyDescent="0.3"/>
    <row r="52103" s="160" customFormat="1" x14ac:dyDescent="0.3"/>
    <row r="52104" s="160" customFormat="1" x14ac:dyDescent="0.3"/>
    <row r="52105" s="160" customFormat="1" x14ac:dyDescent="0.3"/>
    <row r="52106" s="160" customFormat="1" x14ac:dyDescent="0.3"/>
    <row r="52107" s="160" customFormat="1" x14ac:dyDescent="0.3"/>
    <row r="52108" s="160" customFormat="1" x14ac:dyDescent="0.3"/>
    <row r="52109" s="160" customFormat="1" x14ac:dyDescent="0.3"/>
    <row r="52110" s="160" customFormat="1" x14ac:dyDescent="0.3"/>
    <row r="52111" s="160" customFormat="1" x14ac:dyDescent="0.3"/>
    <row r="52112" s="160" customFormat="1" x14ac:dyDescent="0.3"/>
    <row r="52113" s="160" customFormat="1" x14ac:dyDescent="0.3"/>
    <row r="52114" s="160" customFormat="1" x14ac:dyDescent="0.3"/>
    <row r="52115" s="160" customFormat="1" x14ac:dyDescent="0.3"/>
    <row r="52116" s="160" customFormat="1" x14ac:dyDescent="0.3"/>
    <row r="52117" s="160" customFormat="1" x14ac:dyDescent="0.3"/>
    <row r="52118" s="160" customFormat="1" x14ac:dyDescent="0.3"/>
    <row r="52119" s="160" customFormat="1" x14ac:dyDescent="0.3"/>
    <row r="52120" s="160" customFormat="1" x14ac:dyDescent="0.3"/>
    <row r="52121" s="160" customFormat="1" x14ac:dyDescent="0.3"/>
    <row r="52122" s="160" customFormat="1" x14ac:dyDescent="0.3"/>
    <row r="52123" s="160" customFormat="1" x14ac:dyDescent="0.3"/>
    <row r="52124" s="160" customFormat="1" x14ac:dyDescent="0.3"/>
    <row r="52125" s="160" customFormat="1" x14ac:dyDescent="0.3"/>
    <row r="52126" s="160" customFormat="1" x14ac:dyDescent="0.3"/>
    <row r="52127" s="160" customFormat="1" x14ac:dyDescent="0.3"/>
    <row r="52128" s="160" customFormat="1" x14ac:dyDescent="0.3"/>
    <row r="52129" s="160" customFormat="1" x14ac:dyDescent="0.3"/>
    <row r="52130" s="160" customFormat="1" x14ac:dyDescent="0.3"/>
    <row r="52131" s="160" customFormat="1" x14ac:dyDescent="0.3"/>
    <row r="52132" s="160" customFormat="1" x14ac:dyDescent="0.3"/>
    <row r="52133" s="160" customFormat="1" x14ac:dyDescent="0.3"/>
    <row r="52134" s="160" customFormat="1" x14ac:dyDescent="0.3"/>
    <row r="52135" s="160" customFormat="1" x14ac:dyDescent="0.3"/>
    <row r="52136" s="160" customFormat="1" x14ac:dyDescent="0.3"/>
    <row r="52137" s="160" customFormat="1" x14ac:dyDescent="0.3"/>
    <row r="52138" s="160" customFormat="1" x14ac:dyDescent="0.3"/>
    <row r="52139" s="160" customFormat="1" x14ac:dyDescent="0.3"/>
    <row r="52140" s="160" customFormat="1" x14ac:dyDescent="0.3"/>
    <row r="52141" s="160" customFormat="1" x14ac:dyDescent="0.3"/>
    <row r="52142" s="160" customFormat="1" x14ac:dyDescent="0.3"/>
    <row r="52143" s="160" customFormat="1" x14ac:dyDescent="0.3"/>
    <row r="52144" s="160" customFormat="1" x14ac:dyDescent="0.3"/>
    <row r="52145" s="160" customFormat="1" x14ac:dyDescent="0.3"/>
    <row r="52146" s="160" customFormat="1" x14ac:dyDescent="0.3"/>
    <row r="52147" s="160" customFormat="1" x14ac:dyDescent="0.3"/>
    <row r="52148" s="160" customFormat="1" x14ac:dyDescent="0.3"/>
    <row r="52149" s="160" customFormat="1" x14ac:dyDescent="0.3"/>
    <row r="52150" s="160" customFormat="1" x14ac:dyDescent="0.3"/>
    <row r="52151" s="160" customFormat="1" x14ac:dyDescent="0.3"/>
    <row r="52152" s="160" customFormat="1" x14ac:dyDescent="0.3"/>
    <row r="52153" s="160" customFormat="1" x14ac:dyDescent="0.3"/>
    <row r="52154" s="160" customFormat="1" x14ac:dyDescent="0.3"/>
    <row r="52155" s="160" customFormat="1" x14ac:dyDescent="0.3"/>
    <row r="52156" s="160" customFormat="1" x14ac:dyDescent="0.3"/>
    <row r="52157" s="160" customFormat="1" x14ac:dyDescent="0.3"/>
    <row r="52158" s="160" customFormat="1" x14ac:dyDescent="0.3"/>
    <row r="52159" s="160" customFormat="1" x14ac:dyDescent="0.3"/>
    <row r="52160" s="160" customFormat="1" x14ac:dyDescent="0.3"/>
    <row r="52161" s="160" customFormat="1" x14ac:dyDescent="0.3"/>
    <row r="52162" s="160" customFormat="1" x14ac:dyDescent="0.3"/>
    <row r="52163" s="160" customFormat="1" x14ac:dyDescent="0.3"/>
    <row r="52164" s="160" customFormat="1" x14ac:dyDescent="0.3"/>
    <row r="52165" s="160" customFormat="1" x14ac:dyDescent="0.3"/>
    <row r="52166" s="160" customFormat="1" x14ac:dyDescent="0.3"/>
    <row r="52167" s="160" customFormat="1" x14ac:dyDescent="0.3"/>
    <row r="52168" s="160" customFormat="1" x14ac:dyDescent="0.3"/>
    <row r="52169" s="160" customFormat="1" x14ac:dyDescent="0.3"/>
    <row r="52170" s="160" customFormat="1" x14ac:dyDescent="0.3"/>
    <row r="52171" s="160" customFormat="1" x14ac:dyDescent="0.3"/>
    <row r="52172" s="160" customFormat="1" x14ac:dyDescent="0.3"/>
    <row r="52173" s="160" customFormat="1" x14ac:dyDescent="0.3"/>
    <row r="52174" s="160" customFormat="1" x14ac:dyDescent="0.3"/>
    <row r="52175" s="160" customFormat="1" x14ac:dyDescent="0.3"/>
    <row r="52176" s="160" customFormat="1" x14ac:dyDescent="0.3"/>
    <row r="52177" s="160" customFormat="1" x14ac:dyDescent="0.3"/>
    <row r="52178" s="160" customFormat="1" x14ac:dyDescent="0.3"/>
    <row r="52179" s="160" customFormat="1" x14ac:dyDescent="0.3"/>
    <row r="52180" s="160" customFormat="1" x14ac:dyDescent="0.3"/>
    <row r="52181" s="160" customFormat="1" x14ac:dyDescent="0.3"/>
    <row r="52182" s="160" customFormat="1" x14ac:dyDescent="0.3"/>
    <row r="52183" s="160" customFormat="1" x14ac:dyDescent="0.3"/>
    <row r="52184" s="160" customFormat="1" x14ac:dyDescent="0.3"/>
    <row r="52185" s="160" customFormat="1" x14ac:dyDescent="0.3"/>
    <row r="52186" s="160" customFormat="1" x14ac:dyDescent="0.3"/>
    <row r="52187" s="160" customFormat="1" x14ac:dyDescent="0.3"/>
    <row r="52188" s="160" customFormat="1" x14ac:dyDescent="0.3"/>
    <row r="52189" s="160" customFormat="1" x14ac:dyDescent="0.3"/>
    <row r="52190" s="160" customFormat="1" x14ac:dyDescent="0.3"/>
    <row r="52191" s="160" customFormat="1" x14ac:dyDescent="0.3"/>
    <row r="52192" s="160" customFormat="1" x14ac:dyDescent="0.3"/>
    <row r="52193" s="160" customFormat="1" x14ac:dyDescent="0.3"/>
    <row r="52194" s="160" customFormat="1" x14ac:dyDescent="0.3"/>
    <row r="52195" s="160" customFormat="1" x14ac:dyDescent="0.3"/>
    <row r="52196" s="160" customFormat="1" x14ac:dyDescent="0.3"/>
    <row r="52197" s="160" customFormat="1" x14ac:dyDescent="0.3"/>
    <row r="52198" s="160" customFormat="1" x14ac:dyDescent="0.3"/>
    <row r="52199" s="160" customFormat="1" x14ac:dyDescent="0.3"/>
    <row r="52200" s="160" customFormat="1" x14ac:dyDescent="0.3"/>
    <row r="52201" s="160" customFormat="1" x14ac:dyDescent="0.3"/>
    <row r="52202" s="160" customFormat="1" x14ac:dyDescent="0.3"/>
    <row r="52203" s="160" customFormat="1" x14ac:dyDescent="0.3"/>
    <row r="52204" s="160" customFormat="1" x14ac:dyDescent="0.3"/>
    <row r="52205" s="160" customFormat="1" x14ac:dyDescent="0.3"/>
    <row r="52206" s="160" customFormat="1" x14ac:dyDescent="0.3"/>
    <row r="52207" s="160" customFormat="1" x14ac:dyDescent="0.3"/>
    <row r="52208" s="160" customFormat="1" x14ac:dyDescent="0.3"/>
    <row r="52209" s="160" customFormat="1" x14ac:dyDescent="0.3"/>
    <row r="52210" s="160" customFormat="1" x14ac:dyDescent="0.3"/>
    <row r="52211" s="160" customFormat="1" x14ac:dyDescent="0.3"/>
    <row r="52212" s="160" customFormat="1" x14ac:dyDescent="0.3"/>
    <row r="52213" s="160" customFormat="1" x14ac:dyDescent="0.3"/>
    <row r="52214" s="160" customFormat="1" x14ac:dyDescent="0.3"/>
    <row r="52215" s="160" customFormat="1" x14ac:dyDescent="0.3"/>
    <row r="52216" s="160" customFormat="1" x14ac:dyDescent="0.3"/>
    <row r="52217" s="160" customFormat="1" x14ac:dyDescent="0.3"/>
    <row r="52218" s="160" customFormat="1" x14ac:dyDescent="0.3"/>
    <row r="52219" s="160" customFormat="1" x14ac:dyDescent="0.3"/>
    <row r="52220" s="160" customFormat="1" x14ac:dyDescent="0.3"/>
    <row r="52221" s="160" customFormat="1" x14ac:dyDescent="0.3"/>
    <row r="52222" s="160" customFormat="1" x14ac:dyDescent="0.3"/>
    <row r="52223" s="160" customFormat="1" x14ac:dyDescent="0.3"/>
    <row r="52224" s="160" customFormat="1" x14ac:dyDescent="0.3"/>
    <row r="52225" s="160" customFormat="1" x14ac:dyDescent="0.3"/>
    <row r="52226" s="160" customFormat="1" x14ac:dyDescent="0.3"/>
    <row r="52227" s="160" customFormat="1" x14ac:dyDescent="0.3"/>
    <row r="52228" s="160" customFormat="1" x14ac:dyDescent="0.3"/>
    <row r="52229" s="160" customFormat="1" x14ac:dyDescent="0.3"/>
    <row r="52230" s="160" customFormat="1" x14ac:dyDescent="0.3"/>
    <row r="52231" s="160" customFormat="1" x14ac:dyDescent="0.3"/>
    <row r="52232" s="160" customFormat="1" x14ac:dyDescent="0.3"/>
    <row r="52233" s="160" customFormat="1" x14ac:dyDescent="0.3"/>
    <row r="52234" s="160" customFormat="1" x14ac:dyDescent="0.3"/>
    <row r="52235" s="160" customFormat="1" x14ac:dyDescent="0.3"/>
    <row r="52236" s="160" customFormat="1" x14ac:dyDescent="0.3"/>
    <row r="52237" s="160" customFormat="1" x14ac:dyDescent="0.3"/>
    <row r="52238" s="160" customFormat="1" x14ac:dyDescent="0.3"/>
    <row r="52239" s="160" customFormat="1" x14ac:dyDescent="0.3"/>
    <row r="52240" s="160" customFormat="1" x14ac:dyDescent="0.3"/>
    <row r="52241" s="160" customFormat="1" x14ac:dyDescent="0.3"/>
    <row r="52242" s="160" customFormat="1" x14ac:dyDescent="0.3"/>
    <row r="52243" s="160" customFormat="1" x14ac:dyDescent="0.3"/>
    <row r="52244" s="160" customFormat="1" x14ac:dyDescent="0.3"/>
    <row r="52245" s="160" customFormat="1" x14ac:dyDescent="0.3"/>
    <row r="52246" s="160" customFormat="1" x14ac:dyDescent="0.3"/>
    <row r="52247" s="160" customFormat="1" x14ac:dyDescent="0.3"/>
    <row r="52248" s="160" customFormat="1" x14ac:dyDescent="0.3"/>
    <row r="52249" s="160" customFormat="1" x14ac:dyDescent="0.3"/>
    <row r="52250" s="160" customFormat="1" x14ac:dyDescent="0.3"/>
    <row r="52251" s="160" customFormat="1" x14ac:dyDescent="0.3"/>
    <row r="52252" s="160" customFormat="1" x14ac:dyDescent="0.3"/>
    <row r="52253" s="160" customFormat="1" x14ac:dyDescent="0.3"/>
    <row r="52254" s="160" customFormat="1" x14ac:dyDescent="0.3"/>
    <row r="52255" s="160" customFormat="1" x14ac:dyDescent="0.3"/>
    <row r="52256" s="160" customFormat="1" x14ac:dyDescent="0.3"/>
    <row r="52257" s="160" customFormat="1" x14ac:dyDescent="0.3"/>
    <row r="52258" s="160" customFormat="1" x14ac:dyDescent="0.3"/>
    <row r="52259" s="160" customFormat="1" x14ac:dyDescent="0.3"/>
    <row r="52260" s="160" customFormat="1" x14ac:dyDescent="0.3"/>
    <row r="52261" s="160" customFormat="1" x14ac:dyDescent="0.3"/>
    <row r="52262" s="160" customFormat="1" x14ac:dyDescent="0.3"/>
    <row r="52263" s="160" customFormat="1" x14ac:dyDescent="0.3"/>
    <row r="52264" s="160" customFormat="1" x14ac:dyDescent="0.3"/>
    <row r="52265" s="160" customFormat="1" x14ac:dyDescent="0.3"/>
    <row r="52266" s="160" customFormat="1" x14ac:dyDescent="0.3"/>
    <row r="52267" s="160" customFormat="1" x14ac:dyDescent="0.3"/>
    <row r="52268" s="160" customFormat="1" x14ac:dyDescent="0.3"/>
    <row r="52269" s="160" customFormat="1" x14ac:dyDescent="0.3"/>
    <row r="52270" s="160" customFormat="1" x14ac:dyDescent="0.3"/>
    <row r="52271" s="160" customFormat="1" x14ac:dyDescent="0.3"/>
    <row r="52272" s="160" customFormat="1" x14ac:dyDescent="0.3"/>
    <row r="52273" s="160" customFormat="1" x14ac:dyDescent="0.3"/>
    <row r="52274" s="160" customFormat="1" x14ac:dyDescent="0.3"/>
    <row r="52275" s="160" customFormat="1" x14ac:dyDescent="0.3"/>
    <row r="52276" s="160" customFormat="1" x14ac:dyDescent="0.3"/>
    <row r="52277" s="160" customFormat="1" x14ac:dyDescent="0.3"/>
    <row r="52278" s="160" customFormat="1" x14ac:dyDescent="0.3"/>
    <row r="52279" s="160" customFormat="1" x14ac:dyDescent="0.3"/>
    <row r="52280" s="160" customFormat="1" x14ac:dyDescent="0.3"/>
    <row r="52281" s="160" customFormat="1" x14ac:dyDescent="0.3"/>
    <row r="52282" s="160" customFormat="1" x14ac:dyDescent="0.3"/>
    <row r="52283" s="160" customFormat="1" x14ac:dyDescent="0.3"/>
    <row r="52284" s="160" customFormat="1" x14ac:dyDescent="0.3"/>
    <row r="52285" s="160" customFormat="1" x14ac:dyDescent="0.3"/>
    <row r="52286" s="160" customFormat="1" x14ac:dyDescent="0.3"/>
    <row r="52287" s="160" customFormat="1" x14ac:dyDescent="0.3"/>
    <row r="52288" s="160" customFormat="1" x14ac:dyDescent="0.3"/>
    <row r="52289" s="160" customFormat="1" x14ac:dyDescent="0.3"/>
    <row r="52290" s="160" customFormat="1" x14ac:dyDescent="0.3"/>
    <row r="52291" s="160" customFormat="1" x14ac:dyDescent="0.3"/>
    <row r="52292" s="160" customFormat="1" x14ac:dyDescent="0.3"/>
    <row r="52293" s="160" customFormat="1" x14ac:dyDescent="0.3"/>
    <row r="52294" s="160" customFormat="1" x14ac:dyDescent="0.3"/>
    <row r="52295" s="160" customFormat="1" x14ac:dyDescent="0.3"/>
    <row r="52296" s="160" customFormat="1" x14ac:dyDescent="0.3"/>
    <row r="52297" s="160" customFormat="1" x14ac:dyDescent="0.3"/>
    <row r="52298" s="160" customFormat="1" x14ac:dyDescent="0.3"/>
    <row r="52299" s="160" customFormat="1" x14ac:dyDescent="0.3"/>
    <row r="52300" s="160" customFormat="1" x14ac:dyDescent="0.3"/>
    <row r="52301" s="160" customFormat="1" x14ac:dyDescent="0.3"/>
    <row r="52302" s="160" customFormat="1" x14ac:dyDescent="0.3"/>
    <row r="52303" s="160" customFormat="1" x14ac:dyDescent="0.3"/>
    <row r="52304" s="160" customFormat="1" x14ac:dyDescent="0.3"/>
    <row r="52305" s="160" customFormat="1" x14ac:dyDescent="0.3"/>
    <row r="52306" s="160" customFormat="1" x14ac:dyDescent="0.3"/>
    <row r="52307" s="160" customFormat="1" x14ac:dyDescent="0.3"/>
    <row r="52308" s="160" customFormat="1" x14ac:dyDescent="0.3"/>
    <row r="52309" s="160" customFormat="1" x14ac:dyDescent="0.3"/>
    <row r="52310" s="160" customFormat="1" x14ac:dyDescent="0.3"/>
    <row r="52311" s="160" customFormat="1" x14ac:dyDescent="0.3"/>
    <row r="52312" s="160" customFormat="1" x14ac:dyDescent="0.3"/>
    <row r="52313" s="160" customFormat="1" x14ac:dyDescent="0.3"/>
    <row r="52314" s="160" customFormat="1" x14ac:dyDescent="0.3"/>
    <row r="52315" s="160" customFormat="1" x14ac:dyDescent="0.3"/>
    <row r="52316" s="160" customFormat="1" x14ac:dyDescent="0.3"/>
    <row r="52317" s="160" customFormat="1" x14ac:dyDescent="0.3"/>
    <row r="52318" s="160" customFormat="1" x14ac:dyDescent="0.3"/>
    <row r="52319" s="160" customFormat="1" x14ac:dyDescent="0.3"/>
    <row r="52320" s="160" customFormat="1" x14ac:dyDescent="0.3"/>
    <row r="52321" s="160" customFormat="1" x14ac:dyDescent="0.3"/>
    <row r="52322" s="160" customFormat="1" x14ac:dyDescent="0.3"/>
    <row r="52323" s="160" customFormat="1" x14ac:dyDescent="0.3"/>
    <row r="52324" s="160" customFormat="1" x14ac:dyDescent="0.3"/>
    <row r="52325" s="160" customFormat="1" x14ac:dyDescent="0.3"/>
    <row r="52326" s="160" customFormat="1" x14ac:dyDescent="0.3"/>
    <row r="52327" s="160" customFormat="1" x14ac:dyDescent="0.3"/>
    <row r="52328" s="160" customFormat="1" x14ac:dyDescent="0.3"/>
    <row r="52329" s="160" customFormat="1" x14ac:dyDescent="0.3"/>
    <row r="52330" s="160" customFormat="1" x14ac:dyDescent="0.3"/>
    <row r="52331" s="160" customFormat="1" x14ac:dyDescent="0.3"/>
    <row r="52332" s="160" customFormat="1" x14ac:dyDescent="0.3"/>
    <row r="52333" s="160" customFormat="1" x14ac:dyDescent="0.3"/>
    <row r="52334" s="160" customFormat="1" x14ac:dyDescent="0.3"/>
    <row r="52335" s="160" customFormat="1" x14ac:dyDescent="0.3"/>
    <row r="52336" s="160" customFormat="1" x14ac:dyDescent="0.3"/>
    <row r="52337" s="160" customFormat="1" x14ac:dyDescent="0.3"/>
    <row r="52338" s="160" customFormat="1" x14ac:dyDescent="0.3"/>
    <row r="52339" s="160" customFormat="1" x14ac:dyDescent="0.3"/>
    <row r="52340" s="160" customFormat="1" x14ac:dyDescent="0.3"/>
    <row r="52341" s="160" customFormat="1" x14ac:dyDescent="0.3"/>
    <row r="52342" s="160" customFormat="1" x14ac:dyDescent="0.3"/>
    <row r="52343" s="160" customFormat="1" x14ac:dyDescent="0.3"/>
    <row r="52344" s="160" customFormat="1" x14ac:dyDescent="0.3"/>
    <row r="52345" s="160" customFormat="1" x14ac:dyDescent="0.3"/>
    <row r="52346" s="160" customFormat="1" x14ac:dyDescent="0.3"/>
    <row r="52347" s="160" customFormat="1" x14ac:dyDescent="0.3"/>
    <row r="52348" s="160" customFormat="1" x14ac:dyDescent="0.3"/>
    <row r="52349" s="160" customFormat="1" x14ac:dyDescent="0.3"/>
    <row r="52350" s="160" customFormat="1" x14ac:dyDescent="0.3"/>
    <row r="52351" s="160" customFormat="1" x14ac:dyDescent="0.3"/>
    <row r="52352" s="160" customFormat="1" x14ac:dyDescent="0.3"/>
    <row r="52353" s="160" customFormat="1" x14ac:dyDescent="0.3"/>
    <row r="52354" s="160" customFormat="1" x14ac:dyDescent="0.3"/>
    <row r="52355" s="160" customFormat="1" x14ac:dyDescent="0.3"/>
    <row r="52356" s="160" customFormat="1" x14ac:dyDescent="0.3"/>
    <row r="52357" s="160" customFormat="1" x14ac:dyDescent="0.3"/>
    <row r="52358" s="160" customFormat="1" x14ac:dyDescent="0.3"/>
    <row r="52359" s="160" customFormat="1" x14ac:dyDescent="0.3"/>
    <row r="52360" s="160" customFormat="1" x14ac:dyDescent="0.3"/>
    <row r="52361" s="160" customFormat="1" x14ac:dyDescent="0.3"/>
    <row r="52362" s="160" customFormat="1" x14ac:dyDescent="0.3"/>
    <row r="52363" s="160" customFormat="1" x14ac:dyDescent="0.3"/>
    <row r="52364" s="160" customFormat="1" x14ac:dyDescent="0.3"/>
    <row r="52365" s="160" customFormat="1" x14ac:dyDescent="0.3"/>
    <row r="52366" s="160" customFormat="1" x14ac:dyDescent="0.3"/>
    <row r="52367" s="160" customFormat="1" x14ac:dyDescent="0.3"/>
    <row r="52368" s="160" customFormat="1" x14ac:dyDescent="0.3"/>
    <row r="52369" s="160" customFormat="1" x14ac:dyDescent="0.3"/>
    <row r="52370" s="160" customFormat="1" x14ac:dyDescent="0.3"/>
    <row r="52371" s="160" customFormat="1" x14ac:dyDescent="0.3"/>
    <row r="52372" s="160" customFormat="1" x14ac:dyDescent="0.3"/>
    <row r="52373" s="160" customFormat="1" x14ac:dyDescent="0.3"/>
    <row r="52374" s="160" customFormat="1" x14ac:dyDescent="0.3"/>
    <row r="52375" s="160" customFormat="1" x14ac:dyDescent="0.3"/>
    <row r="52376" s="160" customFormat="1" x14ac:dyDescent="0.3"/>
    <row r="52377" s="160" customFormat="1" x14ac:dyDescent="0.3"/>
    <row r="52378" s="160" customFormat="1" x14ac:dyDescent="0.3"/>
    <row r="52379" s="160" customFormat="1" x14ac:dyDescent="0.3"/>
    <row r="52380" s="160" customFormat="1" x14ac:dyDescent="0.3"/>
    <row r="52381" s="160" customFormat="1" x14ac:dyDescent="0.3"/>
    <row r="52382" s="160" customFormat="1" x14ac:dyDescent="0.3"/>
    <row r="52383" s="160" customFormat="1" x14ac:dyDescent="0.3"/>
    <row r="52384" s="160" customFormat="1" x14ac:dyDescent="0.3"/>
    <row r="52385" s="160" customFormat="1" x14ac:dyDescent="0.3"/>
    <row r="52386" s="160" customFormat="1" x14ac:dyDescent="0.3"/>
    <row r="52387" s="160" customFormat="1" x14ac:dyDescent="0.3"/>
    <row r="52388" s="160" customFormat="1" x14ac:dyDescent="0.3"/>
    <row r="52389" s="160" customFormat="1" x14ac:dyDescent="0.3"/>
    <row r="52390" s="160" customFormat="1" x14ac:dyDescent="0.3"/>
    <row r="52391" s="160" customFormat="1" x14ac:dyDescent="0.3"/>
    <row r="52392" s="160" customFormat="1" x14ac:dyDescent="0.3"/>
    <row r="52393" s="160" customFormat="1" x14ac:dyDescent="0.3"/>
    <row r="52394" s="160" customFormat="1" x14ac:dyDescent="0.3"/>
    <row r="52395" s="160" customFormat="1" x14ac:dyDescent="0.3"/>
    <row r="52396" s="160" customFormat="1" x14ac:dyDescent="0.3"/>
    <row r="52397" s="160" customFormat="1" x14ac:dyDescent="0.3"/>
    <row r="52398" s="160" customFormat="1" x14ac:dyDescent="0.3"/>
    <row r="52399" s="160" customFormat="1" x14ac:dyDescent="0.3"/>
    <row r="52400" s="160" customFormat="1" x14ac:dyDescent="0.3"/>
    <row r="52401" s="160" customFormat="1" x14ac:dyDescent="0.3"/>
    <row r="52402" s="160" customFormat="1" x14ac:dyDescent="0.3"/>
    <row r="52403" s="160" customFormat="1" x14ac:dyDescent="0.3"/>
    <row r="52404" s="160" customFormat="1" x14ac:dyDescent="0.3"/>
    <row r="52405" s="160" customFormat="1" x14ac:dyDescent="0.3"/>
    <row r="52406" s="160" customFormat="1" x14ac:dyDescent="0.3"/>
    <row r="52407" s="160" customFormat="1" x14ac:dyDescent="0.3"/>
    <row r="52408" s="160" customFormat="1" x14ac:dyDescent="0.3"/>
    <row r="52409" s="160" customFormat="1" x14ac:dyDescent="0.3"/>
    <row r="52410" s="160" customFormat="1" x14ac:dyDescent="0.3"/>
    <row r="52411" s="160" customFormat="1" x14ac:dyDescent="0.3"/>
    <row r="52412" s="160" customFormat="1" x14ac:dyDescent="0.3"/>
    <row r="52413" s="160" customFormat="1" x14ac:dyDescent="0.3"/>
    <row r="52414" s="160" customFormat="1" x14ac:dyDescent="0.3"/>
    <row r="52415" s="160" customFormat="1" x14ac:dyDescent="0.3"/>
    <row r="52416" s="160" customFormat="1" x14ac:dyDescent="0.3"/>
    <row r="52417" s="160" customFormat="1" x14ac:dyDescent="0.3"/>
    <row r="52418" s="160" customFormat="1" x14ac:dyDescent="0.3"/>
    <row r="52419" s="160" customFormat="1" x14ac:dyDescent="0.3"/>
    <row r="52420" s="160" customFormat="1" x14ac:dyDescent="0.3"/>
    <row r="52421" s="160" customFormat="1" x14ac:dyDescent="0.3"/>
    <row r="52422" s="160" customFormat="1" x14ac:dyDescent="0.3"/>
    <row r="52423" s="160" customFormat="1" x14ac:dyDescent="0.3"/>
    <row r="52424" s="160" customFormat="1" x14ac:dyDescent="0.3"/>
    <row r="52425" s="160" customFormat="1" x14ac:dyDescent="0.3"/>
    <row r="52426" s="160" customFormat="1" x14ac:dyDescent="0.3"/>
    <row r="52427" s="160" customFormat="1" x14ac:dyDescent="0.3"/>
    <row r="52428" s="160" customFormat="1" x14ac:dyDescent="0.3"/>
    <row r="52429" s="160" customFormat="1" x14ac:dyDescent="0.3"/>
    <row r="52430" s="160" customFormat="1" x14ac:dyDescent="0.3"/>
    <row r="52431" s="160" customFormat="1" x14ac:dyDescent="0.3"/>
    <row r="52432" s="160" customFormat="1" x14ac:dyDescent="0.3"/>
    <row r="52433" s="160" customFormat="1" x14ac:dyDescent="0.3"/>
    <row r="52434" s="160" customFormat="1" x14ac:dyDescent="0.3"/>
    <row r="52435" s="160" customFormat="1" x14ac:dyDescent="0.3"/>
    <row r="52436" s="160" customFormat="1" x14ac:dyDescent="0.3"/>
    <row r="52437" s="160" customFormat="1" x14ac:dyDescent="0.3"/>
    <row r="52438" s="160" customFormat="1" x14ac:dyDescent="0.3"/>
    <row r="52439" s="160" customFormat="1" x14ac:dyDescent="0.3"/>
    <row r="52440" s="160" customFormat="1" x14ac:dyDescent="0.3"/>
    <row r="52441" s="160" customFormat="1" x14ac:dyDescent="0.3"/>
    <row r="52442" s="160" customFormat="1" x14ac:dyDescent="0.3"/>
    <row r="52443" s="160" customFormat="1" x14ac:dyDescent="0.3"/>
    <row r="52444" s="160" customFormat="1" x14ac:dyDescent="0.3"/>
    <row r="52445" s="160" customFormat="1" x14ac:dyDescent="0.3"/>
    <row r="52446" s="160" customFormat="1" x14ac:dyDescent="0.3"/>
    <row r="52447" s="160" customFormat="1" x14ac:dyDescent="0.3"/>
    <row r="52448" s="160" customFormat="1" x14ac:dyDescent="0.3"/>
    <row r="52449" s="160" customFormat="1" x14ac:dyDescent="0.3"/>
    <row r="52450" s="160" customFormat="1" x14ac:dyDescent="0.3"/>
    <row r="52451" s="160" customFormat="1" x14ac:dyDescent="0.3"/>
    <row r="52452" s="160" customFormat="1" x14ac:dyDescent="0.3"/>
    <row r="52453" s="160" customFormat="1" x14ac:dyDescent="0.3"/>
    <row r="52454" s="160" customFormat="1" x14ac:dyDescent="0.3"/>
    <row r="52455" s="160" customFormat="1" x14ac:dyDescent="0.3"/>
    <row r="52456" s="160" customFormat="1" x14ac:dyDescent="0.3"/>
    <row r="52457" s="160" customFormat="1" x14ac:dyDescent="0.3"/>
    <row r="52458" s="160" customFormat="1" x14ac:dyDescent="0.3"/>
    <row r="52459" s="160" customFormat="1" x14ac:dyDescent="0.3"/>
    <row r="52460" s="160" customFormat="1" x14ac:dyDescent="0.3"/>
    <row r="52461" s="160" customFormat="1" x14ac:dyDescent="0.3"/>
    <row r="52462" s="160" customFormat="1" x14ac:dyDescent="0.3"/>
    <row r="52463" s="160" customFormat="1" x14ac:dyDescent="0.3"/>
    <row r="52464" s="160" customFormat="1" x14ac:dyDescent="0.3"/>
    <row r="52465" s="160" customFormat="1" x14ac:dyDescent="0.3"/>
    <row r="52466" s="160" customFormat="1" x14ac:dyDescent="0.3"/>
    <row r="52467" s="160" customFormat="1" x14ac:dyDescent="0.3"/>
    <row r="52468" s="160" customFormat="1" x14ac:dyDescent="0.3"/>
    <row r="52469" s="160" customFormat="1" x14ac:dyDescent="0.3"/>
    <row r="52470" s="160" customFormat="1" x14ac:dyDescent="0.3"/>
    <row r="52471" s="160" customFormat="1" x14ac:dyDescent="0.3"/>
    <row r="52472" s="160" customFormat="1" x14ac:dyDescent="0.3"/>
    <row r="52473" s="160" customFormat="1" x14ac:dyDescent="0.3"/>
    <row r="52474" s="160" customFormat="1" x14ac:dyDescent="0.3"/>
    <row r="52475" s="160" customFormat="1" x14ac:dyDescent="0.3"/>
    <row r="52476" s="160" customFormat="1" x14ac:dyDescent="0.3"/>
    <row r="52477" s="160" customFormat="1" x14ac:dyDescent="0.3"/>
    <row r="52478" s="160" customFormat="1" x14ac:dyDescent="0.3"/>
    <row r="52479" s="160" customFormat="1" x14ac:dyDescent="0.3"/>
    <row r="52480" s="160" customFormat="1" x14ac:dyDescent="0.3"/>
    <row r="52481" s="160" customFormat="1" x14ac:dyDescent="0.3"/>
    <row r="52482" s="160" customFormat="1" x14ac:dyDescent="0.3"/>
    <row r="52483" s="160" customFormat="1" x14ac:dyDescent="0.3"/>
    <row r="52484" s="160" customFormat="1" x14ac:dyDescent="0.3"/>
    <row r="52485" s="160" customFormat="1" x14ac:dyDescent="0.3"/>
    <row r="52486" s="160" customFormat="1" x14ac:dyDescent="0.3"/>
    <row r="52487" s="160" customFormat="1" x14ac:dyDescent="0.3"/>
    <row r="52488" s="160" customFormat="1" x14ac:dyDescent="0.3"/>
    <row r="52489" s="160" customFormat="1" x14ac:dyDescent="0.3"/>
    <row r="52490" s="160" customFormat="1" x14ac:dyDescent="0.3"/>
    <row r="52491" s="160" customFormat="1" x14ac:dyDescent="0.3"/>
    <row r="52492" s="160" customFormat="1" x14ac:dyDescent="0.3"/>
    <row r="52493" s="160" customFormat="1" x14ac:dyDescent="0.3"/>
    <row r="52494" s="160" customFormat="1" x14ac:dyDescent="0.3"/>
    <row r="52495" s="160" customFormat="1" x14ac:dyDescent="0.3"/>
    <row r="52496" s="160" customFormat="1" x14ac:dyDescent="0.3"/>
    <row r="52497" s="160" customFormat="1" x14ac:dyDescent="0.3"/>
    <row r="52498" s="160" customFormat="1" x14ac:dyDescent="0.3"/>
    <row r="52499" s="160" customFormat="1" x14ac:dyDescent="0.3"/>
    <row r="52500" s="160" customFormat="1" x14ac:dyDescent="0.3"/>
    <row r="52501" s="160" customFormat="1" x14ac:dyDescent="0.3"/>
    <row r="52502" s="160" customFormat="1" x14ac:dyDescent="0.3"/>
    <row r="52503" s="160" customFormat="1" x14ac:dyDescent="0.3"/>
    <row r="52504" s="160" customFormat="1" x14ac:dyDescent="0.3"/>
    <row r="52505" s="160" customFormat="1" x14ac:dyDescent="0.3"/>
    <row r="52506" s="160" customFormat="1" x14ac:dyDescent="0.3"/>
    <row r="52507" s="160" customFormat="1" x14ac:dyDescent="0.3"/>
    <row r="52508" s="160" customFormat="1" x14ac:dyDescent="0.3"/>
    <row r="52509" s="160" customFormat="1" x14ac:dyDescent="0.3"/>
    <row r="52510" s="160" customFormat="1" x14ac:dyDescent="0.3"/>
    <row r="52511" s="160" customFormat="1" x14ac:dyDescent="0.3"/>
    <row r="52512" s="160" customFormat="1" x14ac:dyDescent="0.3"/>
    <row r="52513" s="160" customFormat="1" x14ac:dyDescent="0.3"/>
    <row r="52514" s="160" customFormat="1" x14ac:dyDescent="0.3"/>
    <row r="52515" s="160" customFormat="1" x14ac:dyDescent="0.3"/>
    <row r="52516" s="160" customFormat="1" x14ac:dyDescent="0.3"/>
    <row r="52517" s="160" customFormat="1" x14ac:dyDescent="0.3"/>
    <row r="52518" s="160" customFormat="1" x14ac:dyDescent="0.3"/>
    <row r="52519" s="160" customFormat="1" x14ac:dyDescent="0.3"/>
    <row r="52520" s="160" customFormat="1" x14ac:dyDescent="0.3"/>
    <row r="52521" s="160" customFormat="1" x14ac:dyDescent="0.3"/>
    <row r="52522" s="160" customFormat="1" x14ac:dyDescent="0.3"/>
    <row r="52523" s="160" customFormat="1" x14ac:dyDescent="0.3"/>
    <row r="52524" s="160" customFormat="1" x14ac:dyDescent="0.3"/>
    <row r="52525" s="160" customFormat="1" x14ac:dyDescent="0.3"/>
    <row r="52526" s="160" customFormat="1" x14ac:dyDescent="0.3"/>
    <row r="52527" s="160" customFormat="1" x14ac:dyDescent="0.3"/>
    <row r="52528" s="160" customFormat="1" x14ac:dyDescent="0.3"/>
    <row r="52529" s="160" customFormat="1" x14ac:dyDescent="0.3"/>
    <row r="52530" s="160" customFormat="1" x14ac:dyDescent="0.3"/>
    <row r="52531" s="160" customFormat="1" x14ac:dyDescent="0.3"/>
    <row r="52532" s="160" customFormat="1" x14ac:dyDescent="0.3"/>
    <row r="52533" s="160" customFormat="1" x14ac:dyDescent="0.3"/>
    <row r="52534" s="160" customFormat="1" x14ac:dyDescent="0.3"/>
    <row r="52535" s="160" customFormat="1" x14ac:dyDescent="0.3"/>
    <row r="52536" s="160" customFormat="1" x14ac:dyDescent="0.3"/>
    <row r="52537" s="160" customFormat="1" x14ac:dyDescent="0.3"/>
    <row r="52538" s="160" customFormat="1" x14ac:dyDescent="0.3"/>
    <row r="52539" s="160" customFormat="1" x14ac:dyDescent="0.3"/>
    <row r="52540" s="160" customFormat="1" x14ac:dyDescent="0.3"/>
    <row r="52541" s="160" customFormat="1" x14ac:dyDescent="0.3"/>
    <row r="52542" s="160" customFormat="1" x14ac:dyDescent="0.3"/>
    <row r="52543" s="160" customFormat="1" x14ac:dyDescent="0.3"/>
    <row r="52544" s="160" customFormat="1" x14ac:dyDescent="0.3"/>
    <row r="52545" s="160" customFormat="1" x14ac:dyDescent="0.3"/>
    <row r="52546" s="160" customFormat="1" x14ac:dyDescent="0.3"/>
    <row r="52547" s="160" customFormat="1" x14ac:dyDescent="0.3"/>
    <row r="52548" s="160" customFormat="1" x14ac:dyDescent="0.3"/>
    <row r="52549" s="160" customFormat="1" x14ac:dyDescent="0.3"/>
    <row r="52550" s="160" customFormat="1" x14ac:dyDescent="0.3"/>
    <row r="52551" s="160" customFormat="1" x14ac:dyDescent="0.3"/>
    <row r="52552" s="160" customFormat="1" x14ac:dyDescent="0.3"/>
    <row r="52553" s="160" customFormat="1" x14ac:dyDescent="0.3"/>
    <row r="52554" s="160" customFormat="1" x14ac:dyDescent="0.3"/>
    <row r="52555" s="160" customFormat="1" x14ac:dyDescent="0.3"/>
    <row r="52556" s="160" customFormat="1" x14ac:dyDescent="0.3"/>
    <row r="52557" s="160" customFormat="1" x14ac:dyDescent="0.3"/>
    <row r="52558" s="160" customFormat="1" x14ac:dyDescent="0.3"/>
    <row r="52559" s="160" customFormat="1" x14ac:dyDescent="0.3"/>
    <row r="52560" s="160" customFormat="1" x14ac:dyDescent="0.3"/>
    <row r="52561" s="160" customFormat="1" x14ac:dyDescent="0.3"/>
    <row r="52562" s="160" customFormat="1" x14ac:dyDescent="0.3"/>
    <row r="52563" s="160" customFormat="1" x14ac:dyDescent="0.3"/>
    <row r="52564" s="160" customFormat="1" x14ac:dyDescent="0.3"/>
    <row r="52565" s="160" customFormat="1" x14ac:dyDescent="0.3"/>
    <row r="52566" s="160" customFormat="1" x14ac:dyDescent="0.3"/>
    <row r="52567" s="160" customFormat="1" x14ac:dyDescent="0.3"/>
    <row r="52568" s="160" customFormat="1" x14ac:dyDescent="0.3"/>
    <row r="52569" s="160" customFormat="1" x14ac:dyDescent="0.3"/>
    <row r="52570" s="160" customFormat="1" x14ac:dyDescent="0.3"/>
    <row r="52571" s="160" customFormat="1" x14ac:dyDescent="0.3"/>
    <row r="52572" s="160" customFormat="1" x14ac:dyDescent="0.3"/>
    <row r="52573" s="160" customFormat="1" x14ac:dyDescent="0.3"/>
    <row r="52574" s="160" customFormat="1" x14ac:dyDescent="0.3"/>
    <row r="52575" s="160" customFormat="1" x14ac:dyDescent="0.3"/>
    <row r="52576" s="160" customFormat="1" x14ac:dyDescent="0.3"/>
    <row r="52577" s="160" customFormat="1" x14ac:dyDescent="0.3"/>
    <row r="52578" s="160" customFormat="1" x14ac:dyDescent="0.3"/>
    <row r="52579" s="160" customFormat="1" x14ac:dyDescent="0.3"/>
    <row r="52580" s="160" customFormat="1" x14ac:dyDescent="0.3"/>
    <row r="52581" s="160" customFormat="1" x14ac:dyDescent="0.3"/>
    <row r="52582" s="160" customFormat="1" x14ac:dyDescent="0.3"/>
    <row r="52583" s="160" customFormat="1" x14ac:dyDescent="0.3"/>
    <row r="52584" s="160" customFormat="1" x14ac:dyDescent="0.3"/>
    <row r="52585" s="160" customFormat="1" x14ac:dyDescent="0.3"/>
    <row r="52586" s="160" customFormat="1" x14ac:dyDescent="0.3"/>
    <row r="52587" s="160" customFormat="1" x14ac:dyDescent="0.3"/>
    <row r="52588" s="160" customFormat="1" x14ac:dyDescent="0.3"/>
    <row r="52589" s="160" customFormat="1" x14ac:dyDescent="0.3"/>
    <row r="52590" s="160" customFormat="1" x14ac:dyDescent="0.3"/>
    <row r="52591" s="160" customFormat="1" x14ac:dyDescent="0.3"/>
    <row r="52592" s="160" customFormat="1" x14ac:dyDescent="0.3"/>
    <row r="52593" s="160" customFormat="1" x14ac:dyDescent="0.3"/>
    <row r="52594" s="160" customFormat="1" x14ac:dyDescent="0.3"/>
    <row r="52595" s="160" customFormat="1" x14ac:dyDescent="0.3"/>
    <row r="52596" s="160" customFormat="1" x14ac:dyDescent="0.3"/>
    <row r="52597" s="160" customFormat="1" x14ac:dyDescent="0.3"/>
    <row r="52598" s="160" customFormat="1" x14ac:dyDescent="0.3"/>
    <row r="52599" s="160" customFormat="1" x14ac:dyDescent="0.3"/>
    <row r="52600" s="160" customFormat="1" x14ac:dyDescent="0.3"/>
    <row r="52601" s="160" customFormat="1" x14ac:dyDescent="0.3"/>
    <row r="52602" s="160" customFormat="1" x14ac:dyDescent="0.3"/>
    <row r="52603" s="160" customFormat="1" x14ac:dyDescent="0.3"/>
    <row r="52604" s="160" customFormat="1" x14ac:dyDescent="0.3"/>
    <row r="52605" s="160" customFormat="1" x14ac:dyDescent="0.3"/>
    <row r="52606" s="160" customFormat="1" x14ac:dyDescent="0.3"/>
    <row r="52607" s="160" customFormat="1" x14ac:dyDescent="0.3"/>
    <row r="52608" s="160" customFormat="1" x14ac:dyDescent="0.3"/>
    <row r="52609" s="160" customFormat="1" x14ac:dyDescent="0.3"/>
    <row r="52610" s="160" customFormat="1" x14ac:dyDescent="0.3"/>
    <row r="52611" s="160" customFormat="1" x14ac:dyDescent="0.3"/>
    <row r="52612" s="160" customFormat="1" x14ac:dyDescent="0.3"/>
    <row r="52613" s="160" customFormat="1" x14ac:dyDescent="0.3"/>
    <row r="52614" s="160" customFormat="1" x14ac:dyDescent="0.3"/>
    <row r="52615" s="160" customFormat="1" x14ac:dyDescent="0.3"/>
    <row r="52616" s="160" customFormat="1" x14ac:dyDescent="0.3"/>
    <row r="52617" s="160" customFormat="1" x14ac:dyDescent="0.3"/>
    <row r="52618" s="160" customFormat="1" x14ac:dyDescent="0.3"/>
    <row r="52619" s="160" customFormat="1" x14ac:dyDescent="0.3"/>
    <row r="52620" s="160" customFormat="1" x14ac:dyDescent="0.3"/>
    <row r="52621" s="160" customFormat="1" x14ac:dyDescent="0.3"/>
    <row r="52622" s="160" customFormat="1" x14ac:dyDescent="0.3"/>
    <row r="52623" s="160" customFormat="1" x14ac:dyDescent="0.3"/>
    <row r="52624" s="160" customFormat="1" x14ac:dyDescent="0.3"/>
    <row r="52625" s="160" customFormat="1" x14ac:dyDescent="0.3"/>
    <row r="52626" s="160" customFormat="1" x14ac:dyDescent="0.3"/>
    <row r="52627" s="160" customFormat="1" x14ac:dyDescent="0.3"/>
    <row r="52628" s="160" customFormat="1" x14ac:dyDescent="0.3"/>
    <row r="52629" s="160" customFormat="1" x14ac:dyDescent="0.3"/>
    <row r="52630" s="160" customFormat="1" x14ac:dyDescent="0.3"/>
    <row r="52631" s="160" customFormat="1" x14ac:dyDescent="0.3"/>
    <row r="52632" s="160" customFormat="1" x14ac:dyDescent="0.3"/>
    <row r="52633" s="160" customFormat="1" x14ac:dyDescent="0.3"/>
    <row r="52634" s="160" customFormat="1" x14ac:dyDescent="0.3"/>
    <row r="52635" s="160" customFormat="1" x14ac:dyDescent="0.3"/>
    <row r="52636" s="160" customFormat="1" x14ac:dyDescent="0.3"/>
    <row r="52637" s="160" customFormat="1" x14ac:dyDescent="0.3"/>
    <row r="52638" s="160" customFormat="1" x14ac:dyDescent="0.3"/>
    <row r="52639" s="160" customFormat="1" x14ac:dyDescent="0.3"/>
    <row r="52640" s="160" customFormat="1" x14ac:dyDescent="0.3"/>
    <row r="52641" s="160" customFormat="1" x14ac:dyDescent="0.3"/>
    <row r="52642" s="160" customFormat="1" x14ac:dyDescent="0.3"/>
    <row r="52643" s="160" customFormat="1" x14ac:dyDescent="0.3"/>
    <row r="52644" s="160" customFormat="1" x14ac:dyDescent="0.3"/>
    <row r="52645" s="160" customFormat="1" x14ac:dyDescent="0.3"/>
    <row r="52646" s="160" customFormat="1" x14ac:dyDescent="0.3"/>
    <row r="52647" s="160" customFormat="1" x14ac:dyDescent="0.3"/>
    <row r="52648" s="160" customFormat="1" x14ac:dyDescent="0.3"/>
    <row r="52649" s="160" customFormat="1" x14ac:dyDescent="0.3"/>
    <row r="52650" s="160" customFormat="1" x14ac:dyDescent="0.3"/>
    <row r="52651" s="160" customFormat="1" x14ac:dyDescent="0.3"/>
    <row r="52652" s="160" customFormat="1" x14ac:dyDescent="0.3"/>
    <row r="52653" s="160" customFormat="1" x14ac:dyDescent="0.3"/>
    <row r="52654" s="160" customFormat="1" x14ac:dyDescent="0.3"/>
    <row r="52655" s="160" customFormat="1" x14ac:dyDescent="0.3"/>
    <row r="52656" s="160" customFormat="1" x14ac:dyDescent="0.3"/>
    <row r="52657" s="160" customFormat="1" x14ac:dyDescent="0.3"/>
    <row r="52658" s="160" customFormat="1" x14ac:dyDescent="0.3"/>
    <row r="52659" s="160" customFormat="1" x14ac:dyDescent="0.3"/>
    <row r="52660" s="160" customFormat="1" x14ac:dyDescent="0.3"/>
    <row r="52661" s="160" customFormat="1" x14ac:dyDescent="0.3"/>
    <row r="52662" s="160" customFormat="1" x14ac:dyDescent="0.3"/>
    <row r="52663" s="160" customFormat="1" x14ac:dyDescent="0.3"/>
    <row r="52664" s="160" customFormat="1" x14ac:dyDescent="0.3"/>
    <row r="52665" s="160" customFormat="1" x14ac:dyDescent="0.3"/>
    <row r="52666" s="160" customFormat="1" x14ac:dyDescent="0.3"/>
    <row r="52667" s="160" customFormat="1" x14ac:dyDescent="0.3"/>
    <row r="52668" s="160" customFormat="1" x14ac:dyDescent="0.3"/>
    <row r="52669" s="160" customFormat="1" x14ac:dyDescent="0.3"/>
    <row r="52670" s="160" customFormat="1" x14ac:dyDescent="0.3"/>
    <row r="52671" s="160" customFormat="1" x14ac:dyDescent="0.3"/>
    <row r="52672" s="160" customFormat="1" x14ac:dyDescent="0.3"/>
    <row r="52673" s="160" customFormat="1" x14ac:dyDescent="0.3"/>
    <row r="52674" s="160" customFormat="1" x14ac:dyDescent="0.3"/>
    <row r="52675" s="160" customFormat="1" x14ac:dyDescent="0.3"/>
    <row r="52676" s="160" customFormat="1" x14ac:dyDescent="0.3"/>
    <row r="52677" s="160" customFormat="1" x14ac:dyDescent="0.3"/>
    <row r="52678" s="160" customFormat="1" x14ac:dyDescent="0.3"/>
    <row r="52679" s="160" customFormat="1" x14ac:dyDescent="0.3"/>
    <row r="52680" s="160" customFormat="1" x14ac:dyDescent="0.3"/>
    <row r="52681" s="160" customFormat="1" x14ac:dyDescent="0.3"/>
    <row r="52682" s="160" customFormat="1" x14ac:dyDescent="0.3"/>
    <row r="52683" s="160" customFormat="1" x14ac:dyDescent="0.3"/>
    <row r="52684" s="160" customFormat="1" x14ac:dyDescent="0.3"/>
    <row r="52685" s="160" customFormat="1" x14ac:dyDescent="0.3"/>
    <row r="52686" s="160" customFormat="1" x14ac:dyDescent="0.3"/>
    <row r="52687" s="160" customFormat="1" x14ac:dyDescent="0.3"/>
    <row r="52688" s="160" customFormat="1" x14ac:dyDescent="0.3"/>
    <row r="52689" s="160" customFormat="1" x14ac:dyDescent="0.3"/>
    <row r="52690" s="160" customFormat="1" x14ac:dyDescent="0.3"/>
    <row r="52691" s="160" customFormat="1" x14ac:dyDescent="0.3"/>
    <row r="52692" s="160" customFormat="1" x14ac:dyDescent="0.3"/>
    <row r="52693" s="160" customFormat="1" x14ac:dyDescent="0.3"/>
    <row r="52694" s="160" customFormat="1" x14ac:dyDescent="0.3"/>
    <row r="52695" s="160" customFormat="1" x14ac:dyDescent="0.3"/>
    <row r="52696" s="160" customFormat="1" x14ac:dyDescent="0.3"/>
    <row r="52697" s="160" customFormat="1" x14ac:dyDescent="0.3"/>
    <row r="52698" s="160" customFormat="1" x14ac:dyDescent="0.3"/>
    <row r="52699" s="160" customFormat="1" x14ac:dyDescent="0.3"/>
    <row r="52700" s="160" customFormat="1" x14ac:dyDescent="0.3"/>
    <row r="52701" s="160" customFormat="1" x14ac:dyDescent="0.3"/>
    <row r="52702" s="160" customFormat="1" x14ac:dyDescent="0.3"/>
    <row r="52703" s="160" customFormat="1" x14ac:dyDescent="0.3"/>
    <row r="52704" s="160" customFormat="1" x14ac:dyDescent="0.3"/>
    <row r="52705" s="160" customFormat="1" x14ac:dyDescent="0.3"/>
    <row r="52706" s="160" customFormat="1" x14ac:dyDescent="0.3"/>
    <row r="52707" s="160" customFormat="1" x14ac:dyDescent="0.3"/>
    <row r="52708" s="160" customFormat="1" x14ac:dyDescent="0.3"/>
    <row r="52709" s="160" customFormat="1" x14ac:dyDescent="0.3"/>
    <row r="52710" s="160" customFormat="1" x14ac:dyDescent="0.3"/>
    <row r="52711" s="160" customFormat="1" x14ac:dyDescent="0.3"/>
    <row r="52712" s="160" customFormat="1" x14ac:dyDescent="0.3"/>
    <row r="52713" s="160" customFormat="1" x14ac:dyDescent="0.3"/>
    <row r="52714" s="160" customFormat="1" x14ac:dyDescent="0.3"/>
    <row r="52715" s="160" customFormat="1" x14ac:dyDescent="0.3"/>
    <row r="52716" s="160" customFormat="1" x14ac:dyDescent="0.3"/>
    <row r="52717" s="160" customFormat="1" x14ac:dyDescent="0.3"/>
    <row r="52718" s="160" customFormat="1" x14ac:dyDescent="0.3"/>
    <row r="52719" s="160" customFormat="1" x14ac:dyDescent="0.3"/>
    <row r="52720" s="160" customFormat="1" x14ac:dyDescent="0.3"/>
    <row r="52721" s="160" customFormat="1" x14ac:dyDescent="0.3"/>
    <row r="52722" s="160" customFormat="1" x14ac:dyDescent="0.3"/>
    <row r="52723" s="160" customFormat="1" x14ac:dyDescent="0.3"/>
    <row r="52724" s="160" customFormat="1" x14ac:dyDescent="0.3"/>
    <row r="52725" s="160" customFormat="1" x14ac:dyDescent="0.3"/>
    <row r="52726" s="160" customFormat="1" x14ac:dyDescent="0.3"/>
    <row r="52727" s="160" customFormat="1" x14ac:dyDescent="0.3"/>
    <row r="52728" s="160" customFormat="1" x14ac:dyDescent="0.3"/>
    <row r="52729" s="160" customFormat="1" x14ac:dyDescent="0.3"/>
    <row r="52730" s="160" customFormat="1" x14ac:dyDescent="0.3"/>
    <row r="52731" s="160" customFormat="1" x14ac:dyDescent="0.3"/>
    <row r="52732" s="160" customFormat="1" x14ac:dyDescent="0.3"/>
    <row r="52733" s="160" customFormat="1" x14ac:dyDescent="0.3"/>
    <row r="52734" s="160" customFormat="1" x14ac:dyDescent="0.3"/>
    <row r="52735" s="160" customFormat="1" x14ac:dyDescent="0.3"/>
    <row r="52736" s="160" customFormat="1" x14ac:dyDescent="0.3"/>
    <row r="52737" s="160" customFormat="1" x14ac:dyDescent="0.3"/>
    <row r="52738" s="160" customFormat="1" x14ac:dyDescent="0.3"/>
    <row r="52739" s="160" customFormat="1" x14ac:dyDescent="0.3"/>
    <row r="52740" s="160" customFormat="1" x14ac:dyDescent="0.3"/>
    <row r="52741" s="160" customFormat="1" x14ac:dyDescent="0.3"/>
    <row r="52742" s="160" customFormat="1" x14ac:dyDescent="0.3"/>
    <row r="52743" s="160" customFormat="1" x14ac:dyDescent="0.3"/>
    <row r="52744" s="160" customFormat="1" x14ac:dyDescent="0.3"/>
    <row r="52745" s="160" customFormat="1" x14ac:dyDescent="0.3"/>
    <row r="52746" s="160" customFormat="1" x14ac:dyDescent="0.3"/>
    <row r="52747" s="160" customFormat="1" x14ac:dyDescent="0.3"/>
    <row r="52748" s="160" customFormat="1" x14ac:dyDescent="0.3"/>
    <row r="52749" s="160" customFormat="1" x14ac:dyDescent="0.3"/>
    <row r="52750" s="160" customFormat="1" x14ac:dyDescent="0.3"/>
    <row r="52751" s="160" customFormat="1" x14ac:dyDescent="0.3"/>
    <row r="52752" s="160" customFormat="1" x14ac:dyDescent="0.3"/>
    <row r="52753" s="160" customFormat="1" x14ac:dyDescent="0.3"/>
    <row r="52754" s="160" customFormat="1" x14ac:dyDescent="0.3"/>
    <row r="52755" s="160" customFormat="1" x14ac:dyDescent="0.3"/>
    <row r="52756" s="160" customFormat="1" x14ac:dyDescent="0.3"/>
    <row r="52757" s="160" customFormat="1" x14ac:dyDescent="0.3"/>
    <row r="52758" s="160" customFormat="1" x14ac:dyDescent="0.3"/>
    <row r="52759" s="160" customFormat="1" x14ac:dyDescent="0.3"/>
    <row r="52760" s="160" customFormat="1" x14ac:dyDescent="0.3"/>
    <row r="52761" s="160" customFormat="1" x14ac:dyDescent="0.3"/>
    <row r="52762" s="160" customFormat="1" x14ac:dyDescent="0.3"/>
    <row r="52763" s="160" customFormat="1" x14ac:dyDescent="0.3"/>
    <row r="52764" s="160" customFormat="1" x14ac:dyDescent="0.3"/>
    <row r="52765" s="160" customFormat="1" x14ac:dyDescent="0.3"/>
    <row r="52766" s="160" customFormat="1" x14ac:dyDescent="0.3"/>
    <row r="52767" s="160" customFormat="1" x14ac:dyDescent="0.3"/>
    <row r="52768" s="160" customFormat="1" x14ac:dyDescent="0.3"/>
    <row r="52769" s="160" customFormat="1" x14ac:dyDescent="0.3"/>
    <row r="52770" s="160" customFormat="1" x14ac:dyDescent="0.3"/>
    <row r="52771" s="160" customFormat="1" x14ac:dyDescent="0.3"/>
    <row r="52772" s="160" customFormat="1" x14ac:dyDescent="0.3"/>
    <row r="52773" s="160" customFormat="1" x14ac:dyDescent="0.3"/>
    <row r="52774" s="160" customFormat="1" x14ac:dyDescent="0.3"/>
    <row r="52775" s="160" customFormat="1" x14ac:dyDescent="0.3"/>
    <row r="52776" s="160" customFormat="1" x14ac:dyDescent="0.3"/>
    <row r="52777" s="160" customFormat="1" x14ac:dyDescent="0.3"/>
    <row r="52778" s="160" customFormat="1" x14ac:dyDescent="0.3"/>
    <row r="52779" s="160" customFormat="1" x14ac:dyDescent="0.3"/>
    <row r="52780" s="160" customFormat="1" x14ac:dyDescent="0.3"/>
    <row r="52781" s="160" customFormat="1" x14ac:dyDescent="0.3"/>
    <row r="52782" s="160" customFormat="1" x14ac:dyDescent="0.3"/>
    <row r="52783" s="160" customFormat="1" x14ac:dyDescent="0.3"/>
    <row r="52784" s="160" customFormat="1" x14ac:dyDescent="0.3"/>
    <row r="52785" s="160" customFormat="1" x14ac:dyDescent="0.3"/>
    <row r="52786" s="160" customFormat="1" x14ac:dyDescent="0.3"/>
    <row r="52787" s="160" customFormat="1" x14ac:dyDescent="0.3"/>
    <row r="52788" s="160" customFormat="1" x14ac:dyDescent="0.3"/>
    <row r="52789" s="160" customFormat="1" x14ac:dyDescent="0.3"/>
    <row r="52790" s="160" customFormat="1" x14ac:dyDescent="0.3"/>
    <row r="52791" s="160" customFormat="1" x14ac:dyDescent="0.3"/>
    <row r="52792" s="160" customFormat="1" x14ac:dyDescent="0.3"/>
    <row r="52793" s="160" customFormat="1" x14ac:dyDescent="0.3"/>
    <row r="52794" s="160" customFormat="1" x14ac:dyDescent="0.3"/>
    <row r="52795" s="160" customFormat="1" x14ac:dyDescent="0.3"/>
    <row r="52796" s="160" customFormat="1" x14ac:dyDescent="0.3"/>
    <row r="52797" s="160" customFormat="1" x14ac:dyDescent="0.3"/>
    <row r="52798" s="160" customFormat="1" x14ac:dyDescent="0.3"/>
    <row r="52799" s="160" customFormat="1" x14ac:dyDescent="0.3"/>
    <row r="52800" s="160" customFormat="1" x14ac:dyDescent="0.3"/>
    <row r="52801" s="160" customFormat="1" x14ac:dyDescent="0.3"/>
    <row r="52802" s="160" customFormat="1" x14ac:dyDescent="0.3"/>
    <row r="52803" s="160" customFormat="1" x14ac:dyDescent="0.3"/>
    <row r="52804" s="160" customFormat="1" x14ac:dyDescent="0.3"/>
    <row r="52805" s="160" customFormat="1" x14ac:dyDescent="0.3"/>
    <row r="52806" s="160" customFormat="1" x14ac:dyDescent="0.3"/>
    <row r="52807" s="160" customFormat="1" x14ac:dyDescent="0.3"/>
    <row r="52808" s="160" customFormat="1" x14ac:dyDescent="0.3"/>
    <row r="52809" s="160" customFormat="1" x14ac:dyDescent="0.3"/>
    <row r="52810" s="160" customFormat="1" x14ac:dyDescent="0.3"/>
    <row r="52811" s="160" customFormat="1" x14ac:dyDescent="0.3"/>
    <row r="52812" s="160" customFormat="1" x14ac:dyDescent="0.3"/>
    <row r="52813" s="160" customFormat="1" x14ac:dyDescent="0.3"/>
    <row r="52814" s="160" customFormat="1" x14ac:dyDescent="0.3"/>
    <row r="52815" s="160" customFormat="1" x14ac:dyDescent="0.3"/>
    <row r="52816" s="160" customFormat="1" x14ac:dyDescent="0.3"/>
    <row r="52817" s="160" customFormat="1" x14ac:dyDescent="0.3"/>
    <row r="52818" s="160" customFormat="1" x14ac:dyDescent="0.3"/>
    <row r="52819" s="160" customFormat="1" x14ac:dyDescent="0.3"/>
    <row r="52820" s="160" customFormat="1" x14ac:dyDescent="0.3"/>
    <row r="52821" s="160" customFormat="1" x14ac:dyDescent="0.3"/>
    <row r="52822" s="160" customFormat="1" x14ac:dyDescent="0.3"/>
    <row r="52823" s="160" customFormat="1" x14ac:dyDescent="0.3"/>
    <row r="52824" s="160" customFormat="1" x14ac:dyDescent="0.3"/>
    <row r="52825" s="160" customFormat="1" x14ac:dyDescent="0.3"/>
    <row r="52826" s="160" customFormat="1" x14ac:dyDescent="0.3"/>
    <row r="52827" s="160" customFormat="1" x14ac:dyDescent="0.3"/>
    <row r="52828" s="160" customFormat="1" x14ac:dyDescent="0.3"/>
    <row r="52829" s="160" customFormat="1" x14ac:dyDescent="0.3"/>
    <row r="52830" s="160" customFormat="1" x14ac:dyDescent="0.3"/>
    <row r="52831" s="160" customFormat="1" x14ac:dyDescent="0.3"/>
    <row r="52832" s="160" customFormat="1" x14ac:dyDescent="0.3"/>
    <row r="52833" s="160" customFormat="1" x14ac:dyDescent="0.3"/>
    <row r="52834" s="160" customFormat="1" x14ac:dyDescent="0.3"/>
    <row r="52835" s="160" customFormat="1" x14ac:dyDescent="0.3"/>
    <row r="52836" s="160" customFormat="1" x14ac:dyDescent="0.3"/>
    <row r="52837" s="160" customFormat="1" x14ac:dyDescent="0.3"/>
    <row r="52838" s="160" customFormat="1" x14ac:dyDescent="0.3"/>
    <row r="52839" s="160" customFormat="1" x14ac:dyDescent="0.3"/>
    <row r="52840" s="160" customFormat="1" x14ac:dyDescent="0.3"/>
    <row r="52841" s="160" customFormat="1" x14ac:dyDescent="0.3"/>
    <row r="52842" s="160" customFormat="1" x14ac:dyDescent="0.3"/>
    <row r="52843" s="160" customFormat="1" x14ac:dyDescent="0.3"/>
    <row r="52844" s="160" customFormat="1" x14ac:dyDescent="0.3"/>
    <row r="52845" s="160" customFormat="1" x14ac:dyDescent="0.3"/>
    <row r="52846" s="160" customFormat="1" x14ac:dyDescent="0.3"/>
    <row r="52847" s="160" customFormat="1" x14ac:dyDescent="0.3"/>
    <row r="52848" s="160" customFormat="1" x14ac:dyDescent="0.3"/>
    <row r="52849" s="160" customFormat="1" x14ac:dyDescent="0.3"/>
    <row r="52850" s="160" customFormat="1" x14ac:dyDescent="0.3"/>
    <row r="52851" s="160" customFormat="1" x14ac:dyDescent="0.3"/>
    <row r="52852" s="160" customFormat="1" x14ac:dyDescent="0.3"/>
    <row r="52853" s="160" customFormat="1" x14ac:dyDescent="0.3"/>
    <row r="52854" s="160" customFormat="1" x14ac:dyDescent="0.3"/>
    <row r="52855" s="160" customFormat="1" x14ac:dyDescent="0.3"/>
    <row r="52856" s="160" customFormat="1" x14ac:dyDescent="0.3"/>
    <row r="52857" s="160" customFormat="1" x14ac:dyDescent="0.3"/>
    <row r="52858" s="160" customFormat="1" x14ac:dyDescent="0.3"/>
    <row r="52859" s="160" customFormat="1" x14ac:dyDescent="0.3"/>
    <row r="52860" s="160" customFormat="1" x14ac:dyDescent="0.3"/>
    <row r="52861" s="160" customFormat="1" x14ac:dyDescent="0.3"/>
    <row r="52862" s="160" customFormat="1" x14ac:dyDescent="0.3"/>
    <row r="52863" s="160" customFormat="1" x14ac:dyDescent="0.3"/>
    <row r="52864" s="160" customFormat="1" x14ac:dyDescent="0.3"/>
    <row r="52865" s="160" customFormat="1" x14ac:dyDescent="0.3"/>
    <row r="52866" s="160" customFormat="1" x14ac:dyDescent="0.3"/>
    <row r="52867" s="160" customFormat="1" x14ac:dyDescent="0.3"/>
    <row r="52868" s="160" customFormat="1" x14ac:dyDescent="0.3"/>
    <row r="52869" s="160" customFormat="1" x14ac:dyDescent="0.3"/>
    <row r="52870" s="160" customFormat="1" x14ac:dyDescent="0.3"/>
    <row r="52871" s="160" customFormat="1" x14ac:dyDescent="0.3"/>
    <row r="52872" s="160" customFormat="1" x14ac:dyDescent="0.3"/>
    <row r="52873" s="160" customFormat="1" x14ac:dyDescent="0.3"/>
    <row r="52874" s="160" customFormat="1" x14ac:dyDescent="0.3"/>
    <row r="52875" s="160" customFormat="1" x14ac:dyDescent="0.3"/>
    <row r="52876" s="160" customFormat="1" x14ac:dyDescent="0.3"/>
    <row r="52877" s="160" customFormat="1" x14ac:dyDescent="0.3"/>
    <row r="52878" s="160" customFormat="1" x14ac:dyDescent="0.3"/>
    <row r="52879" s="160" customFormat="1" x14ac:dyDescent="0.3"/>
    <row r="52880" s="160" customFormat="1" x14ac:dyDescent="0.3"/>
    <row r="52881" s="160" customFormat="1" x14ac:dyDescent="0.3"/>
    <row r="52882" s="160" customFormat="1" x14ac:dyDescent="0.3"/>
    <row r="52883" s="160" customFormat="1" x14ac:dyDescent="0.3"/>
    <row r="52884" s="160" customFormat="1" x14ac:dyDescent="0.3"/>
    <row r="52885" s="160" customFormat="1" x14ac:dyDescent="0.3"/>
    <row r="52886" s="160" customFormat="1" x14ac:dyDescent="0.3"/>
    <row r="52887" s="160" customFormat="1" x14ac:dyDescent="0.3"/>
    <row r="52888" s="160" customFormat="1" x14ac:dyDescent="0.3"/>
    <row r="52889" s="160" customFormat="1" x14ac:dyDescent="0.3"/>
    <row r="52890" s="160" customFormat="1" x14ac:dyDescent="0.3"/>
    <row r="52891" s="160" customFormat="1" x14ac:dyDescent="0.3"/>
    <row r="52892" s="160" customFormat="1" x14ac:dyDescent="0.3"/>
    <row r="52893" s="160" customFormat="1" x14ac:dyDescent="0.3"/>
    <row r="52894" s="160" customFormat="1" x14ac:dyDescent="0.3"/>
    <row r="52895" s="160" customFormat="1" x14ac:dyDescent="0.3"/>
    <row r="52896" s="160" customFormat="1" x14ac:dyDescent="0.3"/>
    <row r="52897" s="160" customFormat="1" x14ac:dyDescent="0.3"/>
    <row r="52898" s="160" customFormat="1" x14ac:dyDescent="0.3"/>
    <row r="52899" s="160" customFormat="1" x14ac:dyDescent="0.3"/>
    <row r="52900" s="160" customFormat="1" x14ac:dyDescent="0.3"/>
    <row r="52901" s="160" customFormat="1" x14ac:dyDescent="0.3"/>
    <row r="52902" s="160" customFormat="1" x14ac:dyDescent="0.3"/>
    <row r="52903" s="160" customFormat="1" x14ac:dyDescent="0.3"/>
    <row r="52904" s="160" customFormat="1" x14ac:dyDescent="0.3"/>
    <row r="52905" s="160" customFormat="1" x14ac:dyDescent="0.3"/>
    <row r="52906" s="160" customFormat="1" x14ac:dyDescent="0.3"/>
    <row r="52907" s="160" customFormat="1" x14ac:dyDescent="0.3"/>
    <row r="52908" s="160" customFormat="1" x14ac:dyDescent="0.3"/>
    <row r="52909" s="160" customFormat="1" x14ac:dyDescent="0.3"/>
    <row r="52910" s="160" customFormat="1" x14ac:dyDescent="0.3"/>
    <row r="52911" s="160" customFormat="1" x14ac:dyDescent="0.3"/>
    <row r="52912" s="160" customFormat="1" x14ac:dyDescent="0.3"/>
    <row r="52913" s="160" customFormat="1" x14ac:dyDescent="0.3"/>
    <row r="52914" s="160" customFormat="1" x14ac:dyDescent="0.3"/>
    <row r="52915" s="160" customFormat="1" x14ac:dyDescent="0.3"/>
    <row r="52916" s="160" customFormat="1" x14ac:dyDescent="0.3"/>
    <row r="52917" s="160" customFormat="1" x14ac:dyDescent="0.3"/>
    <row r="52918" s="160" customFormat="1" x14ac:dyDescent="0.3"/>
    <row r="52919" s="160" customFormat="1" x14ac:dyDescent="0.3"/>
    <row r="52920" s="160" customFormat="1" x14ac:dyDescent="0.3"/>
    <row r="52921" s="160" customFormat="1" x14ac:dyDescent="0.3"/>
    <row r="52922" s="160" customFormat="1" x14ac:dyDescent="0.3"/>
    <row r="52923" s="160" customFormat="1" x14ac:dyDescent="0.3"/>
    <row r="52924" s="160" customFormat="1" x14ac:dyDescent="0.3"/>
    <row r="52925" s="160" customFormat="1" x14ac:dyDescent="0.3"/>
    <row r="52926" s="160" customFormat="1" x14ac:dyDescent="0.3"/>
    <row r="52927" s="160" customFormat="1" x14ac:dyDescent="0.3"/>
    <row r="52928" s="160" customFormat="1" x14ac:dyDescent="0.3"/>
    <row r="52929" s="160" customFormat="1" x14ac:dyDescent="0.3"/>
    <row r="52930" s="160" customFormat="1" x14ac:dyDescent="0.3"/>
    <row r="52931" s="160" customFormat="1" x14ac:dyDescent="0.3"/>
    <row r="52932" s="160" customFormat="1" x14ac:dyDescent="0.3"/>
    <row r="52933" s="160" customFormat="1" x14ac:dyDescent="0.3"/>
    <row r="52934" s="160" customFormat="1" x14ac:dyDescent="0.3"/>
    <row r="52935" s="160" customFormat="1" x14ac:dyDescent="0.3"/>
    <row r="52936" s="160" customFormat="1" x14ac:dyDescent="0.3"/>
    <row r="52937" s="160" customFormat="1" x14ac:dyDescent="0.3"/>
    <row r="52938" s="160" customFormat="1" x14ac:dyDescent="0.3"/>
    <row r="52939" s="160" customFormat="1" x14ac:dyDescent="0.3"/>
    <row r="52940" s="160" customFormat="1" x14ac:dyDescent="0.3"/>
    <row r="52941" s="160" customFormat="1" x14ac:dyDescent="0.3"/>
    <row r="52942" s="160" customFormat="1" x14ac:dyDescent="0.3"/>
    <row r="52943" s="160" customFormat="1" x14ac:dyDescent="0.3"/>
    <row r="52944" s="160" customFormat="1" x14ac:dyDescent="0.3"/>
    <row r="52945" s="160" customFormat="1" x14ac:dyDescent="0.3"/>
    <row r="52946" s="160" customFormat="1" x14ac:dyDescent="0.3"/>
    <row r="52947" s="160" customFormat="1" x14ac:dyDescent="0.3"/>
    <row r="52948" s="160" customFormat="1" x14ac:dyDescent="0.3"/>
    <row r="52949" s="160" customFormat="1" x14ac:dyDescent="0.3"/>
    <row r="52950" s="160" customFormat="1" x14ac:dyDescent="0.3"/>
    <row r="52951" s="160" customFormat="1" x14ac:dyDescent="0.3"/>
    <row r="52952" s="160" customFormat="1" x14ac:dyDescent="0.3"/>
    <row r="52953" s="160" customFormat="1" x14ac:dyDescent="0.3"/>
    <row r="52954" s="160" customFormat="1" x14ac:dyDescent="0.3"/>
    <row r="52955" s="160" customFormat="1" x14ac:dyDescent="0.3"/>
    <row r="52956" s="160" customFormat="1" x14ac:dyDescent="0.3"/>
    <row r="52957" s="160" customFormat="1" x14ac:dyDescent="0.3"/>
    <row r="52958" s="160" customFormat="1" x14ac:dyDescent="0.3"/>
    <row r="52959" s="160" customFormat="1" x14ac:dyDescent="0.3"/>
    <row r="52960" s="160" customFormat="1" x14ac:dyDescent="0.3"/>
    <row r="52961" s="160" customFormat="1" x14ac:dyDescent="0.3"/>
    <row r="52962" s="160" customFormat="1" x14ac:dyDescent="0.3"/>
    <row r="52963" s="160" customFormat="1" x14ac:dyDescent="0.3"/>
    <row r="52964" s="160" customFormat="1" x14ac:dyDescent="0.3"/>
    <row r="52965" s="160" customFormat="1" x14ac:dyDescent="0.3"/>
    <row r="52966" s="160" customFormat="1" x14ac:dyDescent="0.3"/>
    <row r="52967" s="160" customFormat="1" x14ac:dyDescent="0.3"/>
    <row r="52968" s="160" customFormat="1" x14ac:dyDescent="0.3"/>
    <row r="52969" s="160" customFormat="1" x14ac:dyDescent="0.3"/>
    <row r="52970" s="160" customFormat="1" x14ac:dyDescent="0.3"/>
    <row r="52971" s="160" customFormat="1" x14ac:dyDescent="0.3"/>
    <row r="52972" s="160" customFormat="1" x14ac:dyDescent="0.3"/>
    <row r="52973" s="160" customFormat="1" x14ac:dyDescent="0.3"/>
    <row r="52974" s="160" customFormat="1" x14ac:dyDescent="0.3"/>
    <row r="52975" s="160" customFormat="1" x14ac:dyDescent="0.3"/>
    <row r="52976" s="160" customFormat="1" x14ac:dyDescent="0.3"/>
    <row r="52977" s="160" customFormat="1" x14ac:dyDescent="0.3"/>
    <row r="52978" s="160" customFormat="1" x14ac:dyDescent="0.3"/>
    <row r="52979" s="160" customFormat="1" x14ac:dyDescent="0.3"/>
    <row r="52980" s="160" customFormat="1" x14ac:dyDescent="0.3"/>
    <row r="52981" s="160" customFormat="1" x14ac:dyDescent="0.3"/>
    <row r="52982" s="160" customFormat="1" x14ac:dyDescent="0.3"/>
    <row r="52983" s="160" customFormat="1" x14ac:dyDescent="0.3"/>
    <row r="52984" s="160" customFormat="1" x14ac:dyDescent="0.3"/>
    <row r="52985" s="160" customFormat="1" x14ac:dyDescent="0.3"/>
    <row r="52986" s="160" customFormat="1" x14ac:dyDescent="0.3"/>
    <row r="52987" s="160" customFormat="1" x14ac:dyDescent="0.3"/>
    <row r="52988" s="160" customFormat="1" x14ac:dyDescent="0.3"/>
    <row r="52989" s="160" customFormat="1" x14ac:dyDescent="0.3"/>
    <row r="52990" s="160" customFormat="1" x14ac:dyDescent="0.3"/>
    <row r="52991" s="160" customFormat="1" x14ac:dyDescent="0.3"/>
    <row r="52992" s="160" customFormat="1" x14ac:dyDescent="0.3"/>
    <row r="52993" s="160" customFormat="1" x14ac:dyDescent="0.3"/>
    <row r="52994" s="160" customFormat="1" x14ac:dyDescent="0.3"/>
    <row r="52995" s="160" customFormat="1" x14ac:dyDescent="0.3"/>
    <row r="52996" s="160" customFormat="1" x14ac:dyDescent="0.3"/>
    <row r="52997" s="160" customFormat="1" x14ac:dyDescent="0.3"/>
    <row r="52998" s="160" customFormat="1" x14ac:dyDescent="0.3"/>
    <row r="52999" s="160" customFormat="1" x14ac:dyDescent="0.3"/>
    <row r="53000" s="160" customFormat="1" x14ac:dyDescent="0.3"/>
    <row r="53001" s="160" customFormat="1" x14ac:dyDescent="0.3"/>
    <row r="53002" s="160" customFormat="1" x14ac:dyDescent="0.3"/>
    <row r="53003" s="160" customFormat="1" x14ac:dyDescent="0.3"/>
    <row r="53004" s="160" customFormat="1" x14ac:dyDescent="0.3"/>
    <row r="53005" s="160" customFormat="1" x14ac:dyDescent="0.3"/>
    <row r="53006" s="160" customFormat="1" x14ac:dyDescent="0.3"/>
    <row r="53007" s="160" customFormat="1" x14ac:dyDescent="0.3"/>
    <row r="53008" s="160" customFormat="1" x14ac:dyDescent="0.3"/>
    <row r="53009" s="160" customFormat="1" x14ac:dyDescent="0.3"/>
    <row r="53010" s="160" customFormat="1" x14ac:dyDescent="0.3"/>
    <row r="53011" s="160" customFormat="1" x14ac:dyDescent="0.3"/>
    <row r="53012" s="160" customFormat="1" x14ac:dyDescent="0.3"/>
    <row r="53013" s="160" customFormat="1" x14ac:dyDescent="0.3"/>
    <row r="53014" s="160" customFormat="1" x14ac:dyDescent="0.3"/>
    <row r="53015" s="160" customFormat="1" x14ac:dyDescent="0.3"/>
    <row r="53016" s="160" customFormat="1" x14ac:dyDescent="0.3"/>
    <row r="53017" s="160" customFormat="1" x14ac:dyDescent="0.3"/>
    <row r="53018" s="160" customFormat="1" x14ac:dyDescent="0.3"/>
    <row r="53019" s="160" customFormat="1" x14ac:dyDescent="0.3"/>
    <row r="53020" s="160" customFormat="1" x14ac:dyDescent="0.3"/>
    <row r="53021" s="160" customFormat="1" x14ac:dyDescent="0.3"/>
    <row r="53022" s="160" customFormat="1" x14ac:dyDescent="0.3"/>
    <row r="53023" s="160" customFormat="1" x14ac:dyDescent="0.3"/>
    <row r="53024" s="160" customFormat="1" x14ac:dyDescent="0.3"/>
    <row r="53025" s="160" customFormat="1" x14ac:dyDescent="0.3"/>
    <row r="53026" s="160" customFormat="1" x14ac:dyDescent="0.3"/>
    <row r="53027" s="160" customFormat="1" x14ac:dyDescent="0.3"/>
    <row r="53028" s="160" customFormat="1" x14ac:dyDescent="0.3"/>
    <row r="53029" s="160" customFormat="1" x14ac:dyDescent="0.3"/>
    <row r="53030" s="160" customFormat="1" x14ac:dyDescent="0.3"/>
    <row r="53031" s="160" customFormat="1" x14ac:dyDescent="0.3"/>
    <row r="53032" s="160" customFormat="1" x14ac:dyDescent="0.3"/>
    <row r="53033" s="160" customFormat="1" x14ac:dyDescent="0.3"/>
    <row r="53034" s="160" customFormat="1" x14ac:dyDescent="0.3"/>
    <row r="53035" s="160" customFormat="1" x14ac:dyDescent="0.3"/>
    <row r="53036" s="160" customFormat="1" x14ac:dyDescent="0.3"/>
    <row r="53037" s="160" customFormat="1" x14ac:dyDescent="0.3"/>
    <row r="53038" s="160" customFormat="1" x14ac:dyDescent="0.3"/>
    <row r="53039" s="160" customFormat="1" x14ac:dyDescent="0.3"/>
    <row r="53040" s="160" customFormat="1" x14ac:dyDescent="0.3"/>
    <row r="53041" s="160" customFormat="1" x14ac:dyDescent="0.3"/>
    <row r="53042" s="160" customFormat="1" x14ac:dyDescent="0.3"/>
    <row r="53043" s="160" customFormat="1" x14ac:dyDescent="0.3"/>
    <row r="53044" s="160" customFormat="1" x14ac:dyDescent="0.3"/>
    <row r="53045" s="160" customFormat="1" x14ac:dyDescent="0.3"/>
    <row r="53046" s="160" customFormat="1" x14ac:dyDescent="0.3"/>
    <row r="53047" s="160" customFormat="1" x14ac:dyDescent="0.3"/>
    <row r="53048" s="160" customFormat="1" x14ac:dyDescent="0.3"/>
    <row r="53049" s="160" customFormat="1" x14ac:dyDescent="0.3"/>
    <row r="53050" s="160" customFormat="1" x14ac:dyDescent="0.3"/>
    <row r="53051" s="160" customFormat="1" x14ac:dyDescent="0.3"/>
    <row r="53052" s="160" customFormat="1" x14ac:dyDescent="0.3"/>
    <row r="53053" s="160" customFormat="1" x14ac:dyDescent="0.3"/>
    <row r="53054" s="160" customFormat="1" x14ac:dyDescent="0.3"/>
    <row r="53055" s="160" customFormat="1" x14ac:dyDescent="0.3"/>
    <row r="53056" s="160" customFormat="1" x14ac:dyDescent="0.3"/>
    <row r="53057" s="160" customFormat="1" x14ac:dyDescent="0.3"/>
    <row r="53058" s="160" customFormat="1" x14ac:dyDescent="0.3"/>
    <row r="53059" s="160" customFormat="1" x14ac:dyDescent="0.3"/>
    <row r="53060" s="160" customFormat="1" x14ac:dyDescent="0.3"/>
    <row r="53061" s="160" customFormat="1" x14ac:dyDescent="0.3"/>
    <row r="53062" s="160" customFormat="1" x14ac:dyDescent="0.3"/>
    <row r="53063" s="160" customFormat="1" x14ac:dyDescent="0.3"/>
    <row r="53064" s="160" customFormat="1" x14ac:dyDescent="0.3"/>
    <row r="53065" s="160" customFormat="1" x14ac:dyDescent="0.3"/>
    <row r="53066" s="160" customFormat="1" x14ac:dyDescent="0.3"/>
    <row r="53067" s="160" customFormat="1" x14ac:dyDescent="0.3"/>
    <row r="53068" s="160" customFormat="1" x14ac:dyDescent="0.3"/>
    <row r="53069" s="160" customFormat="1" x14ac:dyDescent="0.3"/>
    <row r="53070" s="160" customFormat="1" x14ac:dyDescent="0.3"/>
    <row r="53071" s="160" customFormat="1" x14ac:dyDescent="0.3"/>
    <row r="53072" s="160" customFormat="1" x14ac:dyDescent="0.3"/>
    <row r="53073" s="160" customFormat="1" x14ac:dyDescent="0.3"/>
    <row r="53074" s="160" customFormat="1" x14ac:dyDescent="0.3"/>
    <row r="53075" s="160" customFormat="1" x14ac:dyDescent="0.3"/>
    <row r="53076" s="160" customFormat="1" x14ac:dyDescent="0.3"/>
    <row r="53077" s="160" customFormat="1" x14ac:dyDescent="0.3"/>
    <row r="53078" s="160" customFormat="1" x14ac:dyDescent="0.3"/>
    <row r="53079" s="160" customFormat="1" x14ac:dyDescent="0.3"/>
    <row r="53080" s="160" customFormat="1" x14ac:dyDescent="0.3"/>
    <row r="53081" s="160" customFormat="1" x14ac:dyDescent="0.3"/>
    <row r="53082" s="160" customFormat="1" x14ac:dyDescent="0.3"/>
    <row r="53083" s="160" customFormat="1" x14ac:dyDescent="0.3"/>
    <row r="53084" s="160" customFormat="1" x14ac:dyDescent="0.3"/>
    <row r="53085" s="160" customFormat="1" x14ac:dyDescent="0.3"/>
    <row r="53086" s="160" customFormat="1" x14ac:dyDescent="0.3"/>
    <row r="53087" s="160" customFormat="1" x14ac:dyDescent="0.3"/>
    <row r="53088" s="160" customFormat="1" x14ac:dyDescent="0.3"/>
    <row r="53089" s="160" customFormat="1" x14ac:dyDescent="0.3"/>
    <row r="53090" s="160" customFormat="1" x14ac:dyDescent="0.3"/>
    <row r="53091" s="160" customFormat="1" x14ac:dyDescent="0.3"/>
    <row r="53092" s="160" customFormat="1" x14ac:dyDescent="0.3"/>
    <row r="53093" s="160" customFormat="1" x14ac:dyDescent="0.3"/>
    <row r="53094" s="160" customFormat="1" x14ac:dyDescent="0.3"/>
    <row r="53095" s="160" customFormat="1" x14ac:dyDescent="0.3"/>
    <row r="53096" s="160" customFormat="1" x14ac:dyDescent="0.3"/>
    <row r="53097" s="160" customFormat="1" x14ac:dyDescent="0.3"/>
    <row r="53098" s="160" customFormat="1" x14ac:dyDescent="0.3"/>
    <row r="53099" s="160" customFormat="1" x14ac:dyDescent="0.3"/>
    <row r="53100" s="160" customFormat="1" x14ac:dyDescent="0.3"/>
    <row r="53101" s="160" customFormat="1" x14ac:dyDescent="0.3"/>
    <row r="53102" s="160" customFormat="1" x14ac:dyDescent="0.3"/>
    <row r="53103" s="160" customFormat="1" x14ac:dyDescent="0.3"/>
    <row r="53104" s="160" customFormat="1" x14ac:dyDescent="0.3"/>
    <row r="53105" s="160" customFormat="1" x14ac:dyDescent="0.3"/>
    <row r="53106" s="160" customFormat="1" x14ac:dyDescent="0.3"/>
    <row r="53107" s="160" customFormat="1" x14ac:dyDescent="0.3"/>
    <row r="53108" s="160" customFormat="1" x14ac:dyDescent="0.3"/>
    <row r="53109" s="160" customFormat="1" x14ac:dyDescent="0.3"/>
    <row r="53110" s="160" customFormat="1" x14ac:dyDescent="0.3"/>
    <row r="53111" s="160" customFormat="1" x14ac:dyDescent="0.3"/>
    <row r="53112" s="160" customFormat="1" x14ac:dyDescent="0.3"/>
    <row r="53113" s="160" customFormat="1" x14ac:dyDescent="0.3"/>
    <row r="53114" s="160" customFormat="1" x14ac:dyDescent="0.3"/>
    <row r="53115" s="160" customFormat="1" x14ac:dyDescent="0.3"/>
    <row r="53116" s="160" customFormat="1" x14ac:dyDescent="0.3"/>
    <row r="53117" s="160" customFormat="1" x14ac:dyDescent="0.3"/>
    <row r="53118" s="160" customFormat="1" x14ac:dyDescent="0.3"/>
    <row r="53119" s="160" customFormat="1" x14ac:dyDescent="0.3"/>
    <row r="53120" s="160" customFormat="1" x14ac:dyDescent="0.3"/>
    <row r="53121" s="160" customFormat="1" x14ac:dyDescent="0.3"/>
    <row r="53122" s="160" customFormat="1" x14ac:dyDescent="0.3"/>
    <row r="53123" s="160" customFormat="1" x14ac:dyDescent="0.3"/>
    <row r="53124" s="160" customFormat="1" x14ac:dyDescent="0.3"/>
    <row r="53125" s="160" customFormat="1" x14ac:dyDescent="0.3"/>
    <row r="53126" s="160" customFormat="1" x14ac:dyDescent="0.3"/>
    <row r="53127" s="160" customFormat="1" x14ac:dyDescent="0.3"/>
    <row r="53128" s="160" customFormat="1" x14ac:dyDescent="0.3"/>
    <row r="53129" s="160" customFormat="1" x14ac:dyDescent="0.3"/>
    <row r="53130" s="160" customFormat="1" x14ac:dyDescent="0.3"/>
    <row r="53131" s="160" customFormat="1" x14ac:dyDescent="0.3"/>
    <row r="53132" s="160" customFormat="1" x14ac:dyDescent="0.3"/>
    <row r="53133" s="160" customFormat="1" x14ac:dyDescent="0.3"/>
    <row r="53134" s="160" customFormat="1" x14ac:dyDescent="0.3"/>
    <row r="53135" s="160" customFormat="1" x14ac:dyDescent="0.3"/>
    <row r="53136" s="160" customFormat="1" x14ac:dyDescent="0.3"/>
    <row r="53137" s="160" customFormat="1" x14ac:dyDescent="0.3"/>
    <row r="53138" s="160" customFormat="1" x14ac:dyDescent="0.3"/>
    <row r="53139" s="160" customFormat="1" x14ac:dyDescent="0.3"/>
    <row r="53140" s="160" customFormat="1" x14ac:dyDescent="0.3"/>
    <row r="53141" s="160" customFormat="1" x14ac:dyDescent="0.3"/>
    <row r="53142" s="160" customFormat="1" x14ac:dyDescent="0.3"/>
    <row r="53143" s="160" customFormat="1" x14ac:dyDescent="0.3"/>
    <row r="53144" s="160" customFormat="1" x14ac:dyDescent="0.3"/>
    <row r="53145" s="160" customFormat="1" x14ac:dyDescent="0.3"/>
    <row r="53146" s="160" customFormat="1" x14ac:dyDescent="0.3"/>
    <row r="53147" s="160" customFormat="1" x14ac:dyDescent="0.3"/>
    <row r="53148" s="160" customFormat="1" x14ac:dyDescent="0.3"/>
    <row r="53149" s="160" customFormat="1" x14ac:dyDescent="0.3"/>
    <row r="53150" s="160" customFormat="1" x14ac:dyDescent="0.3"/>
    <row r="53151" s="160" customFormat="1" x14ac:dyDescent="0.3"/>
    <row r="53152" s="160" customFormat="1" x14ac:dyDescent="0.3"/>
    <row r="53153" s="160" customFormat="1" x14ac:dyDescent="0.3"/>
    <row r="53154" s="160" customFormat="1" x14ac:dyDescent="0.3"/>
    <row r="53155" s="160" customFormat="1" x14ac:dyDescent="0.3"/>
    <row r="53156" s="160" customFormat="1" x14ac:dyDescent="0.3"/>
    <row r="53157" s="160" customFormat="1" x14ac:dyDescent="0.3"/>
    <row r="53158" s="160" customFormat="1" x14ac:dyDescent="0.3"/>
    <row r="53159" s="160" customFormat="1" x14ac:dyDescent="0.3"/>
    <row r="53160" s="160" customFormat="1" x14ac:dyDescent="0.3"/>
    <row r="53161" s="160" customFormat="1" x14ac:dyDescent="0.3"/>
    <row r="53162" s="160" customFormat="1" x14ac:dyDescent="0.3"/>
    <row r="53163" s="160" customFormat="1" x14ac:dyDescent="0.3"/>
    <row r="53164" s="160" customFormat="1" x14ac:dyDescent="0.3"/>
    <row r="53165" s="160" customFormat="1" x14ac:dyDescent="0.3"/>
    <row r="53166" s="160" customFormat="1" x14ac:dyDescent="0.3"/>
    <row r="53167" s="160" customFormat="1" x14ac:dyDescent="0.3"/>
    <row r="53168" s="160" customFormat="1" x14ac:dyDescent="0.3"/>
    <row r="53169" s="160" customFormat="1" x14ac:dyDescent="0.3"/>
    <row r="53170" s="160" customFormat="1" x14ac:dyDescent="0.3"/>
    <row r="53171" s="160" customFormat="1" x14ac:dyDescent="0.3"/>
    <row r="53172" s="160" customFormat="1" x14ac:dyDescent="0.3"/>
    <row r="53173" s="160" customFormat="1" x14ac:dyDescent="0.3"/>
    <row r="53174" s="160" customFormat="1" x14ac:dyDescent="0.3"/>
    <row r="53175" s="160" customFormat="1" x14ac:dyDescent="0.3"/>
    <row r="53176" s="160" customFormat="1" x14ac:dyDescent="0.3"/>
    <row r="53177" s="160" customFormat="1" x14ac:dyDescent="0.3"/>
    <row r="53178" s="160" customFormat="1" x14ac:dyDescent="0.3"/>
    <row r="53179" s="160" customFormat="1" x14ac:dyDescent="0.3"/>
    <row r="53180" s="160" customFormat="1" x14ac:dyDescent="0.3"/>
    <row r="53181" s="160" customFormat="1" x14ac:dyDescent="0.3"/>
    <row r="53182" s="160" customFormat="1" x14ac:dyDescent="0.3"/>
    <row r="53183" s="160" customFormat="1" x14ac:dyDescent="0.3"/>
    <row r="53184" s="160" customFormat="1" x14ac:dyDescent="0.3"/>
    <row r="53185" s="160" customFormat="1" x14ac:dyDescent="0.3"/>
    <row r="53186" s="160" customFormat="1" x14ac:dyDescent="0.3"/>
    <row r="53187" s="160" customFormat="1" x14ac:dyDescent="0.3"/>
    <row r="53188" s="160" customFormat="1" x14ac:dyDescent="0.3"/>
    <row r="53189" s="160" customFormat="1" x14ac:dyDescent="0.3"/>
    <row r="53190" s="160" customFormat="1" x14ac:dyDescent="0.3"/>
    <row r="53191" s="160" customFormat="1" x14ac:dyDescent="0.3"/>
    <row r="53192" s="160" customFormat="1" x14ac:dyDescent="0.3"/>
    <row r="53193" s="160" customFormat="1" x14ac:dyDescent="0.3"/>
    <row r="53194" s="160" customFormat="1" x14ac:dyDescent="0.3"/>
    <row r="53195" s="160" customFormat="1" x14ac:dyDescent="0.3"/>
    <row r="53196" s="160" customFormat="1" x14ac:dyDescent="0.3"/>
    <row r="53197" s="160" customFormat="1" x14ac:dyDescent="0.3"/>
    <row r="53198" s="160" customFormat="1" x14ac:dyDescent="0.3"/>
    <row r="53199" s="160" customFormat="1" x14ac:dyDescent="0.3"/>
    <row r="53200" s="160" customFormat="1" x14ac:dyDescent="0.3"/>
    <row r="53201" s="160" customFormat="1" x14ac:dyDescent="0.3"/>
    <row r="53202" s="160" customFormat="1" x14ac:dyDescent="0.3"/>
    <row r="53203" s="160" customFormat="1" x14ac:dyDescent="0.3"/>
    <row r="53204" s="160" customFormat="1" x14ac:dyDescent="0.3"/>
    <row r="53205" s="160" customFormat="1" x14ac:dyDescent="0.3"/>
    <row r="53206" s="160" customFormat="1" x14ac:dyDescent="0.3"/>
    <row r="53207" s="160" customFormat="1" x14ac:dyDescent="0.3"/>
    <row r="53208" s="160" customFormat="1" x14ac:dyDescent="0.3"/>
    <row r="53209" s="160" customFormat="1" x14ac:dyDescent="0.3"/>
    <row r="53210" s="160" customFormat="1" x14ac:dyDescent="0.3"/>
    <row r="53211" s="160" customFormat="1" x14ac:dyDescent="0.3"/>
    <row r="53212" s="160" customFormat="1" x14ac:dyDescent="0.3"/>
    <row r="53213" s="160" customFormat="1" x14ac:dyDescent="0.3"/>
    <row r="53214" s="160" customFormat="1" x14ac:dyDescent="0.3"/>
    <row r="53215" s="160" customFormat="1" x14ac:dyDescent="0.3"/>
    <row r="53216" s="160" customFormat="1" x14ac:dyDescent="0.3"/>
    <row r="53217" s="160" customFormat="1" x14ac:dyDescent="0.3"/>
    <row r="53218" s="160" customFormat="1" x14ac:dyDescent="0.3"/>
    <row r="53219" s="160" customFormat="1" x14ac:dyDescent="0.3"/>
    <row r="53220" s="160" customFormat="1" x14ac:dyDescent="0.3"/>
    <row r="53221" s="160" customFormat="1" x14ac:dyDescent="0.3"/>
    <row r="53222" s="160" customFormat="1" x14ac:dyDescent="0.3"/>
    <row r="53223" s="160" customFormat="1" x14ac:dyDescent="0.3"/>
    <row r="53224" s="160" customFormat="1" x14ac:dyDescent="0.3"/>
    <row r="53225" s="160" customFormat="1" x14ac:dyDescent="0.3"/>
    <row r="53226" s="160" customFormat="1" x14ac:dyDescent="0.3"/>
    <row r="53227" s="160" customFormat="1" x14ac:dyDescent="0.3"/>
    <row r="53228" s="160" customFormat="1" x14ac:dyDescent="0.3"/>
    <row r="53229" s="160" customFormat="1" x14ac:dyDescent="0.3"/>
    <row r="53230" s="160" customFormat="1" x14ac:dyDescent="0.3"/>
    <row r="53231" s="160" customFormat="1" x14ac:dyDescent="0.3"/>
    <row r="53232" s="160" customFormat="1" x14ac:dyDescent="0.3"/>
    <row r="53233" s="160" customFormat="1" x14ac:dyDescent="0.3"/>
    <row r="53234" s="160" customFormat="1" x14ac:dyDescent="0.3"/>
    <row r="53235" s="160" customFormat="1" x14ac:dyDescent="0.3"/>
    <row r="53236" s="160" customFormat="1" x14ac:dyDescent="0.3"/>
    <row r="53237" s="160" customFormat="1" x14ac:dyDescent="0.3"/>
    <row r="53238" s="160" customFormat="1" x14ac:dyDescent="0.3"/>
    <row r="53239" s="160" customFormat="1" x14ac:dyDescent="0.3"/>
    <row r="53240" s="160" customFormat="1" x14ac:dyDescent="0.3"/>
    <row r="53241" s="160" customFormat="1" x14ac:dyDescent="0.3"/>
    <row r="53242" s="160" customFormat="1" x14ac:dyDescent="0.3"/>
    <row r="53243" s="160" customFormat="1" x14ac:dyDescent="0.3"/>
    <row r="53244" s="160" customFormat="1" x14ac:dyDescent="0.3"/>
    <row r="53245" s="160" customFormat="1" x14ac:dyDescent="0.3"/>
    <row r="53246" s="160" customFormat="1" x14ac:dyDescent="0.3"/>
    <row r="53247" s="160" customFormat="1" x14ac:dyDescent="0.3"/>
    <row r="53248" s="160" customFormat="1" x14ac:dyDescent="0.3"/>
    <row r="53249" s="160" customFormat="1" x14ac:dyDescent="0.3"/>
    <row r="53250" s="160" customFormat="1" x14ac:dyDescent="0.3"/>
    <row r="53251" s="160" customFormat="1" x14ac:dyDescent="0.3"/>
    <row r="53252" s="160" customFormat="1" x14ac:dyDescent="0.3"/>
    <row r="53253" s="160" customFormat="1" x14ac:dyDescent="0.3"/>
    <row r="53254" s="160" customFormat="1" x14ac:dyDescent="0.3"/>
    <row r="53255" s="160" customFormat="1" x14ac:dyDescent="0.3"/>
    <row r="53256" s="160" customFormat="1" x14ac:dyDescent="0.3"/>
    <row r="53257" s="160" customFormat="1" x14ac:dyDescent="0.3"/>
    <row r="53258" s="160" customFormat="1" x14ac:dyDescent="0.3"/>
    <row r="53259" s="160" customFormat="1" x14ac:dyDescent="0.3"/>
    <row r="53260" s="160" customFormat="1" x14ac:dyDescent="0.3"/>
    <row r="53261" s="160" customFormat="1" x14ac:dyDescent="0.3"/>
    <row r="53262" s="160" customFormat="1" x14ac:dyDescent="0.3"/>
    <row r="53263" s="160" customFormat="1" x14ac:dyDescent="0.3"/>
    <row r="53264" s="160" customFormat="1" x14ac:dyDescent="0.3"/>
    <row r="53265" s="160" customFormat="1" x14ac:dyDescent="0.3"/>
    <row r="53266" s="160" customFormat="1" x14ac:dyDescent="0.3"/>
    <row r="53267" s="160" customFormat="1" x14ac:dyDescent="0.3"/>
    <row r="53268" s="160" customFormat="1" x14ac:dyDescent="0.3"/>
    <row r="53269" s="160" customFormat="1" x14ac:dyDescent="0.3"/>
    <row r="53270" s="160" customFormat="1" x14ac:dyDescent="0.3"/>
    <row r="53271" s="160" customFormat="1" x14ac:dyDescent="0.3"/>
    <row r="53272" s="160" customFormat="1" x14ac:dyDescent="0.3"/>
    <row r="53273" s="160" customFormat="1" x14ac:dyDescent="0.3"/>
    <row r="53274" s="160" customFormat="1" x14ac:dyDescent="0.3"/>
    <row r="53275" s="160" customFormat="1" x14ac:dyDescent="0.3"/>
    <row r="53276" s="160" customFormat="1" x14ac:dyDescent="0.3"/>
    <row r="53277" s="160" customFormat="1" x14ac:dyDescent="0.3"/>
    <row r="53278" s="160" customFormat="1" x14ac:dyDescent="0.3"/>
    <row r="53279" s="160" customFormat="1" x14ac:dyDescent="0.3"/>
    <row r="53280" s="160" customFormat="1" x14ac:dyDescent="0.3"/>
    <row r="53281" s="160" customFormat="1" x14ac:dyDescent="0.3"/>
    <row r="53282" s="160" customFormat="1" x14ac:dyDescent="0.3"/>
    <row r="53283" s="160" customFormat="1" x14ac:dyDescent="0.3"/>
    <row r="53284" s="160" customFormat="1" x14ac:dyDescent="0.3"/>
    <row r="53285" s="160" customFormat="1" x14ac:dyDescent="0.3"/>
    <row r="53286" s="160" customFormat="1" x14ac:dyDescent="0.3"/>
    <row r="53287" s="160" customFormat="1" x14ac:dyDescent="0.3"/>
    <row r="53288" s="160" customFormat="1" x14ac:dyDescent="0.3"/>
    <row r="53289" s="160" customFormat="1" x14ac:dyDescent="0.3"/>
    <row r="53290" s="160" customFormat="1" x14ac:dyDescent="0.3"/>
    <row r="53291" s="160" customFormat="1" x14ac:dyDescent="0.3"/>
    <row r="53292" s="160" customFormat="1" x14ac:dyDescent="0.3"/>
    <row r="53293" s="160" customFormat="1" x14ac:dyDescent="0.3"/>
    <row r="53294" s="160" customFormat="1" x14ac:dyDescent="0.3"/>
    <row r="53295" s="160" customFormat="1" x14ac:dyDescent="0.3"/>
    <row r="53296" s="160" customFormat="1" x14ac:dyDescent="0.3"/>
    <row r="53297" s="160" customFormat="1" x14ac:dyDescent="0.3"/>
    <row r="53298" s="160" customFormat="1" x14ac:dyDescent="0.3"/>
    <row r="53299" s="160" customFormat="1" x14ac:dyDescent="0.3"/>
    <row r="53300" s="160" customFormat="1" x14ac:dyDescent="0.3"/>
    <row r="53301" s="160" customFormat="1" x14ac:dyDescent="0.3"/>
    <row r="53302" s="160" customFormat="1" x14ac:dyDescent="0.3"/>
    <row r="53303" s="160" customFormat="1" x14ac:dyDescent="0.3"/>
    <row r="53304" s="160" customFormat="1" x14ac:dyDescent="0.3"/>
    <row r="53305" s="160" customFormat="1" x14ac:dyDescent="0.3"/>
    <row r="53306" s="160" customFormat="1" x14ac:dyDescent="0.3"/>
    <row r="53307" s="160" customFormat="1" x14ac:dyDescent="0.3"/>
    <row r="53308" s="160" customFormat="1" x14ac:dyDescent="0.3"/>
    <row r="53309" s="160" customFormat="1" x14ac:dyDescent="0.3"/>
    <row r="53310" s="160" customFormat="1" x14ac:dyDescent="0.3"/>
    <row r="53311" s="160" customFormat="1" x14ac:dyDescent="0.3"/>
    <row r="53312" s="160" customFormat="1" x14ac:dyDescent="0.3"/>
    <row r="53313" s="160" customFormat="1" x14ac:dyDescent="0.3"/>
    <row r="53314" s="160" customFormat="1" x14ac:dyDescent="0.3"/>
    <row r="53315" s="160" customFormat="1" x14ac:dyDescent="0.3"/>
    <row r="53316" s="160" customFormat="1" x14ac:dyDescent="0.3"/>
    <row r="53317" s="160" customFormat="1" x14ac:dyDescent="0.3"/>
    <row r="53318" s="160" customFormat="1" x14ac:dyDescent="0.3"/>
    <row r="53319" s="160" customFormat="1" x14ac:dyDescent="0.3"/>
    <row r="53320" s="160" customFormat="1" x14ac:dyDescent="0.3"/>
    <row r="53321" s="160" customFormat="1" x14ac:dyDescent="0.3"/>
    <row r="53322" s="160" customFormat="1" x14ac:dyDescent="0.3"/>
    <row r="53323" s="160" customFormat="1" x14ac:dyDescent="0.3"/>
    <row r="53324" s="160" customFormat="1" x14ac:dyDescent="0.3"/>
    <row r="53325" s="160" customFormat="1" x14ac:dyDescent="0.3"/>
    <row r="53326" s="160" customFormat="1" x14ac:dyDescent="0.3"/>
    <row r="53327" s="160" customFormat="1" x14ac:dyDescent="0.3"/>
    <row r="53328" s="160" customFormat="1" x14ac:dyDescent="0.3"/>
    <row r="53329" s="160" customFormat="1" x14ac:dyDescent="0.3"/>
    <row r="53330" s="160" customFormat="1" x14ac:dyDescent="0.3"/>
    <row r="53331" s="160" customFormat="1" x14ac:dyDescent="0.3"/>
    <row r="53332" s="160" customFormat="1" x14ac:dyDescent="0.3"/>
    <row r="53333" s="160" customFormat="1" x14ac:dyDescent="0.3"/>
    <row r="53334" s="160" customFormat="1" x14ac:dyDescent="0.3"/>
    <row r="53335" s="160" customFormat="1" x14ac:dyDescent="0.3"/>
    <row r="53336" s="160" customFormat="1" x14ac:dyDescent="0.3"/>
    <row r="53337" s="160" customFormat="1" x14ac:dyDescent="0.3"/>
    <row r="53338" s="160" customFormat="1" x14ac:dyDescent="0.3"/>
    <row r="53339" s="160" customFormat="1" x14ac:dyDescent="0.3"/>
    <row r="53340" s="160" customFormat="1" x14ac:dyDescent="0.3"/>
    <row r="53341" s="160" customFormat="1" x14ac:dyDescent="0.3"/>
    <row r="53342" s="160" customFormat="1" x14ac:dyDescent="0.3"/>
    <row r="53343" s="160" customFormat="1" x14ac:dyDescent="0.3"/>
    <row r="53344" s="160" customFormat="1" x14ac:dyDescent="0.3"/>
    <row r="53345" s="160" customFormat="1" x14ac:dyDescent="0.3"/>
    <row r="53346" s="160" customFormat="1" x14ac:dyDescent="0.3"/>
    <row r="53347" s="160" customFormat="1" x14ac:dyDescent="0.3"/>
    <row r="53348" s="160" customFormat="1" x14ac:dyDescent="0.3"/>
    <row r="53349" s="160" customFormat="1" x14ac:dyDescent="0.3"/>
    <row r="53350" s="160" customFormat="1" x14ac:dyDescent="0.3"/>
    <row r="53351" s="160" customFormat="1" x14ac:dyDescent="0.3"/>
    <row r="53352" s="160" customFormat="1" x14ac:dyDescent="0.3"/>
    <row r="53353" s="160" customFormat="1" x14ac:dyDescent="0.3"/>
    <row r="53354" s="160" customFormat="1" x14ac:dyDescent="0.3"/>
    <row r="53355" s="160" customFormat="1" x14ac:dyDescent="0.3"/>
    <row r="53356" s="160" customFormat="1" x14ac:dyDescent="0.3"/>
    <row r="53357" s="160" customFormat="1" x14ac:dyDescent="0.3"/>
    <row r="53358" s="160" customFormat="1" x14ac:dyDescent="0.3"/>
    <row r="53359" s="160" customFormat="1" x14ac:dyDescent="0.3"/>
    <row r="53360" s="160" customFormat="1" x14ac:dyDescent="0.3"/>
    <row r="53361" s="160" customFormat="1" x14ac:dyDescent="0.3"/>
    <row r="53362" s="160" customFormat="1" x14ac:dyDescent="0.3"/>
    <row r="53363" s="160" customFormat="1" x14ac:dyDescent="0.3"/>
    <row r="53364" s="160" customFormat="1" x14ac:dyDescent="0.3"/>
    <row r="53365" s="160" customFormat="1" x14ac:dyDescent="0.3"/>
    <row r="53366" s="160" customFormat="1" x14ac:dyDescent="0.3"/>
    <row r="53367" s="160" customFormat="1" x14ac:dyDescent="0.3"/>
    <row r="53368" s="160" customFormat="1" x14ac:dyDescent="0.3"/>
    <row r="53369" s="160" customFormat="1" x14ac:dyDescent="0.3"/>
    <row r="53370" s="160" customFormat="1" x14ac:dyDescent="0.3"/>
    <row r="53371" s="160" customFormat="1" x14ac:dyDescent="0.3"/>
    <row r="53372" s="160" customFormat="1" x14ac:dyDescent="0.3"/>
    <row r="53373" s="160" customFormat="1" x14ac:dyDescent="0.3"/>
    <row r="53374" s="160" customFormat="1" x14ac:dyDescent="0.3"/>
    <row r="53375" s="160" customFormat="1" x14ac:dyDescent="0.3"/>
    <row r="53376" s="160" customFormat="1" x14ac:dyDescent="0.3"/>
    <row r="53377" s="160" customFormat="1" x14ac:dyDescent="0.3"/>
    <row r="53378" s="160" customFormat="1" x14ac:dyDescent="0.3"/>
    <row r="53379" s="160" customFormat="1" x14ac:dyDescent="0.3"/>
    <row r="53380" s="160" customFormat="1" x14ac:dyDescent="0.3"/>
    <row r="53381" s="160" customFormat="1" x14ac:dyDescent="0.3"/>
    <row r="53382" s="160" customFormat="1" x14ac:dyDescent="0.3"/>
    <row r="53383" s="160" customFormat="1" x14ac:dyDescent="0.3"/>
    <row r="53384" s="160" customFormat="1" x14ac:dyDescent="0.3"/>
    <row r="53385" s="160" customFormat="1" x14ac:dyDescent="0.3"/>
    <row r="53386" s="160" customFormat="1" x14ac:dyDescent="0.3"/>
    <row r="53387" s="160" customFormat="1" x14ac:dyDescent="0.3"/>
    <row r="53388" s="160" customFormat="1" x14ac:dyDescent="0.3"/>
    <row r="53389" s="160" customFormat="1" x14ac:dyDescent="0.3"/>
    <row r="53390" s="160" customFormat="1" x14ac:dyDescent="0.3"/>
    <row r="53391" s="160" customFormat="1" x14ac:dyDescent="0.3"/>
    <row r="53392" s="160" customFormat="1" x14ac:dyDescent="0.3"/>
    <row r="53393" s="160" customFormat="1" x14ac:dyDescent="0.3"/>
    <row r="53394" s="160" customFormat="1" x14ac:dyDescent="0.3"/>
    <row r="53395" s="160" customFormat="1" x14ac:dyDescent="0.3"/>
    <row r="53396" s="160" customFormat="1" x14ac:dyDescent="0.3"/>
    <row r="53397" s="160" customFormat="1" x14ac:dyDescent="0.3"/>
    <row r="53398" s="160" customFormat="1" x14ac:dyDescent="0.3"/>
    <row r="53399" s="160" customFormat="1" x14ac:dyDescent="0.3"/>
    <row r="53400" s="160" customFormat="1" x14ac:dyDescent="0.3"/>
    <row r="53401" s="160" customFormat="1" x14ac:dyDescent="0.3"/>
    <row r="53402" s="160" customFormat="1" x14ac:dyDescent="0.3"/>
    <row r="53403" s="160" customFormat="1" x14ac:dyDescent="0.3"/>
    <row r="53404" s="160" customFormat="1" x14ac:dyDescent="0.3"/>
    <row r="53405" s="160" customFormat="1" x14ac:dyDescent="0.3"/>
    <row r="53406" s="160" customFormat="1" x14ac:dyDescent="0.3"/>
    <row r="53407" s="160" customFormat="1" x14ac:dyDescent="0.3"/>
    <row r="53408" s="160" customFormat="1" x14ac:dyDescent="0.3"/>
    <row r="53409" s="160" customFormat="1" x14ac:dyDescent="0.3"/>
    <row r="53410" s="160" customFormat="1" x14ac:dyDescent="0.3"/>
    <row r="53411" s="160" customFormat="1" x14ac:dyDescent="0.3"/>
    <row r="53412" s="160" customFormat="1" x14ac:dyDescent="0.3"/>
    <row r="53413" s="160" customFormat="1" x14ac:dyDescent="0.3"/>
    <row r="53414" s="160" customFormat="1" x14ac:dyDescent="0.3"/>
    <row r="53415" s="160" customFormat="1" x14ac:dyDescent="0.3"/>
    <row r="53416" s="160" customFormat="1" x14ac:dyDescent="0.3"/>
    <row r="53417" s="160" customFormat="1" x14ac:dyDescent="0.3"/>
    <row r="53418" s="160" customFormat="1" x14ac:dyDescent="0.3"/>
    <row r="53419" s="160" customFormat="1" x14ac:dyDescent="0.3"/>
    <row r="53420" s="160" customFormat="1" x14ac:dyDescent="0.3"/>
    <row r="53421" s="160" customFormat="1" x14ac:dyDescent="0.3"/>
    <row r="53422" s="160" customFormat="1" x14ac:dyDescent="0.3"/>
    <row r="53423" s="160" customFormat="1" x14ac:dyDescent="0.3"/>
    <row r="53424" s="160" customFormat="1" x14ac:dyDescent="0.3"/>
    <row r="53425" s="160" customFormat="1" x14ac:dyDescent="0.3"/>
    <row r="53426" s="160" customFormat="1" x14ac:dyDescent="0.3"/>
    <row r="53427" s="160" customFormat="1" x14ac:dyDescent="0.3"/>
    <row r="53428" s="160" customFormat="1" x14ac:dyDescent="0.3"/>
    <row r="53429" s="160" customFormat="1" x14ac:dyDescent="0.3"/>
    <row r="53430" s="160" customFormat="1" x14ac:dyDescent="0.3"/>
    <row r="53431" s="160" customFormat="1" x14ac:dyDescent="0.3"/>
    <row r="53432" s="160" customFormat="1" x14ac:dyDescent="0.3"/>
    <row r="53433" s="160" customFormat="1" x14ac:dyDescent="0.3"/>
    <row r="53434" s="160" customFormat="1" x14ac:dyDescent="0.3"/>
    <row r="53435" s="160" customFormat="1" x14ac:dyDescent="0.3"/>
    <row r="53436" s="160" customFormat="1" x14ac:dyDescent="0.3"/>
    <row r="53437" s="160" customFormat="1" x14ac:dyDescent="0.3"/>
    <row r="53438" s="160" customFormat="1" x14ac:dyDescent="0.3"/>
    <row r="53439" s="160" customFormat="1" x14ac:dyDescent="0.3"/>
    <row r="53440" s="160" customFormat="1" x14ac:dyDescent="0.3"/>
    <row r="53441" s="160" customFormat="1" x14ac:dyDescent="0.3"/>
    <row r="53442" s="160" customFormat="1" x14ac:dyDescent="0.3"/>
    <row r="53443" s="160" customFormat="1" x14ac:dyDescent="0.3"/>
    <row r="53444" s="160" customFormat="1" x14ac:dyDescent="0.3"/>
    <row r="53445" s="160" customFormat="1" x14ac:dyDescent="0.3"/>
    <row r="53446" s="160" customFormat="1" x14ac:dyDescent="0.3"/>
    <row r="53447" s="160" customFormat="1" x14ac:dyDescent="0.3"/>
    <row r="53448" s="160" customFormat="1" x14ac:dyDescent="0.3"/>
    <row r="53449" s="160" customFormat="1" x14ac:dyDescent="0.3"/>
    <row r="53450" s="160" customFormat="1" x14ac:dyDescent="0.3"/>
    <row r="53451" s="160" customFormat="1" x14ac:dyDescent="0.3"/>
    <row r="53452" s="160" customFormat="1" x14ac:dyDescent="0.3"/>
    <row r="53453" s="160" customFormat="1" x14ac:dyDescent="0.3"/>
    <row r="53454" s="160" customFormat="1" x14ac:dyDescent="0.3"/>
    <row r="53455" s="160" customFormat="1" x14ac:dyDescent="0.3"/>
    <row r="53456" s="160" customFormat="1" x14ac:dyDescent="0.3"/>
    <row r="53457" s="160" customFormat="1" x14ac:dyDescent="0.3"/>
    <row r="53458" s="160" customFormat="1" x14ac:dyDescent="0.3"/>
    <row r="53459" s="160" customFormat="1" x14ac:dyDescent="0.3"/>
    <row r="53460" s="160" customFormat="1" x14ac:dyDescent="0.3"/>
    <row r="53461" s="160" customFormat="1" x14ac:dyDescent="0.3"/>
    <row r="53462" s="160" customFormat="1" x14ac:dyDescent="0.3"/>
    <row r="53463" s="160" customFormat="1" x14ac:dyDescent="0.3"/>
    <row r="53464" s="160" customFormat="1" x14ac:dyDescent="0.3"/>
    <row r="53465" s="160" customFormat="1" x14ac:dyDescent="0.3"/>
    <row r="53466" s="160" customFormat="1" x14ac:dyDescent="0.3"/>
    <row r="53467" s="160" customFormat="1" x14ac:dyDescent="0.3"/>
    <row r="53468" s="160" customFormat="1" x14ac:dyDescent="0.3"/>
    <row r="53469" s="160" customFormat="1" x14ac:dyDescent="0.3"/>
    <row r="53470" s="160" customFormat="1" x14ac:dyDescent="0.3"/>
    <row r="53471" s="160" customFormat="1" x14ac:dyDescent="0.3"/>
    <row r="53472" s="160" customFormat="1" x14ac:dyDescent="0.3"/>
    <row r="53473" s="160" customFormat="1" x14ac:dyDescent="0.3"/>
    <row r="53474" s="160" customFormat="1" x14ac:dyDescent="0.3"/>
    <row r="53475" s="160" customFormat="1" x14ac:dyDescent="0.3"/>
    <row r="53476" s="160" customFormat="1" x14ac:dyDescent="0.3"/>
    <row r="53477" s="160" customFormat="1" x14ac:dyDescent="0.3"/>
    <row r="53478" s="160" customFormat="1" x14ac:dyDescent="0.3"/>
    <row r="53479" s="160" customFormat="1" x14ac:dyDescent="0.3"/>
    <row r="53480" s="160" customFormat="1" x14ac:dyDescent="0.3"/>
    <row r="53481" s="160" customFormat="1" x14ac:dyDescent="0.3"/>
    <row r="53482" s="160" customFormat="1" x14ac:dyDescent="0.3"/>
    <row r="53483" s="160" customFormat="1" x14ac:dyDescent="0.3"/>
    <row r="53484" s="160" customFormat="1" x14ac:dyDescent="0.3"/>
    <row r="53485" s="160" customFormat="1" x14ac:dyDescent="0.3"/>
    <row r="53486" s="160" customFormat="1" x14ac:dyDescent="0.3"/>
    <row r="53487" s="160" customFormat="1" x14ac:dyDescent="0.3"/>
    <row r="53488" s="160" customFormat="1" x14ac:dyDescent="0.3"/>
    <row r="53489" s="160" customFormat="1" x14ac:dyDescent="0.3"/>
    <row r="53490" s="160" customFormat="1" x14ac:dyDescent="0.3"/>
    <row r="53491" s="160" customFormat="1" x14ac:dyDescent="0.3"/>
    <row r="53492" s="160" customFormat="1" x14ac:dyDescent="0.3"/>
    <row r="53493" s="160" customFormat="1" x14ac:dyDescent="0.3"/>
    <row r="53494" s="160" customFormat="1" x14ac:dyDescent="0.3"/>
    <row r="53495" s="160" customFormat="1" x14ac:dyDescent="0.3"/>
    <row r="53496" s="160" customFormat="1" x14ac:dyDescent="0.3"/>
    <row r="53497" s="160" customFormat="1" x14ac:dyDescent="0.3"/>
    <row r="53498" s="160" customFormat="1" x14ac:dyDescent="0.3"/>
    <row r="53499" s="160" customFormat="1" x14ac:dyDescent="0.3"/>
    <row r="53500" s="160" customFormat="1" x14ac:dyDescent="0.3"/>
    <row r="53501" s="160" customFormat="1" x14ac:dyDescent="0.3"/>
    <row r="53502" s="160" customFormat="1" x14ac:dyDescent="0.3"/>
    <row r="53503" s="160" customFormat="1" x14ac:dyDescent="0.3"/>
    <row r="53504" s="160" customFormat="1" x14ac:dyDescent="0.3"/>
    <row r="53505" s="160" customFormat="1" x14ac:dyDescent="0.3"/>
    <row r="53506" s="160" customFormat="1" x14ac:dyDescent="0.3"/>
    <row r="53507" s="160" customFormat="1" x14ac:dyDescent="0.3"/>
    <row r="53508" s="160" customFormat="1" x14ac:dyDescent="0.3"/>
    <row r="53509" s="160" customFormat="1" x14ac:dyDescent="0.3"/>
    <row r="53510" s="160" customFormat="1" x14ac:dyDescent="0.3"/>
    <row r="53511" s="160" customFormat="1" x14ac:dyDescent="0.3"/>
    <row r="53512" s="160" customFormat="1" x14ac:dyDescent="0.3"/>
    <row r="53513" s="160" customFormat="1" x14ac:dyDescent="0.3"/>
    <row r="53514" s="160" customFormat="1" x14ac:dyDescent="0.3"/>
    <row r="53515" s="160" customFormat="1" x14ac:dyDescent="0.3"/>
    <row r="53516" s="160" customFormat="1" x14ac:dyDescent="0.3"/>
    <row r="53517" s="160" customFormat="1" x14ac:dyDescent="0.3"/>
    <row r="53518" s="160" customFormat="1" x14ac:dyDescent="0.3"/>
    <row r="53519" s="160" customFormat="1" x14ac:dyDescent="0.3"/>
    <row r="53520" s="160" customFormat="1" x14ac:dyDescent="0.3"/>
    <row r="53521" s="160" customFormat="1" x14ac:dyDescent="0.3"/>
    <row r="53522" s="160" customFormat="1" x14ac:dyDescent="0.3"/>
    <row r="53523" s="160" customFormat="1" x14ac:dyDescent="0.3"/>
    <row r="53524" s="160" customFormat="1" x14ac:dyDescent="0.3"/>
    <row r="53525" s="160" customFormat="1" x14ac:dyDescent="0.3"/>
    <row r="53526" s="160" customFormat="1" x14ac:dyDescent="0.3"/>
    <row r="53527" s="160" customFormat="1" x14ac:dyDescent="0.3"/>
    <row r="53528" s="160" customFormat="1" x14ac:dyDescent="0.3"/>
    <row r="53529" s="160" customFormat="1" x14ac:dyDescent="0.3"/>
    <row r="53530" s="160" customFormat="1" x14ac:dyDescent="0.3"/>
    <row r="53531" s="160" customFormat="1" x14ac:dyDescent="0.3"/>
    <row r="53532" s="160" customFormat="1" x14ac:dyDescent="0.3"/>
    <row r="53533" s="160" customFormat="1" x14ac:dyDescent="0.3"/>
    <row r="53534" s="160" customFormat="1" x14ac:dyDescent="0.3"/>
    <row r="53535" s="160" customFormat="1" x14ac:dyDescent="0.3"/>
    <row r="53536" s="160" customFormat="1" x14ac:dyDescent="0.3"/>
    <row r="53537" s="160" customFormat="1" x14ac:dyDescent="0.3"/>
    <row r="53538" s="160" customFormat="1" x14ac:dyDescent="0.3"/>
    <row r="53539" s="160" customFormat="1" x14ac:dyDescent="0.3"/>
    <row r="53540" s="160" customFormat="1" x14ac:dyDescent="0.3"/>
    <row r="53541" s="160" customFormat="1" x14ac:dyDescent="0.3"/>
    <row r="53542" s="160" customFormat="1" x14ac:dyDescent="0.3"/>
    <row r="53543" s="160" customFormat="1" x14ac:dyDescent="0.3"/>
    <row r="53544" s="160" customFormat="1" x14ac:dyDescent="0.3"/>
    <row r="53545" s="160" customFormat="1" x14ac:dyDescent="0.3"/>
    <row r="53546" s="160" customFormat="1" x14ac:dyDescent="0.3"/>
    <row r="53547" s="160" customFormat="1" x14ac:dyDescent="0.3"/>
    <row r="53548" s="160" customFormat="1" x14ac:dyDescent="0.3"/>
    <row r="53549" s="160" customFormat="1" x14ac:dyDescent="0.3"/>
    <row r="53550" s="160" customFormat="1" x14ac:dyDescent="0.3"/>
    <row r="53551" s="160" customFormat="1" x14ac:dyDescent="0.3"/>
    <row r="53552" s="160" customFormat="1" x14ac:dyDescent="0.3"/>
    <row r="53553" s="160" customFormat="1" x14ac:dyDescent="0.3"/>
    <row r="53554" s="160" customFormat="1" x14ac:dyDescent="0.3"/>
    <row r="53555" s="160" customFormat="1" x14ac:dyDescent="0.3"/>
    <row r="53556" s="160" customFormat="1" x14ac:dyDescent="0.3"/>
    <row r="53557" s="160" customFormat="1" x14ac:dyDescent="0.3"/>
    <row r="53558" s="160" customFormat="1" x14ac:dyDescent="0.3"/>
    <row r="53559" s="160" customFormat="1" x14ac:dyDescent="0.3"/>
    <row r="53560" s="160" customFormat="1" x14ac:dyDescent="0.3"/>
    <row r="53561" s="160" customFormat="1" x14ac:dyDescent="0.3"/>
    <row r="53562" s="160" customFormat="1" x14ac:dyDescent="0.3"/>
    <row r="53563" s="160" customFormat="1" x14ac:dyDescent="0.3"/>
    <row r="53564" s="160" customFormat="1" x14ac:dyDescent="0.3"/>
    <row r="53565" s="160" customFormat="1" x14ac:dyDescent="0.3"/>
    <row r="53566" s="160" customFormat="1" x14ac:dyDescent="0.3"/>
    <row r="53567" s="160" customFormat="1" x14ac:dyDescent="0.3"/>
    <row r="53568" s="160" customFormat="1" x14ac:dyDescent="0.3"/>
    <row r="53569" s="160" customFormat="1" x14ac:dyDescent="0.3"/>
    <row r="53570" s="160" customFormat="1" x14ac:dyDescent="0.3"/>
    <row r="53571" s="160" customFormat="1" x14ac:dyDescent="0.3"/>
    <row r="53572" s="160" customFormat="1" x14ac:dyDescent="0.3"/>
    <row r="53573" s="160" customFormat="1" x14ac:dyDescent="0.3"/>
    <row r="53574" s="160" customFormat="1" x14ac:dyDescent="0.3"/>
    <row r="53575" s="160" customFormat="1" x14ac:dyDescent="0.3"/>
    <row r="53576" s="160" customFormat="1" x14ac:dyDescent="0.3"/>
    <row r="53577" s="160" customFormat="1" x14ac:dyDescent="0.3"/>
    <row r="53578" s="160" customFormat="1" x14ac:dyDescent="0.3"/>
    <row r="53579" s="160" customFormat="1" x14ac:dyDescent="0.3"/>
    <row r="53580" s="160" customFormat="1" x14ac:dyDescent="0.3"/>
    <row r="53581" s="160" customFormat="1" x14ac:dyDescent="0.3"/>
    <row r="53582" s="160" customFormat="1" x14ac:dyDescent="0.3"/>
    <row r="53583" s="160" customFormat="1" x14ac:dyDescent="0.3"/>
    <row r="53584" s="160" customFormat="1" x14ac:dyDescent="0.3"/>
    <row r="53585" s="160" customFormat="1" x14ac:dyDescent="0.3"/>
    <row r="53586" s="160" customFormat="1" x14ac:dyDescent="0.3"/>
    <row r="53587" s="160" customFormat="1" x14ac:dyDescent="0.3"/>
    <row r="53588" s="160" customFormat="1" x14ac:dyDescent="0.3"/>
    <row r="53589" s="160" customFormat="1" x14ac:dyDescent="0.3"/>
    <row r="53590" s="160" customFormat="1" x14ac:dyDescent="0.3"/>
    <row r="53591" s="160" customFormat="1" x14ac:dyDescent="0.3"/>
    <row r="53592" s="160" customFormat="1" x14ac:dyDescent="0.3"/>
    <row r="53593" s="160" customFormat="1" x14ac:dyDescent="0.3"/>
    <row r="53594" s="160" customFormat="1" x14ac:dyDescent="0.3"/>
    <row r="53595" s="160" customFormat="1" x14ac:dyDescent="0.3"/>
    <row r="53596" s="160" customFormat="1" x14ac:dyDescent="0.3"/>
    <row r="53597" s="160" customFormat="1" x14ac:dyDescent="0.3"/>
    <row r="53598" s="160" customFormat="1" x14ac:dyDescent="0.3"/>
    <row r="53599" s="160" customFormat="1" x14ac:dyDescent="0.3"/>
    <row r="53600" s="160" customFormat="1" x14ac:dyDescent="0.3"/>
    <row r="53601" s="160" customFormat="1" x14ac:dyDescent="0.3"/>
    <row r="53602" s="160" customFormat="1" x14ac:dyDescent="0.3"/>
    <row r="53603" s="160" customFormat="1" x14ac:dyDescent="0.3"/>
    <row r="53604" s="160" customFormat="1" x14ac:dyDescent="0.3"/>
    <row r="53605" s="160" customFormat="1" x14ac:dyDescent="0.3"/>
    <row r="53606" s="160" customFormat="1" x14ac:dyDescent="0.3"/>
    <row r="53607" s="160" customFormat="1" x14ac:dyDescent="0.3"/>
    <row r="53608" s="160" customFormat="1" x14ac:dyDescent="0.3"/>
    <row r="53609" s="160" customFormat="1" x14ac:dyDescent="0.3"/>
    <row r="53610" s="160" customFormat="1" x14ac:dyDescent="0.3"/>
    <row r="53611" s="160" customFormat="1" x14ac:dyDescent="0.3"/>
    <row r="53612" s="160" customFormat="1" x14ac:dyDescent="0.3"/>
    <row r="53613" s="160" customFormat="1" x14ac:dyDescent="0.3"/>
    <row r="53614" s="160" customFormat="1" x14ac:dyDescent="0.3"/>
    <row r="53615" s="160" customFormat="1" x14ac:dyDescent="0.3"/>
    <row r="53616" s="160" customFormat="1" x14ac:dyDescent="0.3"/>
    <row r="53617" s="160" customFormat="1" x14ac:dyDescent="0.3"/>
    <row r="53618" s="160" customFormat="1" x14ac:dyDescent="0.3"/>
    <row r="53619" s="160" customFormat="1" x14ac:dyDescent="0.3"/>
    <row r="53620" s="160" customFormat="1" x14ac:dyDescent="0.3"/>
    <row r="53621" s="160" customFormat="1" x14ac:dyDescent="0.3"/>
    <row r="53622" s="160" customFormat="1" x14ac:dyDescent="0.3"/>
    <row r="53623" s="160" customFormat="1" x14ac:dyDescent="0.3"/>
    <row r="53624" s="160" customFormat="1" x14ac:dyDescent="0.3"/>
    <row r="53625" s="160" customFormat="1" x14ac:dyDescent="0.3"/>
    <row r="53626" s="160" customFormat="1" x14ac:dyDescent="0.3"/>
    <row r="53627" s="160" customFormat="1" x14ac:dyDescent="0.3"/>
    <row r="53628" s="160" customFormat="1" x14ac:dyDescent="0.3"/>
    <row r="53629" s="160" customFormat="1" x14ac:dyDescent="0.3"/>
    <row r="53630" s="160" customFormat="1" x14ac:dyDescent="0.3"/>
    <row r="53631" s="160" customFormat="1" x14ac:dyDescent="0.3"/>
    <row r="53632" s="160" customFormat="1" x14ac:dyDescent="0.3"/>
    <row r="53633" s="160" customFormat="1" x14ac:dyDescent="0.3"/>
    <row r="53634" s="160" customFormat="1" x14ac:dyDescent="0.3"/>
    <row r="53635" s="160" customFormat="1" x14ac:dyDescent="0.3"/>
    <row r="53636" s="160" customFormat="1" x14ac:dyDescent="0.3"/>
    <row r="53637" s="160" customFormat="1" x14ac:dyDescent="0.3"/>
    <row r="53638" s="160" customFormat="1" x14ac:dyDescent="0.3"/>
    <row r="53639" s="160" customFormat="1" x14ac:dyDescent="0.3"/>
    <row r="53640" s="160" customFormat="1" x14ac:dyDescent="0.3"/>
    <row r="53641" s="160" customFormat="1" x14ac:dyDescent="0.3"/>
    <row r="53642" s="160" customFormat="1" x14ac:dyDescent="0.3"/>
    <row r="53643" s="160" customFormat="1" x14ac:dyDescent="0.3"/>
    <row r="53644" s="160" customFormat="1" x14ac:dyDescent="0.3"/>
    <row r="53645" s="160" customFormat="1" x14ac:dyDescent="0.3"/>
    <row r="53646" s="160" customFormat="1" x14ac:dyDescent="0.3"/>
    <row r="53647" s="160" customFormat="1" x14ac:dyDescent="0.3"/>
    <row r="53648" s="160" customFormat="1" x14ac:dyDescent="0.3"/>
    <row r="53649" s="160" customFormat="1" x14ac:dyDescent="0.3"/>
    <row r="53650" s="160" customFormat="1" x14ac:dyDescent="0.3"/>
    <row r="53651" s="160" customFormat="1" x14ac:dyDescent="0.3"/>
    <row r="53652" s="160" customFormat="1" x14ac:dyDescent="0.3"/>
    <row r="53653" s="160" customFormat="1" x14ac:dyDescent="0.3"/>
    <row r="53654" s="160" customFormat="1" x14ac:dyDescent="0.3"/>
    <row r="53655" s="160" customFormat="1" x14ac:dyDescent="0.3"/>
    <row r="53656" s="160" customFormat="1" x14ac:dyDescent="0.3"/>
    <row r="53657" s="160" customFormat="1" x14ac:dyDescent="0.3"/>
    <row r="53658" s="160" customFormat="1" x14ac:dyDescent="0.3"/>
    <row r="53659" s="160" customFormat="1" x14ac:dyDescent="0.3"/>
    <row r="53660" s="160" customFormat="1" x14ac:dyDescent="0.3"/>
    <row r="53661" s="160" customFormat="1" x14ac:dyDescent="0.3"/>
    <row r="53662" s="160" customFormat="1" x14ac:dyDescent="0.3"/>
    <row r="53663" s="160" customFormat="1" x14ac:dyDescent="0.3"/>
    <row r="53664" s="160" customFormat="1" x14ac:dyDescent="0.3"/>
    <row r="53665" s="160" customFormat="1" x14ac:dyDescent="0.3"/>
    <row r="53666" s="160" customFormat="1" x14ac:dyDescent="0.3"/>
    <row r="53667" s="160" customFormat="1" x14ac:dyDescent="0.3"/>
    <row r="53668" s="160" customFormat="1" x14ac:dyDescent="0.3"/>
    <row r="53669" s="160" customFormat="1" x14ac:dyDescent="0.3"/>
    <row r="53670" s="160" customFormat="1" x14ac:dyDescent="0.3"/>
    <row r="53671" s="160" customFormat="1" x14ac:dyDescent="0.3"/>
    <row r="53672" s="160" customFormat="1" x14ac:dyDescent="0.3"/>
    <row r="53673" s="160" customFormat="1" x14ac:dyDescent="0.3"/>
    <row r="53674" s="160" customFormat="1" x14ac:dyDescent="0.3"/>
    <row r="53675" s="160" customFormat="1" x14ac:dyDescent="0.3"/>
    <row r="53676" s="160" customFormat="1" x14ac:dyDescent="0.3"/>
    <row r="53677" s="160" customFormat="1" x14ac:dyDescent="0.3"/>
    <row r="53678" s="160" customFormat="1" x14ac:dyDescent="0.3"/>
    <row r="53679" s="160" customFormat="1" x14ac:dyDescent="0.3"/>
    <row r="53680" s="160" customFormat="1" x14ac:dyDescent="0.3"/>
    <row r="53681" s="160" customFormat="1" x14ac:dyDescent="0.3"/>
    <row r="53682" s="160" customFormat="1" x14ac:dyDescent="0.3"/>
    <row r="53683" s="160" customFormat="1" x14ac:dyDescent="0.3"/>
    <row r="53684" s="160" customFormat="1" x14ac:dyDescent="0.3"/>
    <row r="53685" s="160" customFormat="1" x14ac:dyDescent="0.3"/>
    <row r="53686" s="160" customFormat="1" x14ac:dyDescent="0.3"/>
    <row r="53687" s="160" customFormat="1" x14ac:dyDescent="0.3"/>
    <row r="53688" s="160" customFormat="1" x14ac:dyDescent="0.3"/>
    <row r="53689" s="160" customFormat="1" x14ac:dyDescent="0.3"/>
    <row r="53690" s="160" customFormat="1" x14ac:dyDescent="0.3"/>
    <row r="53691" s="160" customFormat="1" x14ac:dyDescent="0.3"/>
    <row r="53692" s="160" customFormat="1" x14ac:dyDescent="0.3"/>
    <row r="53693" s="160" customFormat="1" x14ac:dyDescent="0.3"/>
    <row r="53694" s="160" customFormat="1" x14ac:dyDescent="0.3"/>
    <row r="53695" s="160" customFormat="1" x14ac:dyDescent="0.3"/>
    <row r="53696" s="160" customFormat="1" x14ac:dyDescent="0.3"/>
    <row r="53697" s="160" customFormat="1" x14ac:dyDescent="0.3"/>
    <row r="53698" s="160" customFormat="1" x14ac:dyDescent="0.3"/>
    <row r="53699" s="160" customFormat="1" x14ac:dyDescent="0.3"/>
    <row r="53700" s="160" customFormat="1" x14ac:dyDescent="0.3"/>
    <row r="53701" s="160" customFormat="1" x14ac:dyDescent="0.3"/>
    <row r="53702" s="160" customFormat="1" x14ac:dyDescent="0.3"/>
    <row r="53703" s="160" customFormat="1" x14ac:dyDescent="0.3"/>
    <row r="53704" s="160" customFormat="1" x14ac:dyDescent="0.3"/>
    <row r="53705" s="160" customFormat="1" x14ac:dyDescent="0.3"/>
    <row r="53706" s="160" customFormat="1" x14ac:dyDescent="0.3"/>
    <row r="53707" s="160" customFormat="1" x14ac:dyDescent="0.3"/>
    <row r="53708" s="160" customFormat="1" x14ac:dyDescent="0.3"/>
    <row r="53709" s="160" customFormat="1" x14ac:dyDescent="0.3"/>
    <row r="53710" s="160" customFormat="1" x14ac:dyDescent="0.3"/>
    <row r="53711" s="160" customFormat="1" x14ac:dyDescent="0.3"/>
    <row r="53712" s="160" customFormat="1" x14ac:dyDescent="0.3"/>
    <row r="53713" s="160" customFormat="1" x14ac:dyDescent="0.3"/>
    <row r="53714" s="160" customFormat="1" x14ac:dyDescent="0.3"/>
    <row r="53715" s="160" customFormat="1" x14ac:dyDescent="0.3"/>
    <row r="53716" s="160" customFormat="1" x14ac:dyDescent="0.3"/>
    <row r="53717" s="160" customFormat="1" x14ac:dyDescent="0.3"/>
    <row r="53718" s="160" customFormat="1" x14ac:dyDescent="0.3"/>
    <row r="53719" s="160" customFormat="1" x14ac:dyDescent="0.3"/>
    <row r="53720" s="160" customFormat="1" x14ac:dyDescent="0.3"/>
    <row r="53721" s="160" customFormat="1" x14ac:dyDescent="0.3"/>
    <row r="53722" s="160" customFormat="1" x14ac:dyDescent="0.3"/>
    <row r="53723" s="160" customFormat="1" x14ac:dyDescent="0.3"/>
    <row r="53724" s="160" customFormat="1" x14ac:dyDescent="0.3"/>
    <row r="53725" s="160" customFormat="1" x14ac:dyDescent="0.3"/>
    <row r="53726" s="160" customFormat="1" x14ac:dyDescent="0.3"/>
    <row r="53727" s="160" customFormat="1" x14ac:dyDescent="0.3"/>
    <row r="53728" s="160" customFormat="1" x14ac:dyDescent="0.3"/>
    <row r="53729" s="160" customFormat="1" x14ac:dyDescent="0.3"/>
    <row r="53730" s="160" customFormat="1" x14ac:dyDescent="0.3"/>
    <row r="53731" s="160" customFormat="1" x14ac:dyDescent="0.3"/>
    <row r="53732" s="160" customFormat="1" x14ac:dyDescent="0.3"/>
    <row r="53733" s="160" customFormat="1" x14ac:dyDescent="0.3"/>
    <row r="53734" s="160" customFormat="1" x14ac:dyDescent="0.3"/>
    <row r="53735" s="160" customFormat="1" x14ac:dyDescent="0.3"/>
    <row r="53736" s="160" customFormat="1" x14ac:dyDescent="0.3"/>
    <row r="53737" s="160" customFormat="1" x14ac:dyDescent="0.3"/>
    <row r="53738" s="160" customFormat="1" x14ac:dyDescent="0.3"/>
    <row r="53739" s="160" customFormat="1" x14ac:dyDescent="0.3"/>
    <row r="53740" s="160" customFormat="1" x14ac:dyDescent="0.3"/>
    <row r="53741" s="160" customFormat="1" x14ac:dyDescent="0.3"/>
    <row r="53742" s="160" customFormat="1" x14ac:dyDescent="0.3"/>
    <row r="53743" s="160" customFormat="1" x14ac:dyDescent="0.3"/>
    <row r="53744" s="160" customFormat="1" x14ac:dyDescent="0.3"/>
    <row r="53745" s="160" customFormat="1" x14ac:dyDescent="0.3"/>
    <row r="53746" s="160" customFormat="1" x14ac:dyDescent="0.3"/>
    <row r="53747" s="160" customFormat="1" x14ac:dyDescent="0.3"/>
    <row r="53748" s="160" customFormat="1" x14ac:dyDescent="0.3"/>
    <row r="53749" s="160" customFormat="1" x14ac:dyDescent="0.3"/>
    <row r="53750" s="160" customFormat="1" x14ac:dyDescent="0.3"/>
    <row r="53751" s="160" customFormat="1" x14ac:dyDescent="0.3"/>
    <row r="53752" s="160" customFormat="1" x14ac:dyDescent="0.3"/>
    <row r="53753" s="160" customFormat="1" x14ac:dyDescent="0.3"/>
    <row r="53754" s="160" customFormat="1" x14ac:dyDescent="0.3"/>
    <row r="53755" s="160" customFormat="1" x14ac:dyDescent="0.3"/>
    <row r="53756" s="160" customFormat="1" x14ac:dyDescent="0.3"/>
    <row r="53757" s="160" customFormat="1" x14ac:dyDescent="0.3"/>
    <row r="53758" s="160" customFormat="1" x14ac:dyDescent="0.3"/>
    <row r="53759" s="160" customFormat="1" x14ac:dyDescent="0.3"/>
    <row r="53760" s="160" customFormat="1" x14ac:dyDescent="0.3"/>
    <row r="53761" s="160" customFormat="1" x14ac:dyDescent="0.3"/>
    <row r="53762" s="160" customFormat="1" x14ac:dyDescent="0.3"/>
    <row r="53763" s="160" customFormat="1" x14ac:dyDescent="0.3"/>
    <row r="53764" s="160" customFormat="1" x14ac:dyDescent="0.3"/>
    <row r="53765" s="160" customFormat="1" x14ac:dyDescent="0.3"/>
    <row r="53766" s="160" customFormat="1" x14ac:dyDescent="0.3"/>
    <row r="53767" s="160" customFormat="1" x14ac:dyDescent="0.3"/>
    <row r="53768" s="160" customFormat="1" x14ac:dyDescent="0.3"/>
    <row r="53769" s="160" customFormat="1" x14ac:dyDescent="0.3"/>
    <row r="53770" s="160" customFormat="1" x14ac:dyDescent="0.3"/>
    <row r="53771" s="160" customFormat="1" x14ac:dyDescent="0.3"/>
    <row r="53772" s="160" customFormat="1" x14ac:dyDescent="0.3"/>
    <row r="53773" s="160" customFormat="1" x14ac:dyDescent="0.3"/>
    <row r="53774" s="160" customFormat="1" x14ac:dyDescent="0.3"/>
    <row r="53775" s="160" customFormat="1" x14ac:dyDescent="0.3"/>
    <row r="53776" s="160" customFormat="1" x14ac:dyDescent="0.3"/>
    <row r="53777" s="160" customFormat="1" x14ac:dyDescent="0.3"/>
    <row r="53778" s="160" customFormat="1" x14ac:dyDescent="0.3"/>
    <row r="53779" s="160" customFormat="1" x14ac:dyDescent="0.3"/>
    <row r="53780" s="160" customFormat="1" x14ac:dyDescent="0.3"/>
    <row r="53781" s="160" customFormat="1" x14ac:dyDescent="0.3"/>
    <row r="53782" s="160" customFormat="1" x14ac:dyDescent="0.3"/>
    <row r="53783" s="160" customFormat="1" x14ac:dyDescent="0.3"/>
    <row r="53784" s="160" customFormat="1" x14ac:dyDescent="0.3"/>
    <row r="53785" s="160" customFormat="1" x14ac:dyDescent="0.3"/>
    <row r="53786" s="160" customFormat="1" x14ac:dyDescent="0.3"/>
    <row r="53787" s="160" customFormat="1" x14ac:dyDescent="0.3"/>
    <row r="53788" s="160" customFormat="1" x14ac:dyDescent="0.3"/>
    <row r="53789" s="160" customFormat="1" x14ac:dyDescent="0.3"/>
    <row r="53790" s="160" customFormat="1" x14ac:dyDescent="0.3"/>
    <row r="53791" s="160" customFormat="1" x14ac:dyDescent="0.3"/>
    <row r="53792" s="160" customFormat="1" x14ac:dyDescent="0.3"/>
    <row r="53793" s="160" customFormat="1" x14ac:dyDescent="0.3"/>
    <row r="53794" s="160" customFormat="1" x14ac:dyDescent="0.3"/>
    <row r="53795" s="160" customFormat="1" x14ac:dyDescent="0.3"/>
    <row r="53796" s="160" customFormat="1" x14ac:dyDescent="0.3"/>
    <row r="53797" s="160" customFormat="1" x14ac:dyDescent="0.3"/>
    <row r="53798" s="160" customFormat="1" x14ac:dyDescent="0.3"/>
    <row r="53799" s="160" customFormat="1" x14ac:dyDescent="0.3"/>
    <row r="53800" s="160" customFormat="1" x14ac:dyDescent="0.3"/>
    <row r="53801" s="160" customFormat="1" x14ac:dyDescent="0.3"/>
    <row r="53802" s="160" customFormat="1" x14ac:dyDescent="0.3"/>
    <row r="53803" s="160" customFormat="1" x14ac:dyDescent="0.3"/>
    <row r="53804" s="160" customFormat="1" x14ac:dyDescent="0.3"/>
    <row r="53805" s="160" customFormat="1" x14ac:dyDescent="0.3"/>
    <row r="53806" s="160" customFormat="1" x14ac:dyDescent="0.3"/>
    <row r="53807" s="160" customFormat="1" x14ac:dyDescent="0.3"/>
    <row r="53808" s="160" customFormat="1" x14ac:dyDescent="0.3"/>
    <row r="53809" s="160" customFormat="1" x14ac:dyDescent="0.3"/>
    <row r="53810" s="160" customFormat="1" x14ac:dyDescent="0.3"/>
    <row r="53811" s="160" customFormat="1" x14ac:dyDescent="0.3"/>
    <row r="53812" s="160" customFormat="1" x14ac:dyDescent="0.3"/>
    <row r="53813" s="160" customFormat="1" x14ac:dyDescent="0.3"/>
    <row r="53814" s="160" customFormat="1" x14ac:dyDescent="0.3"/>
    <row r="53815" s="160" customFormat="1" x14ac:dyDescent="0.3"/>
    <row r="53816" s="160" customFormat="1" x14ac:dyDescent="0.3"/>
    <row r="53817" s="160" customFormat="1" x14ac:dyDescent="0.3"/>
    <row r="53818" s="160" customFormat="1" x14ac:dyDescent="0.3"/>
    <row r="53819" s="160" customFormat="1" x14ac:dyDescent="0.3"/>
    <row r="53820" s="160" customFormat="1" x14ac:dyDescent="0.3"/>
    <row r="53821" s="160" customFormat="1" x14ac:dyDescent="0.3"/>
    <row r="53822" s="160" customFormat="1" x14ac:dyDescent="0.3"/>
    <row r="53823" s="160" customFormat="1" x14ac:dyDescent="0.3"/>
    <row r="53824" s="160" customFormat="1" x14ac:dyDescent="0.3"/>
    <row r="53825" s="160" customFormat="1" x14ac:dyDescent="0.3"/>
    <row r="53826" s="160" customFormat="1" x14ac:dyDescent="0.3"/>
    <row r="53827" s="160" customFormat="1" x14ac:dyDescent="0.3"/>
    <row r="53828" s="160" customFormat="1" x14ac:dyDescent="0.3"/>
    <row r="53829" s="160" customFormat="1" x14ac:dyDescent="0.3"/>
    <row r="53830" s="160" customFormat="1" x14ac:dyDescent="0.3"/>
    <row r="53831" s="160" customFormat="1" x14ac:dyDescent="0.3"/>
    <row r="53832" s="160" customFormat="1" x14ac:dyDescent="0.3"/>
    <row r="53833" s="160" customFormat="1" x14ac:dyDescent="0.3"/>
    <row r="53834" s="160" customFormat="1" x14ac:dyDescent="0.3"/>
    <row r="53835" s="160" customFormat="1" x14ac:dyDescent="0.3"/>
    <row r="53836" s="160" customFormat="1" x14ac:dyDescent="0.3"/>
    <row r="53837" s="160" customFormat="1" x14ac:dyDescent="0.3"/>
    <row r="53838" s="160" customFormat="1" x14ac:dyDescent="0.3"/>
    <row r="53839" s="160" customFormat="1" x14ac:dyDescent="0.3"/>
    <row r="53840" s="160" customFormat="1" x14ac:dyDescent="0.3"/>
    <row r="53841" s="160" customFormat="1" x14ac:dyDescent="0.3"/>
    <row r="53842" s="160" customFormat="1" x14ac:dyDescent="0.3"/>
    <row r="53843" s="160" customFormat="1" x14ac:dyDescent="0.3"/>
    <row r="53844" s="160" customFormat="1" x14ac:dyDescent="0.3"/>
    <row r="53845" s="160" customFormat="1" x14ac:dyDescent="0.3"/>
    <row r="53846" s="160" customFormat="1" x14ac:dyDescent="0.3"/>
    <row r="53847" s="160" customFormat="1" x14ac:dyDescent="0.3"/>
    <row r="53848" s="160" customFormat="1" x14ac:dyDescent="0.3"/>
    <row r="53849" s="160" customFormat="1" x14ac:dyDescent="0.3"/>
    <row r="53850" s="160" customFormat="1" x14ac:dyDescent="0.3"/>
    <row r="53851" s="160" customFormat="1" x14ac:dyDescent="0.3"/>
    <row r="53852" s="160" customFormat="1" x14ac:dyDescent="0.3"/>
    <row r="53853" s="160" customFormat="1" x14ac:dyDescent="0.3"/>
    <row r="53854" s="160" customFormat="1" x14ac:dyDescent="0.3"/>
    <row r="53855" s="160" customFormat="1" x14ac:dyDescent="0.3"/>
    <row r="53856" s="160" customFormat="1" x14ac:dyDescent="0.3"/>
    <row r="53857" s="160" customFormat="1" x14ac:dyDescent="0.3"/>
    <row r="53858" s="160" customFormat="1" x14ac:dyDescent="0.3"/>
    <row r="53859" s="160" customFormat="1" x14ac:dyDescent="0.3"/>
    <row r="53860" s="160" customFormat="1" x14ac:dyDescent="0.3"/>
    <row r="53861" s="160" customFormat="1" x14ac:dyDescent="0.3"/>
    <row r="53862" s="160" customFormat="1" x14ac:dyDescent="0.3"/>
    <row r="53863" s="160" customFormat="1" x14ac:dyDescent="0.3"/>
    <row r="53864" s="160" customFormat="1" x14ac:dyDescent="0.3"/>
    <row r="53865" s="160" customFormat="1" x14ac:dyDescent="0.3"/>
    <row r="53866" s="160" customFormat="1" x14ac:dyDescent="0.3"/>
    <row r="53867" s="160" customFormat="1" x14ac:dyDescent="0.3"/>
    <row r="53868" s="160" customFormat="1" x14ac:dyDescent="0.3"/>
    <row r="53869" s="160" customFormat="1" x14ac:dyDescent="0.3"/>
    <row r="53870" s="160" customFormat="1" x14ac:dyDescent="0.3"/>
    <row r="53871" s="160" customFormat="1" x14ac:dyDescent="0.3"/>
    <row r="53872" s="160" customFormat="1" x14ac:dyDescent="0.3"/>
    <row r="53873" s="160" customFormat="1" x14ac:dyDescent="0.3"/>
    <row r="53874" s="160" customFormat="1" x14ac:dyDescent="0.3"/>
    <row r="53875" s="160" customFormat="1" x14ac:dyDescent="0.3"/>
    <row r="53876" s="160" customFormat="1" x14ac:dyDescent="0.3"/>
    <row r="53877" s="160" customFormat="1" x14ac:dyDescent="0.3"/>
    <row r="53878" s="160" customFormat="1" x14ac:dyDescent="0.3"/>
    <row r="53879" s="160" customFormat="1" x14ac:dyDescent="0.3"/>
    <row r="53880" s="160" customFormat="1" x14ac:dyDescent="0.3"/>
    <row r="53881" s="160" customFormat="1" x14ac:dyDescent="0.3"/>
    <row r="53882" s="160" customFormat="1" x14ac:dyDescent="0.3"/>
    <row r="53883" s="160" customFormat="1" x14ac:dyDescent="0.3"/>
    <row r="53884" s="160" customFormat="1" x14ac:dyDescent="0.3"/>
    <row r="53885" s="160" customFormat="1" x14ac:dyDescent="0.3"/>
    <row r="53886" s="160" customFormat="1" x14ac:dyDescent="0.3"/>
    <row r="53887" s="160" customFormat="1" x14ac:dyDescent="0.3"/>
    <row r="53888" s="160" customFormat="1" x14ac:dyDescent="0.3"/>
    <row r="53889" s="160" customFormat="1" x14ac:dyDescent="0.3"/>
    <row r="53890" s="160" customFormat="1" x14ac:dyDescent="0.3"/>
    <row r="53891" s="160" customFormat="1" x14ac:dyDescent="0.3"/>
    <row r="53892" s="160" customFormat="1" x14ac:dyDescent="0.3"/>
    <row r="53893" s="160" customFormat="1" x14ac:dyDescent="0.3"/>
    <row r="53894" s="160" customFormat="1" x14ac:dyDescent="0.3"/>
    <row r="53895" s="160" customFormat="1" x14ac:dyDescent="0.3"/>
    <row r="53896" s="160" customFormat="1" x14ac:dyDescent="0.3"/>
    <row r="53897" s="160" customFormat="1" x14ac:dyDescent="0.3"/>
    <row r="53898" s="160" customFormat="1" x14ac:dyDescent="0.3"/>
    <row r="53899" s="160" customFormat="1" x14ac:dyDescent="0.3"/>
    <row r="53900" s="160" customFormat="1" x14ac:dyDescent="0.3"/>
    <row r="53901" s="160" customFormat="1" x14ac:dyDescent="0.3"/>
    <row r="53902" s="160" customFormat="1" x14ac:dyDescent="0.3"/>
    <row r="53903" s="160" customFormat="1" x14ac:dyDescent="0.3"/>
    <row r="53904" s="160" customFormat="1" x14ac:dyDescent="0.3"/>
    <row r="53905" s="160" customFormat="1" x14ac:dyDescent="0.3"/>
    <row r="53906" s="160" customFormat="1" x14ac:dyDescent="0.3"/>
    <row r="53907" s="160" customFormat="1" x14ac:dyDescent="0.3"/>
    <row r="53908" s="160" customFormat="1" x14ac:dyDescent="0.3"/>
    <row r="53909" s="160" customFormat="1" x14ac:dyDescent="0.3"/>
    <row r="53910" s="160" customFormat="1" x14ac:dyDescent="0.3"/>
    <row r="53911" s="160" customFormat="1" x14ac:dyDescent="0.3"/>
    <row r="53912" s="160" customFormat="1" x14ac:dyDescent="0.3"/>
    <row r="53913" s="160" customFormat="1" x14ac:dyDescent="0.3"/>
    <row r="53914" s="160" customFormat="1" x14ac:dyDescent="0.3"/>
    <row r="53915" s="160" customFormat="1" x14ac:dyDescent="0.3"/>
    <row r="53916" s="160" customFormat="1" x14ac:dyDescent="0.3"/>
    <row r="53917" s="160" customFormat="1" x14ac:dyDescent="0.3"/>
    <row r="53918" s="160" customFormat="1" x14ac:dyDescent="0.3"/>
    <row r="53919" s="160" customFormat="1" x14ac:dyDescent="0.3"/>
    <row r="53920" s="160" customFormat="1" x14ac:dyDescent="0.3"/>
    <row r="53921" s="160" customFormat="1" x14ac:dyDescent="0.3"/>
    <row r="53922" s="160" customFormat="1" x14ac:dyDescent="0.3"/>
    <row r="53923" s="160" customFormat="1" x14ac:dyDescent="0.3"/>
    <row r="53924" s="160" customFormat="1" x14ac:dyDescent="0.3"/>
    <row r="53925" s="160" customFormat="1" x14ac:dyDescent="0.3"/>
    <row r="53926" s="160" customFormat="1" x14ac:dyDescent="0.3"/>
    <row r="53927" s="160" customFormat="1" x14ac:dyDescent="0.3"/>
    <row r="53928" s="160" customFormat="1" x14ac:dyDescent="0.3"/>
    <row r="53929" s="160" customFormat="1" x14ac:dyDescent="0.3"/>
    <row r="53930" s="160" customFormat="1" x14ac:dyDescent="0.3"/>
    <row r="53931" s="160" customFormat="1" x14ac:dyDescent="0.3"/>
    <row r="53932" s="160" customFormat="1" x14ac:dyDescent="0.3"/>
    <row r="53933" s="160" customFormat="1" x14ac:dyDescent="0.3"/>
    <row r="53934" s="160" customFormat="1" x14ac:dyDescent="0.3"/>
    <row r="53935" s="160" customFormat="1" x14ac:dyDescent="0.3"/>
    <row r="53936" s="160" customFormat="1" x14ac:dyDescent="0.3"/>
    <row r="53937" s="160" customFormat="1" x14ac:dyDescent="0.3"/>
    <row r="53938" s="160" customFormat="1" x14ac:dyDescent="0.3"/>
    <row r="53939" s="160" customFormat="1" x14ac:dyDescent="0.3"/>
    <row r="53940" s="160" customFormat="1" x14ac:dyDescent="0.3"/>
    <row r="53941" s="160" customFormat="1" x14ac:dyDescent="0.3"/>
    <row r="53942" s="160" customFormat="1" x14ac:dyDescent="0.3"/>
    <row r="53943" s="160" customFormat="1" x14ac:dyDescent="0.3"/>
    <row r="53944" s="160" customFormat="1" x14ac:dyDescent="0.3"/>
    <row r="53945" s="160" customFormat="1" x14ac:dyDescent="0.3"/>
    <row r="53946" s="160" customFormat="1" x14ac:dyDescent="0.3"/>
    <row r="53947" s="160" customFormat="1" x14ac:dyDescent="0.3"/>
    <row r="53948" s="160" customFormat="1" x14ac:dyDescent="0.3"/>
    <row r="53949" s="160" customFormat="1" x14ac:dyDescent="0.3"/>
    <row r="53950" s="160" customFormat="1" x14ac:dyDescent="0.3"/>
    <row r="53951" s="160" customFormat="1" x14ac:dyDescent="0.3"/>
    <row r="53952" s="160" customFormat="1" x14ac:dyDescent="0.3"/>
    <row r="53953" s="160" customFormat="1" x14ac:dyDescent="0.3"/>
    <row r="53954" s="160" customFormat="1" x14ac:dyDescent="0.3"/>
    <row r="53955" s="160" customFormat="1" x14ac:dyDescent="0.3"/>
    <row r="53956" s="160" customFormat="1" x14ac:dyDescent="0.3"/>
    <row r="53957" s="160" customFormat="1" x14ac:dyDescent="0.3"/>
    <row r="53958" s="160" customFormat="1" x14ac:dyDescent="0.3"/>
    <row r="53959" s="160" customFormat="1" x14ac:dyDescent="0.3"/>
    <row r="53960" s="160" customFormat="1" x14ac:dyDescent="0.3"/>
    <row r="53961" s="160" customFormat="1" x14ac:dyDescent="0.3"/>
    <row r="53962" s="160" customFormat="1" x14ac:dyDescent="0.3"/>
    <row r="53963" s="160" customFormat="1" x14ac:dyDescent="0.3"/>
    <row r="53964" s="160" customFormat="1" x14ac:dyDescent="0.3"/>
    <row r="53965" s="160" customFormat="1" x14ac:dyDescent="0.3"/>
    <row r="53966" s="160" customFormat="1" x14ac:dyDescent="0.3"/>
    <row r="53967" s="160" customFormat="1" x14ac:dyDescent="0.3"/>
    <row r="53968" s="160" customFormat="1" x14ac:dyDescent="0.3"/>
    <row r="53969" s="160" customFormat="1" x14ac:dyDescent="0.3"/>
    <row r="53970" s="160" customFormat="1" x14ac:dyDescent="0.3"/>
    <row r="53971" s="160" customFormat="1" x14ac:dyDescent="0.3"/>
    <row r="53972" s="160" customFormat="1" x14ac:dyDescent="0.3"/>
    <row r="53973" s="160" customFormat="1" x14ac:dyDescent="0.3"/>
    <row r="53974" s="160" customFormat="1" x14ac:dyDescent="0.3"/>
    <row r="53975" s="160" customFormat="1" x14ac:dyDescent="0.3"/>
    <row r="53976" s="160" customFormat="1" x14ac:dyDescent="0.3"/>
    <row r="53977" s="160" customFormat="1" x14ac:dyDescent="0.3"/>
    <row r="53978" s="160" customFormat="1" x14ac:dyDescent="0.3"/>
    <row r="53979" s="160" customFormat="1" x14ac:dyDescent="0.3"/>
    <row r="53980" s="160" customFormat="1" x14ac:dyDescent="0.3"/>
    <row r="53981" s="160" customFormat="1" x14ac:dyDescent="0.3"/>
    <row r="53982" s="160" customFormat="1" x14ac:dyDescent="0.3"/>
    <row r="53983" s="160" customFormat="1" x14ac:dyDescent="0.3"/>
    <row r="53984" s="160" customFormat="1" x14ac:dyDescent="0.3"/>
    <row r="53985" s="160" customFormat="1" x14ac:dyDescent="0.3"/>
    <row r="53986" s="160" customFormat="1" x14ac:dyDescent="0.3"/>
    <row r="53987" s="160" customFormat="1" x14ac:dyDescent="0.3"/>
    <row r="53988" s="160" customFormat="1" x14ac:dyDescent="0.3"/>
    <row r="53989" s="160" customFormat="1" x14ac:dyDescent="0.3"/>
    <row r="53990" s="160" customFormat="1" x14ac:dyDescent="0.3"/>
    <row r="53991" s="160" customFormat="1" x14ac:dyDescent="0.3"/>
    <row r="53992" s="160" customFormat="1" x14ac:dyDescent="0.3"/>
    <row r="53993" s="160" customFormat="1" x14ac:dyDescent="0.3"/>
    <row r="53994" s="160" customFormat="1" x14ac:dyDescent="0.3"/>
    <row r="53995" s="160" customFormat="1" x14ac:dyDescent="0.3"/>
    <row r="53996" s="160" customFormat="1" x14ac:dyDescent="0.3"/>
    <row r="53997" s="160" customFormat="1" x14ac:dyDescent="0.3"/>
    <row r="53998" s="160" customFormat="1" x14ac:dyDescent="0.3"/>
    <row r="53999" s="160" customFormat="1" x14ac:dyDescent="0.3"/>
    <row r="54000" s="160" customFormat="1" x14ac:dyDescent="0.3"/>
    <row r="54001" s="160" customFormat="1" x14ac:dyDescent="0.3"/>
    <row r="54002" s="160" customFormat="1" x14ac:dyDescent="0.3"/>
    <row r="54003" s="160" customFormat="1" x14ac:dyDescent="0.3"/>
    <row r="54004" s="160" customFormat="1" x14ac:dyDescent="0.3"/>
    <row r="54005" s="160" customFormat="1" x14ac:dyDescent="0.3"/>
    <row r="54006" s="160" customFormat="1" x14ac:dyDescent="0.3"/>
    <row r="54007" s="160" customFormat="1" x14ac:dyDescent="0.3"/>
    <row r="54008" s="160" customFormat="1" x14ac:dyDescent="0.3"/>
    <row r="54009" s="160" customFormat="1" x14ac:dyDescent="0.3"/>
    <row r="54010" s="160" customFormat="1" x14ac:dyDescent="0.3"/>
    <row r="54011" s="160" customFormat="1" x14ac:dyDescent="0.3"/>
    <row r="54012" s="160" customFormat="1" x14ac:dyDescent="0.3"/>
    <row r="54013" s="160" customFormat="1" x14ac:dyDescent="0.3"/>
    <row r="54014" s="160" customFormat="1" x14ac:dyDescent="0.3"/>
    <row r="54015" s="160" customFormat="1" x14ac:dyDescent="0.3"/>
    <row r="54016" s="160" customFormat="1" x14ac:dyDescent="0.3"/>
    <row r="54017" s="160" customFormat="1" x14ac:dyDescent="0.3"/>
    <row r="54018" s="160" customFormat="1" x14ac:dyDescent="0.3"/>
    <row r="54019" s="160" customFormat="1" x14ac:dyDescent="0.3"/>
    <row r="54020" s="160" customFormat="1" x14ac:dyDescent="0.3"/>
    <row r="54021" s="160" customFormat="1" x14ac:dyDescent="0.3"/>
    <row r="54022" s="160" customFormat="1" x14ac:dyDescent="0.3"/>
    <row r="54023" s="160" customFormat="1" x14ac:dyDescent="0.3"/>
    <row r="54024" s="160" customFormat="1" x14ac:dyDescent="0.3"/>
    <row r="54025" s="160" customFormat="1" x14ac:dyDescent="0.3"/>
    <row r="54026" s="160" customFormat="1" x14ac:dyDescent="0.3"/>
    <row r="54027" s="160" customFormat="1" x14ac:dyDescent="0.3"/>
    <row r="54028" s="160" customFormat="1" x14ac:dyDescent="0.3"/>
    <row r="54029" s="160" customFormat="1" x14ac:dyDescent="0.3"/>
    <row r="54030" s="160" customFormat="1" x14ac:dyDescent="0.3"/>
    <row r="54031" s="160" customFormat="1" x14ac:dyDescent="0.3"/>
    <row r="54032" s="160" customFormat="1" x14ac:dyDescent="0.3"/>
    <row r="54033" s="160" customFormat="1" x14ac:dyDescent="0.3"/>
    <row r="54034" s="160" customFormat="1" x14ac:dyDescent="0.3"/>
    <row r="54035" s="160" customFormat="1" x14ac:dyDescent="0.3"/>
    <row r="54036" s="160" customFormat="1" x14ac:dyDescent="0.3"/>
    <row r="54037" s="160" customFormat="1" x14ac:dyDescent="0.3"/>
    <row r="54038" s="160" customFormat="1" x14ac:dyDescent="0.3"/>
    <row r="54039" s="160" customFormat="1" x14ac:dyDescent="0.3"/>
    <row r="54040" s="160" customFormat="1" x14ac:dyDescent="0.3"/>
    <row r="54041" s="160" customFormat="1" x14ac:dyDescent="0.3"/>
    <row r="54042" s="160" customFormat="1" x14ac:dyDescent="0.3"/>
    <row r="54043" s="160" customFormat="1" x14ac:dyDescent="0.3"/>
    <row r="54044" s="160" customFormat="1" x14ac:dyDescent="0.3"/>
    <row r="54045" s="160" customFormat="1" x14ac:dyDescent="0.3"/>
    <row r="54046" s="160" customFormat="1" x14ac:dyDescent="0.3"/>
    <row r="54047" s="160" customFormat="1" x14ac:dyDescent="0.3"/>
    <row r="54048" s="160" customFormat="1" x14ac:dyDescent="0.3"/>
    <row r="54049" s="160" customFormat="1" x14ac:dyDescent="0.3"/>
    <row r="54050" s="160" customFormat="1" x14ac:dyDescent="0.3"/>
    <row r="54051" s="160" customFormat="1" x14ac:dyDescent="0.3"/>
    <row r="54052" s="160" customFormat="1" x14ac:dyDescent="0.3"/>
    <row r="54053" s="160" customFormat="1" x14ac:dyDescent="0.3"/>
    <row r="54054" s="160" customFormat="1" x14ac:dyDescent="0.3"/>
    <row r="54055" s="160" customFormat="1" x14ac:dyDescent="0.3"/>
    <row r="54056" s="160" customFormat="1" x14ac:dyDescent="0.3"/>
    <row r="54057" s="160" customFormat="1" x14ac:dyDescent="0.3"/>
    <row r="54058" s="160" customFormat="1" x14ac:dyDescent="0.3"/>
    <row r="54059" s="160" customFormat="1" x14ac:dyDescent="0.3"/>
    <row r="54060" s="160" customFormat="1" x14ac:dyDescent="0.3"/>
    <row r="54061" s="160" customFormat="1" x14ac:dyDescent="0.3"/>
    <row r="54062" s="160" customFormat="1" x14ac:dyDescent="0.3"/>
    <row r="54063" s="160" customFormat="1" x14ac:dyDescent="0.3"/>
    <row r="54064" s="160" customFormat="1" x14ac:dyDescent="0.3"/>
    <row r="54065" s="160" customFormat="1" x14ac:dyDescent="0.3"/>
    <row r="54066" s="160" customFormat="1" x14ac:dyDescent="0.3"/>
    <row r="54067" s="160" customFormat="1" x14ac:dyDescent="0.3"/>
    <row r="54068" s="160" customFormat="1" x14ac:dyDescent="0.3"/>
    <row r="54069" s="160" customFormat="1" x14ac:dyDescent="0.3"/>
    <row r="54070" s="160" customFormat="1" x14ac:dyDescent="0.3"/>
    <row r="54071" s="160" customFormat="1" x14ac:dyDescent="0.3"/>
    <row r="54072" s="160" customFormat="1" x14ac:dyDescent="0.3"/>
    <row r="54073" s="160" customFormat="1" x14ac:dyDescent="0.3"/>
    <row r="54074" s="160" customFormat="1" x14ac:dyDescent="0.3"/>
    <row r="54075" s="160" customFormat="1" x14ac:dyDescent="0.3"/>
    <row r="54076" s="160" customFormat="1" x14ac:dyDescent="0.3"/>
    <row r="54077" s="160" customFormat="1" x14ac:dyDescent="0.3"/>
    <row r="54078" s="160" customFormat="1" x14ac:dyDescent="0.3"/>
    <row r="54079" s="160" customFormat="1" x14ac:dyDescent="0.3"/>
    <row r="54080" s="160" customFormat="1" x14ac:dyDescent="0.3"/>
    <row r="54081" s="160" customFormat="1" x14ac:dyDescent="0.3"/>
    <row r="54082" s="160" customFormat="1" x14ac:dyDescent="0.3"/>
    <row r="54083" s="160" customFormat="1" x14ac:dyDescent="0.3"/>
    <row r="54084" s="160" customFormat="1" x14ac:dyDescent="0.3"/>
    <row r="54085" s="160" customFormat="1" x14ac:dyDescent="0.3"/>
    <row r="54086" s="160" customFormat="1" x14ac:dyDescent="0.3"/>
    <row r="54087" s="160" customFormat="1" x14ac:dyDescent="0.3"/>
    <row r="54088" s="160" customFormat="1" x14ac:dyDescent="0.3"/>
    <row r="54089" s="160" customFormat="1" x14ac:dyDescent="0.3"/>
    <row r="54090" s="160" customFormat="1" x14ac:dyDescent="0.3"/>
    <row r="54091" s="160" customFormat="1" x14ac:dyDescent="0.3"/>
    <row r="54092" s="160" customFormat="1" x14ac:dyDescent="0.3"/>
    <row r="54093" s="160" customFormat="1" x14ac:dyDescent="0.3"/>
    <row r="54094" s="160" customFormat="1" x14ac:dyDescent="0.3"/>
    <row r="54095" s="160" customFormat="1" x14ac:dyDescent="0.3"/>
    <row r="54096" s="160" customFormat="1" x14ac:dyDescent="0.3"/>
    <row r="54097" s="160" customFormat="1" x14ac:dyDescent="0.3"/>
    <row r="54098" s="160" customFormat="1" x14ac:dyDescent="0.3"/>
    <row r="54099" s="160" customFormat="1" x14ac:dyDescent="0.3"/>
    <row r="54100" s="160" customFormat="1" x14ac:dyDescent="0.3"/>
    <row r="54101" s="160" customFormat="1" x14ac:dyDescent="0.3"/>
    <row r="54102" s="160" customFormat="1" x14ac:dyDescent="0.3"/>
    <row r="54103" s="160" customFormat="1" x14ac:dyDescent="0.3"/>
    <row r="54104" s="160" customFormat="1" x14ac:dyDescent="0.3"/>
    <row r="54105" s="160" customFormat="1" x14ac:dyDescent="0.3"/>
    <row r="54106" s="160" customFormat="1" x14ac:dyDescent="0.3"/>
    <row r="54107" s="160" customFormat="1" x14ac:dyDescent="0.3"/>
    <row r="54108" s="160" customFormat="1" x14ac:dyDescent="0.3"/>
    <row r="54109" s="160" customFormat="1" x14ac:dyDescent="0.3"/>
    <row r="54110" s="160" customFormat="1" x14ac:dyDescent="0.3"/>
    <row r="54111" s="160" customFormat="1" x14ac:dyDescent="0.3"/>
    <row r="54112" s="160" customFormat="1" x14ac:dyDescent="0.3"/>
    <row r="54113" s="160" customFormat="1" x14ac:dyDescent="0.3"/>
    <row r="54114" s="160" customFormat="1" x14ac:dyDescent="0.3"/>
    <row r="54115" s="160" customFormat="1" x14ac:dyDescent="0.3"/>
    <row r="54116" s="160" customFormat="1" x14ac:dyDescent="0.3"/>
    <row r="54117" s="160" customFormat="1" x14ac:dyDescent="0.3"/>
    <row r="54118" s="160" customFormat="1" x14ac:dyDescent="0.3"/>
    <row r="54119" s="160" customFormat="1" x14ac:dyDescent="0.3"/>
    <row r="54120" s="160" customFormat="1" x14ac:dyDescent="0.3"/>
    <row r="54121" s="160" customFormat="1" x14ac:dyDescent="0.3"/>
    <row r="54122" s="160" customFormat="1" x14ac:dyDescent="0.3"/>
    <row r="54123" s="160" customFormat="1" x14ac:dyDescent="0.3"/>
    <row r="54124" s="160" customFormat="1" x14ac:dyDescent="0.3"/>
    <row r="54125" s="160" customFormat="1" x14ac:dyDescent="0.3"/>
    <row r="54126" s="160" customFormat="1" x14ac:dyDescent="0.3"/>
    <row r="54127" s="160" customFormat="1" x14ac:dyDescent="0.3"/>
    <row r="54128" s="160" customFormat="1" x14ac:dyDescent="0.3"/>
    <row r="54129" s="160" customFormat="1" x14ac:dyDescent="0.3"/>
    <row r="54130" s="160" customFormat="1" x14ac:dyDescent="0.3"/>
    <row r="54131" s="160" customFormat="1" x14ac:dyDescent="0.3"/>
    <row r="54132" s="160" customFormat="1" x14ac:dyDescent="0.3"/>
    <row r="54133" s="160" customFormat="1" x14ac:dyDescent="0.3"/>
    <row r="54134" s="160" customFormat="1" x14ac:dyDescent="0.3"/>
    <row r="54135" s="160" customFormat="1" x14ac:dyDescent="0.3"/>
    <row r="54136" s="160" customFormat="1" x14ac:dyDescent="0.3"/>
    <row r="54137" s="160" customFormat="1" x14ac:dyDescent="0.3"/>
    <row r="54138" s="160" customFormat="1" x14ac:dyDescent="0.3"/>
    <row r="54139" s="160" customFormat="1" x14ac:dyDescent="0.3"/>
    <row r="54140" s="160" customFormat="1" x14ac:dyDescent="0.3"/>
    <row r="54141" s="160" customFormat="1" x14ac:dyDescent="0.3"/>
    <row r="54142" s="160" customFormat="1" x14ac:dyDescent="0.3"/>
    <row r="54143" s="160" customFormat="1" x14ac:dyDescent="0.3"/>
    <row r="54144" s="160" customFormat="1" x14ac:dyDescent="0.3"/>
    <row r="54145" s="160" customFormat="1" x14ac:dyDescent="0.3"/>
    <row r="54146" s="160" customFormat="1" x14ac:dyDescent="0.3"/>
    <row r="54147" s="160" customFormat="1" x14ac:dyDescent="0.3"/>
    <row r="54148" s="160" customFormat="1" x14ac:dyDescent="0.3"/>
    <row r="54149" s="160" customFormat="1" x14ac:dyDescent="0.3"/>
    <row r="54150" s="160" customFormat="1" x14ac:dyDescent="0.3"/>
    <row r="54151" s="160" customFormat="1" x14ac:dyDescent="0.3"/>
    <row r="54152" s="160" customFormat="1" x14ac:dyDescent="0.3"/>
    <row r="54153" s="160" customFormat="1" x14ac:dyDescent="0.3"/>
    <row r="54154" s="160" customFormat="1" x14ac:dyDescent="0.3"/>
    <row r="54155" s="160" customFormat="1" x14ac:dyDescent="0.3"/>
    <row r="54156" s="160" customFormat="1" x14ac:dyDescent="0.3"/>
    <row r="54157" s="160" customFormat="1" x14ac:dyDescent="0.3"/>
    <row r="54158" s="160" customFormat="1" x14ac:dyDescent="0.3"/>
    <row r="54159" s="160" customFormat="1" x14ac:dyDescent="0.3"/>
    <row r="54160" s="160" customFormat="1" x14ac:dyDescent="0.3"/>
    <row r="54161" s="160" customFormat="1" x14ac:dyDescent="0.3"/>
    <row r="54162" s="160" customFormat="1" x14ac:dyDescent="0.3"/>
    <row r="54163" s="160" customFormat="1" x14ac:dyDescent="0.3"/>
    <row r="54164" s="160" customFormat="1" x14ac:dyDescent="0.3"/>
    <row r="54165" s="160" customFormat="1" x14ac:dyDescent="0.3"/>
    <row r="54166" s="160" customFormat="1" x14ac:dyDescent="0.3"/>
    <row r="54167" s="160" customFormat="1" x14ac:dyDescent="0.3"/>
    <row r="54168" s="160" customFormat="1" x14ac:dyDescent="0.3"/>
    <row r="54169" s="160" customFormat="1" x14ac:dyDescent="0.3"/>
    <row r="54170" s="160" customFormat="1" x14ac:dyDescent="0.3"/>
    <row r="54171" s="160" customFormat="1" x14ac:dyDescent="0.3"/>
    <row r="54172" s="160" customFormat="1" x14ac:dyDescent="0.3"/>
    <row r="54173" s="160" customFormat="1" x14ac:dyDescent="0.3"/>
    <row r="54174" s="160" customFormat="1" x14ac:dyDescent="0.3"/>
    <row r="54175" s="160" customFormat="1" x14ac:dyDescent="0.3"/>
    <row r="54176" s="160" customFormat="1" x14ac:dyDescent="0.3"/>
    <row r="54177" s="160" customFormat="1" x14ac:dyDescent="0.3"/>
    <row r="54178" s="160" customFormat="1" x14ac:dyDescent="0.3"/>
    <row r="54179" s="160" customFormat="1" x14ac:dyDescent="0.3"/>
    <row r="54180" s="160" customFormat="1" x14ac:dyDescent="0.3"/>
    <row r="54181" s="160" customFormat="1" x14ac:dyDescent="0.3"/>
    <row r="54182" s="160" customFormat="1" x14ac:dyDescent="0.3"/>
    <row r="54183" s="160" customFormat="1" x14ac:dyDescent="0.3"/>
    <row r="54184" s="160" customFormat="1" x14ac:dyDescent="0.3"/>
    <row r="54185" s="160" customFormat="1" x14ac:dyDescent="0.3"/>
    <row r="54186" s="160" customFormat="1" x14ac:dyDescent="0.3"/>
    <row r="54187" s="160" customFormat="1" x14ac:dyDescent="0.3"/>
    <row r="54188" s="160" customFormat="1" x14ac:dyDescent="0.3"/>
    <row r="54189" s="160" customFormat="1" x14ac:dyDescent="0.3"/>
    <row r="54190" s="160" customFormat="1" x14ac:dyDescent="0.3"/>
    <row r="54191" s="160" customFormat="1" x14ac:dyDescent="0.3"/>
    <row r="54192" s="160" customFormat="1" x14ac:dyDescent="0.3"/>
    <row r="54193" s="160" customFormat="1" x14ac:dyDescent="0.3"/>
    <row r="54194" s="160" customFormat="1" x14ac:dyDescent="0.3"/>
    <row r="54195" s="160" customFormat="1" x14ac:dyDescent="0.3"/>
    <row r="54196" s="160" customFormat="1" x14ac:dyDescent="0.3"/>
    <row r="54197" s="160" customFormat="1" x14ac:dyDescent="0.3"/>
    <row r="54198" s="160" customFormat="1" x14ac:dyDescent="0.3"/>
    <row r="54199" s="160" customFormat="1" x14ac:dyDescent="0.3"/>
    <row r="54200" s="160" customFormat="1" x14ac:dyDescent="0.3"/>
    <row r="54201" s="160" customFormat="1" x14ac:dyDescent="0.3"/>
    <row r="54202" s="160" customFormat="1" x14ac:dyDescent="0.3"/>
    <row r="54203" s="160" customFormat="1" x14ac:dyDescent="0.3"/>
    <row r="54204" s="160" customFormat="1" x14ac:dyDescent="0.3"/>
    <row r="54205" s="160" customFormat="1" x14ac:dyDescent="0.3"/>
    <row r="54206" s="160" customFormat="1" x14ac:dyDescent="0.3"/>
    <row r="54207" s="160" customFormat="1" x14ac:dyDescent="0.3"/>
    <row r="54208" s="160" customFormat="1" x14ac:dyDescent="0.3"/>
    <row r="54209" s="160" customFormat="1" x14ac:dyDescent="0.3"/>
    <row r="54210" s="160" customFormat="1" x14ac:dyDescent="0.3"/>
    <row r="54211" s="160" customFormat="1" x14ac:dyDescent="0.3"/>
    <row r="54212" s="160" customFormat="1" x14ac:dyDescent="0.3"/>
    <row r="54213" s="160" customFormat="1" x14ac:dyDescent="0.3"/>
    <row r="54214" s="160" customFormat="1" x14ac:dyDescent="0.3"/>
    <row r="54215" s="160" customFormat="1" x14ac:dyDescent="0.3"/>
    <row r="54216" s="160" customFormat="1" x14ac:dyDescent="0.3"/>
    <row r="54217" s="160" customFormat="1" x14ac:dyDescent="0.3"/>
    <row r="54218" s="160" customFormat="1" x14ac:dyDescent="0.3"/>
    <row r="54219" s="160" customFormat="1" x14ac:dyDescent="0.3"/>
    <row r="54220" s="160" customFormat="1" x14ac:dyDescent="0.3"/>
    <row r="54221" s="160" customFormat="1" x14ac:dyDescent="0.3"/>
    <row r="54222" s="160" customFormat="1" x14ac:dyDescent="0.3"/>
    <row r="54223" s="160" customFormat="1" x14ac:dyDescent="0.3"/>
    <row r="54224" s="160" customFormat="1" x14ac:dyDescent="0.3"/>
    <row r="54225" s="160" customFormat="1" x14ac:dyDescent="0.3"/>
    <row r="54226" s="160" customFormat="1" x14ac:dyDescent="0.3"/>
    <row r="54227" s="160" customFormat="1" x14ac:dyDescent="0.3"/>
    <row r="54228" s="160" customFormat="1" x14ac:dyDescent="0.3"/>
    <row r="54229" s="160" customFormat="1" x14ac:dyDescent="0.3"/>
    <row r="54230" s="160" customFormat="1" x14ac:dyDescent="0.3"/>
    <row r="54231" s="160" customFormat="1" x14ac:dyDescent="0.3"/>
    <row r="54232" s="160" customFormat="1" x14ac:dyDescent="0.3"/>
    <row r="54233" s="160" customFormat="1" x14ac:dyDescent="0.3"/>
    <row r="54234" s="160" customFormat="1" x14ac:dyDescent="0.3"/>
    <row r="54235" s="160" customFormat="1" x14ac:dyDescent="0.3"/>
    <row r="54236" s="160" customFormat="1" x14ac:dyDescent="0.3"/>
    <row r="54237" s="160" customFormat="1" x14ac:dyDescent="0.3"/>
    <row r="54238" s="160" customFormat="1" x14ac:dyDescent="0.3"/>
    <row r="54239" s="160" customFormat="1" x14ac:dyDescent="0.3"/>
    <row r="54240" s="160" customFormat="1" x14ac:dyDescent="0.3"/>
    <row r="54241" s="160" customFormat="1" x14ac:dyDescent="0.3"/>
    <row r="54242" s="160" customFormat="1" x14ac:dyDescent="0.3"/>
    <row r="54243" s="160" customFormat="1" x14ac:dyDescent="0.3"/>
    <row r="54244" s="160" customFormat="1" x14ac:dyDescent="0.3"/>
    <row r="54245" s="160" customFormat="1" x14ac:dyDescent="0.3"/>
    <row r="54246" s="160" customFormat="1" x14ac:dyDescent="0.3"/>
    <row r="54247" s="160" customFormat="1" x14ac:dyDescent="0.3"/>
    <row r="54248" s="160" customFormat="1" x14ac:dyDescent="0.3"/>
    <row r="54249" s="160" customFormat="1" x14ac:dyDescent="0.3"/>
    <row r="54250" s="160" customFormat="1" x14ac:dyDescent="0.3"/>
    <row r="54251" s="160" customFormat="1" x14ac:dyDescent="0.3"/>
    <row r="54252" s="160" customFormat="1" x14ac:dyDescent="0.3"/>
    <row r="54253" s="160" customFormat="1" x14ac:dyDescent="0.3"/>
    <row r="54254" s="160" customFormat="1" x14ac:dyDescent="0.3"/>
    <row r="54255" s="160" customFormat="1" x14ac:dyDescent="0.3"/>
    <row r="54256" s="160" customFormat="1" x14ac:dyDescent="0.3"/>
    <row r="54257" s="160" customFormat="1" x14ac:dyDescent="0.3"/>
    <row r="54258" s="160" customFormat="1" x14ac:dyDescent="0.3"/>
    <row r="54259" s="160" customFormat="1" x14ac:dyDescent="0.3"/>
    <row r="54260" s="160" customFormat="1" x14ac:dyDescent="0.3"/>
    <row r="54261" s="160" customFormat="1" x14ac:dyDescent="0.3"/>
    <row r="54262" s="160" customFormat="1" x14ac:dyDescent="0.3"/>
    <row r="54263" s="160" customFormat="1" x14ac:dyDescent="0.3"/>
    <row r="54264" s="160" customFormat="1" x14ac:dyDescent="0.3"/>
    <row r="54265" s="160" customFormat="1" x14ac:dyDescent="0.3"/>
    <row r="54266" s="160" customFormat="1" x14ac:dyDescent="0.3"/>
    <row r="54267" s="160" customFormat="1" x14ac:dyDescent="0.3"/>
    <row r="54268" s="160" customFormat="1" x14ac:dyDescent="0.3"/>
    <row r="54269" s="160" customFormat="1" x14ac:dyDescent="0.3"/>
    <row r="54270" s="160" customFormat="1" x14ac:dyDescent="0.3"/>
    <row r="54271" s="160" customFormat="1" x14ac:dyDescent="0.3"/>
    <row r="54272" s="160" customFormat="1" x14ac:dyDescent="0.3"/>
    <row r="54273" s="160" customFormat="1" x14ac:dyDescent="0.3"/>
    <row r="54274" s="160" customFormat="1" x14ac:dyDescent="0.3"/>
    <row r="54275" s="160" customFormat="1" x14ac:dyDescent="0.3"/>
    <row r="54276" s="160" customFormat="1" x14ac:dyDescent="0.3"/>
    <row r="54277" s="160" customFormat="1" x14ac:dyDescent="0.3"/>
    <row r="54278" s="160" customFormat="1" x14ac:dyDescent="0.3"/>
    <row r="54279" s="160" customFormat="1" x14ac:dyDescent="0.3"/>
    <row r="54280" s="160" customFormat="1" x14ac:dyDescent="0.3"/>
    <row r="54281" s="160" customFormat="1" x14ac:dyDescent="0.3"/>
    <row r="54282" s="160" customFormat="1" x14ac:dyDescent="0.3"/>
    <row r="54283" s="160" customFormat="1" x14ac:dyDescent="0.3"/>
    <row r="54284" s="160" customFormat="1" x14ac:dyDescent="0.3"/>
    <row r="54285" s="160" customFormat="1" x14ac:dyDescent="0.3"/>
    <row r="54286" s="160" customFormat="1" x14ac:dyDescent="0.3"/>
    <row r="54287" s="160" customFormat="1" x14ac:dyDescent="0.3"/>
    <row r="54288" s="160" customFormat="1" x14ac:dyDescent="0.3"/>
    <row r="54289" s="160" customFormat="1" x14ac:dyDescent="0.3"/>
    <row r="54290" s="160" customFormat="1" x14ac:dyDescent="0.3"/>
    <row r="54291" s="160" customFormat="1" x14ac:dyDescent="0.3"/>
    <row r="54292" s="160" customFormat="1" x14ac:dyDescent="0.3"/>
    <row r="54293" s="160" customFormat="1" x14ac:dyDescent="0.3"/>
    <row r="54294" s="160" customFormat="1" x14ac:dyDescent="0.3"/>
    <row r="54295" s="160" customFormat="1" x14ac:dyDescent="0.3"/>
    <row r="54296" s="160" customFormat="1" x14ac:dyDescent="0.3"/>
    <row r="54297" s="160" customFormat="1" x14ac:dyDescent="0.3"/>
    <row r="54298" s="160" customFormat="1" x14ac:dyDescent="0.3"/>
    <row r="54299" s="160" customFormat="1" x14ac:dyDescent="0.3"/>
    <row r="54300" s="160" customFormat="1" x14ac:dyDescent="0.3"/>
    <row r="54301" s="160" customFormat="1" x14ac:dyDescent="0.3"/>
    <row r="54302" s="160" customFormat="1" x14ac:dyDescent="0.3"/>
    <row r="54303" s="160" customFormat="1" x14ac:dyDescent="0.3"/>
    <row r="54304" s="160" customFormat="1" x14ac:dyDescent="0.3"/>
    <row r="54305" s="160" customFormat="1" x14ac:dyDescent="0.3"/>
    <row r="54306" s="160" customFormat="1" x14ac:dyDescent="0.3"/>
    <row r="54307" s="160" customFormat="1" x14ac:dyDescent="0.3"/>
    <row r="54308" s="160" customFormat="1" x14ac:dyDescent="0.3"/>
    <row r="54309" s="160" customFormat="1" x14ac:dyDescent="0.3"/>
    <row r="54310" s="160" customFormat="1" x14ac:dyDescent="0.3"/>
    <row r="54311" s="160" customFormat="1" x14ac:dyDescent="0.3"/>
    <row r="54312" s="160" customFormat="1" x14ac:dyDescent="0.3"/>
    <row r="54313" s="160" customFormat="1" x14ac:dyDescent="0.3"/>
    <row r="54314" s="160" customFormat="1" x14ac:dyDescent="0.3"/>
    <row r="54315" s="160" customFormat="1" x14ac:dyDescent="0.3"/>
    <row r="54316" s="160" customFormat="1" x14ac:dyDescent="0.3"/>
    <row r="54317" s="160" customFormat="1" x14ac:dyDescent="0.3"/>
    <row r="54318" s="160" customFormat="1" x14ac:dyDescent="0.3"/>
    <row r="54319" s="160" customFormat="1" x14ac:dyDescent="0.3"/>
    <row r="54320" s="160" customFormat="1" x14ac:dyDescent="0.3"/>
    <row r="54321" s="160" customFormat="1" x14ac:dyDescent="0.3"/>
    <row r="54322" s="160" customFormat="1" x14ac:dyDescent="0.3"/>
    <row r="54323" s="160" customFormat="1" x14ac:dyDescent="0.3"/>
    <row r="54324" s="160" customFormat="1" x14ac:dyDescent="0.3"/>
    <row r="54325" s="160" customFormat="1" x14ac:dyDescent="0.3"/>
    <row r="54326" s="160" customFormat="1" x14ac:dyDescent="0.3"/>
    <row r="54327" s="160" customFormat="1" x14ac:dyDescent="0.3"/>
    <row r="54328" s="160" customFormat="1" x14ac:dyDescent="0.3"/>
    <row r="54329" s="160" customFormat="1" x14ac:dyDescent="0.3"/>
    <row r="54330" s="160" customFormat="1" x14ac:dyDescent="0.3"/>
    <row r="54331" s="160" customFormat="1" x14ac:dyDescent="0.3"/>
    <row r="54332" s="160" customFormat="1" x14ac:dyDescent="0.3"/>
    <row r="54333" s="160" customFormat="1" x14ac:dyDescent="0.3"/>
    <row r="54334" s="160" customFormat="1" x14ac:dyDescent="0.3"/>
    <row r="54335" s="160" customFormat="1" x14ac:dyDescent="0.3"/>
    <row r="54336" s="160" customFormat="1" x14ac:dyDescent="0.3"/>
    <row r="54337" s="160" customFormat="1" x14ac:dyDescent="0.3"/>
    <row r="54338" s="160" customFormat="1" x14ac:dyDescent="0.3"/>
    <row r="54339" s="160" customFormat="1" x14ac:dyDescent="0.3"/>
    <row r="54340" s="160" customFormat="1" x14ac:dyDescent="0.3"/>
    <row r="54341" s="160" customFormat="1" x14ac:dyDescent="0.3"/>
    <row r="54342" s="160" customFormat="1" x14ac:dyDescent="0.3"/>
    <row r="54343" s="160" customFormat="1" x14ac:dyDescent="0.3"/>
    <row r="54344" s="160" customFormat="1" x14ac:dyDescent="0.3"/>
    <row r="54345" s="160" customFormat="1" x14ac:dyDescent="0.3"/>
    <row r="54346" s="160" customFormat="1" x14ac:dyDescent="0.3"/>
    <row r="54347" s="160" customFormat="1" x14ac:dyDescent="0.3"/>
    <row r="54348" s="160" customFormat="1" x14ac:dyDescent="0.3"/>
    <row r="54349" s="160" customFormat="1" x14ac:dyDescent="0.3"/>
    <row r="54350" s="160" customFormat="1" x14ac:dyDescent="0.3"/>
    <row r="54351" s="160" customFormat="1" x14ac:dyDescent="0.3"/>
    <row r="54352" s="160" customFormat="1" x14ac:dyDescent="0.3"/>
    <row r="54353" s="160" customFormat="1" x14ac:dyDescent="0.3"/>
    <row r="54354" s="160" customFormat="1" x14ac:dyDescent="0.3"/>
    <row r="54355" s="160" customFormat="1" x14ac:dyDescent="0.3"/>
    <row r="54356" s="160" customFormat="1" x14ac:dyDescent="0.3"/>
    <row r="54357" s="160" customFormat="1" x14ac:dyDescent="0.3"/>
    <row r="54358" s="160" customFormat="1" x14ac:dyDescent="0.3"/>
    <row r="54359" s="160" customFormat="1" x14ac:dyDescent="0.3"/>
    <row r="54360" s="160" customFormat="1" x14ac:dyDescent="0.3"/>
    <row r="54361" s="160" customFormat="1" x14ac:dyDescent="0.3"/>
    <row r="54362" s="160" customFormat="1" x14ac:dyDescent="0.3"/>
    <row r="54363" s="160" customFormat="1" x14ac:dyDescent="0.3"/>
    <row r="54364" s="160" customFormat="1" x14ac:dyDescent="0.3"/>
    <row r="54365" s="160" customFormat="1" x14ac:dyDescent="0.3"/>
    <row r="54366" s="160" customFormat="1" x14ac:dyDescent="0.3"/>
    <row r="54367" s="160" customFormat="1" x14ac:dyDescent="0.3"/>
    <row r="54368" s="160" customFormat="1" x14ac:dyDescent="0.3"/>
    <row r="54369" s="160" customFormat="1" x14ac:dyDescent="0.3"/>
    <row r="54370" s="160" customFormat="1" x14ac:dyDescent="0.3"/>
    <row r="54371" s="160" customFormat="1" x14ac:dyDescent="0.3"/>
    <row r="54372" s="160" customFormat="1" x14ac:dyDescent="0.3"/>
    <row r="54373" s="160" customFormat="1" x14ac:dyDescent="0.3"/>
    <row r="54374" s="160" customFormat="1" x14ac:dyDescent="0.3"/>
    <row r="54375" s="160" customFormat="1" x14ac:dyDescent="0.3"/>
    <row r="54376" s="160" customFormat="1" x14ac:dyDescent="0.3"/>
    <row r="54377" s="160" customFormat="1" x14ac:dyDescent="0.3"/>
    <row r="54378" s="160" customFormat="1" x14ac:dyDescent="0.3"/>
    <row r="54379" s="160" customFormat="1" x14ac:dyDescent="0.3"/>
    <row r="54380" s="160" customFormat="1" x14ac:dyDescent="0.3"/>
    <row r="54381" s="160" customFormat="1" x14ac:dyDescent="0.3"/>
    <row r="54382" s="160" customFormat="1" x14ac:dyDescent="0.3"/>
    <row r="54383" s="160" customFormat="1" x14ac:dyDescent="0.3"/>
    <row r="54384" s="160" customFormat="1" x14ac:dyDescent="0.3"/>
    <row r="54385" s="160" customFormat="1" x14ac:dyDescent="0.3"/>
    <row r="54386" s="160" customFormat="1" x14ac:dyDescent="0.3"/>
    <row r="54387" s="160" customFormat="1" x14ac:dyDescent="0.3"/>
    <row r="54388" s="160" customFormat="1" x14ac:dyDescent="0.3"/>
    <row r="54389" s="160" customFormat="1" x14ac:dyDescent="0.3"/>
    <row r="54390" s="160" customFormat="1" x14ac:dyDescent="0.3"/>
    <row r="54391" s="160" customFormat="1" x14ac:dyDescent="0.3"/>
    <row r="54392" s="160" customFormat="1" x14ac:dyDescent="0.3"/>
    <row r="54393" s="160" customFormat="1" x14ac:dyDescent="0.3"/>
    <row r="54394" s="160" customFormat="1" x14ac:dyDescent="0.3"/>
    <row r="54395" s="160" customFormat="1" x14ac:dyDescent="0.3"/>
    <row r="54396" s="160" customFormat="1" x14ac:dyDescent="0.3"/>
    <row r="54397" s="160" customFormat="1" x14ac:dyDescent="0.3"/>
    <row r="54398" s="160" customFormat="1" x14ac:dyDescent="0.3"/>
    <row r="54399" s="160" customFormat="1" x14ac:dyDescent="0.3"/>
    <row r="54400" s="160" customFormat="1" x14ac:dyDescent="0.3"/>
    <row r="54401" s="160" customFormat="1" x14ac:dyDescent="0.3"/>
    <row r="54402" s="160" customFormat="1" x14ac:dyDescent="0.3"/>
    <row r="54403" s="160" customFormat="1" x14ac:dyDescent="0.3"/>
    <row r="54404" s="160" customFormat="1" x14ac:dyDescent="0.3"/>
    <row r="54405" s="160" customFormat="1" x14ac:dyDescent="0.3"/>
    <row r="54406" s="160" customFormat="1" x14ac:dyDescent="0.3"/>
    <row r="54407" s="160" customFormat="1" x14ac:dyDescent="0.3"/>
    <row r="54408" s="160" customFormat="1" x14ac:dyDescent="0.3"/>
    <row r="54409" s="160" customFormat="1" x14ac:dyDescent="0.3"/>
    <row r="54410" s="160" customFormat="1" x14ac:dyDescent="0.3"/>
    <row r="54411" s="160" customFormat="1" x14ac:dyDescent="0.3"/>
    <row r="54412" s="160" customFormat="1" x14ac:dyDescent="0.3"/>
    <row r="54413" s="160" customFormat="1" x14ac:dyDescent="0.3"/>
    <row r="54414" s="160" customFormat="1" x14ac:dyDescent="0.3"/>
    <row r="54415" s="160" customFormat="1" x14ac:dyDescent="0.3"/>
    <row r="54416" s="160" customFormat="1" x14ac:dyDescent="0.3"/>
    <row r="54417" s="160" customFormat="1" x14ac:dyDescent="0.3"/>
    <row r="54418" s="160" customFormat="1" x14ac:dyDescent="0.3"/>
    <row r="54419" s="160" customFormat="1" x14ac:dyDescent="0.3"/>
    <row r="54420" s="160" customFormat="1" x14ac:dyDescent="0.3"/>
    <row r="54421" s="160" customFormat="1" x14ac:dyDescent="0.3"/>
    <row r="54422" s="160" customFormat="1" x14ac:dyDescent="0.3"/>
    <row r="54423" s="160" customFormat="1" x14ac:dyDescent="0.3"/>
    <row r="54424" s="160" customFormat="1" x14ac:dyDescent="0.3"/>
    <row r="54425" s="160" customFormat="1" x14ac:dyDescent="0.3"/>
    <row r="54426" s="160" customFormat="1" x14ac:dyDescent="0.3"/>
    <row r="54427" s="160" customFormat="1" x14ac:dyDescent="0.3"/>
    <row r="54428" s="160" customFormat="1" x14ac:dyDescent="0.3"/>
    <row r="54429" s="160" customFormat="1" x14ac:dyDescent="0.3"/>
    <row r="54430" s="160" customFormat="1" x14ac:dyDescent="0.3"/>
    <row r="54431" s="160" customFormat="1" x14ac:dyDescent="0.3"/>
    <row r="54432" s="160" customFormat="1" x14ac:dyDescent="0.3"/>
    <row r="54433" s="160" customFormat="1" x14ac:dyDescent="0.3"/>
    <row r="54434" s="160" customFormat="1" x14ac:dyDescent="0.3"/>
    <row r="54435" s="160" customFormat="1" x14ac:dyDescent="0.3"/>
    <row r="54436" s="160" customFormat="1" x14ac:dyDescent="0.3"/>
    <row r="54437" s="160" customFormat="1" x14ac:dyDescent="0.3"/>
    <row r="54438" s="160" customFormat="1" x14ac:dyDescent="0.3"/>
    <row r="54439" s="160" customFormat="1" x14ac:dyDescent="0.3"/>
    <row r="54440" s="160" customFormat="1" x14ac:dyDescent="0.3"/>
    <row r="54441" s="160" customFormat="1" x14ac:dyDescent="0.3"/>
    <row r="54442" s="160" customFormat="1" x14ac:dyDescent="0.3"/>
    <row r="54443" s="160" customFormat="1" x14ac:dyDescent="0.3"/>
    <row r="54444" s="160" customFormat="1" x14ac:dyDescent="0.3"/>
    <row r="54445" s="160" customFormat="1" x14ac:dyDescent="0.3"/>
    <row r="54446" s="160" customFormat="1" x14ac:dyDescent="0.3"/>
    <row r="54447" s="160" customFormat="1" x14ac:dyDescent="0.3"/>
    <row r="54448" s="160" customFormat="1" x14ac:dyDescent="0.3"/>
    <row r="54449" s="160" customFormat="1" x14ac:dyDescent="0.3"/>
    <row r="54450" s="160" customFormat="1" x14ac:dyDescent="0.3"/>
    <row r="54451" s="160" customFormat="1" x14ac:dyDescent="0.3"/>
    <row r="54452" s="160" customFormat="1" x14ac:dyDescent="0.3"/>
    <row r="54453" s="160" customFormat="1" x14ac:dyDescent="0.3"/>
    <row r="54454" s="160" customFormat="1" x14ac:dyDescent="0.3"/>
    <row r="54455" s="160" customFormat="1" x14ac:dyDescent="0.3"/>
    <row r="54456" s="160" customFormat="1" x14ac:dyDescent="0.3"/>
    <row r="54457" s="160" customFormat="1" x14ac:dyDescent="0.3"/>
    <row r="54458" s="160" customFormat="1" x14ac:dyDescent="0.3"/>
    <row r="54459" s="160" customFormat="1" x14ac:dyDescent="0.3"/>
    <row r="54460" s="160" customFormat="1" x14ac:dyDescent="0.3"/>
    <row r="54461" s="160" customFormat="1" x14ac:dyDescent="0.3"/>
    <row r="54462" s="160" customFormat="1" x14ac:dyDescent="0.3"/>
    <row r="54463" s="160" customFormat="1" x14ac:dyDescent="0.3"/>
    <row r="54464" s="160" customFormat="1" x14ac:dyDescent="0.3"/>
    <row r="54465" s="160" customFormat="1" x14ac:dyDescent="0.3"/>
    <row r="54466" s="160" customFormat="1" x14ac:dyDescent="0.3"/>
    <row r="54467" s="160" customFormat="1" x14ac:dyDescent="0.3"/>
    <row r="54468" s="160" customFormat="1" x14ac:dyDescent="0.3"/>
    <row r="54469" s="160" customFormat="1" x14ac:dyDescent="0.3"/>
    <row r="54470" s="160" customFormat="1" x14ac:dyDescent="0.3"/>
    <row r="54471" s="160" customFormat="1" x14ac:dyDescent="0.3"/>
    <row r="54472" s="160" customFormat="1" x14ac:dyDescent="0.3"/>
    <row r="54473" s="160" customFormat="1" x14ac:dyDescent="0.3"/>
    <row r="54474" s="160" customFormat="1" x14ac:dyDescent="0.3"/>
    <row r="54475" s="160" customFormat="1" x14ac:dyDescent="0.3"/>
    <row r="54476" s="160" customFormat="1" x14ac:dyDescent="0.3"/>
    <row r="54477" s="160" customFormat="1" x14ac:dyDescent="0.3"/>
    <row r="54478" s="160" customFormat="1" x14ac:dyDescent="0.3"/>
    <row r="54479" s="160" customFormat="1" x14ac:dyDescent="0.3"/>
    <row r="54480" s="160" customFormat="1" x14ac:dyDescent="0.3"/>
    <row r="54481" s="160" customFormat="1" x14ac:dyDescent="0.3"/>
    <row r="54482" s="160" customFormat="1" x14ac:dyDescent="0.3"/>
    <row r="54483" s="160" customFormat="1" x14ac:dyDescent="0.3"/>
    <row r="54484" s="160" customFormat="1" x14ac:dyDescent="0.3"/>
    <row r="54485" s="160" customFormat="1" x14ac:dyDescent="0.3"/>
    <row r="54486" s="160" customFormat="1" x14ac:dyDescent="0.3"/>
    <row r="54487" s="160" customFormat="1" x14ac:dyDescent="0.3"/>
    <row r="54488" s="160" customFormat="1" x14ac:dyDescent="0.3"/>
    <row r="54489" s="160" customFormat="1" x14ac:dyDescent="0.3"/>
    <row r="54490" s="160" customFormat="1" x14ac:dyDescent="0.3"/>
    <row r="54491" s="160" customFormat="1" x14ac:dyDescent="0.3"/>
    <row r="54492" s="160" customFormat="1" x14ac:dyDescent="0.3"/>
    <row r="54493" s="160" customFormat="1" x14ac:dyDescent="0.3"/>
    <row r="54494" s="160" customFormat="1" x14ac:dyDescent="0.3"/>
    <row r="54495" s="160" customFormat="1" x14ac:dyDescent="0.3"/>
    <row r="54496" s="160" customFormat="1" x14ac:dyDescent="0.3"/>
    <row r="54497" s="160" customFormat="1" x14ac:dyDescent="0.3"/>
    <row r="54498" s="160" customFormat="1" x14ac:dyDescent="0.3"/>
    <row r="54499" s="160" customFormat="1" x14ac:dyDescent="0.3"/>
    <row r="54500" s="160" customFormat="1" x14ac:dyDescent="0.3"/>
    <row r="54501" s="160" customFormat="1" x14ac:dyDescent="0.3"/>
    <row r="54502" s="160" customFormat="1" x14ac:dyDescent="0.3"/>
    <row r="54503" s="160" customFormat="1" x14ac:dyDescent="0.3"/>
    <row r="54504" s="160" customFormat="1" x14ac:dyDescent="0.3"/>
    <row r="54505" s="160" customFormat="1" x14ac:dyDescent="0.3"/>
    <row r="54506" s="160" customFormat="1" x14ac:dyDescent="0.3"/>
    <row r="54507" s="160" customFormat="1" x14ac:dyDescent="0.3"/>
    <row r="54508" s="160" customFormat="1" x14ac:dyDescent="0.3"/>
    <row r="54509" s="160" customFormat="1" x14ac:dyDescent="0.3"/>
    <row r="54510" s="160" customFormat="1" x14ac:dyDescent="0.3"/>
    <row r="54511" s="160" customFormat="1" x14ac:dyDescent="0.3"/>
    <row r="54512" s="160" customFormat="1" x14ac:dyDescent="0.3"/>
    <row r="54513" s="160" customFormat="1" x14ac:dyDescent="0.3"/>
    <row r="54514" s="160" customFormat="1" x14ac:dyDescent="0.3"/>
    <row r="54515" s="160" customFormat="1" x14ac:dyDescent="0.3"/>
    <row r="54516" s="160" customFormat="1" x14ac:dyDescent="0.3"/>
    <row r="54517" s="160" customFormat="1" x14ac:dyDescent="0.3"/>
    <row r="54518" s="160" customFormat="1" x14ac:dyDescent="0.3"/>
    <row r="54519" s="160" customFormat="1" x14ac:dyDescent="0.3"/>
    <row r="54520" s="160" customFormat="1" x14ac:dyDescent="0.3"/>
    <row r="54521" s="160" customFormat="1" x14ac:dyDescent="0.3"/>
    <row r="54522" s="160" customFormat="1" x14ac:dyDescent="0.3"/>
    <row r="54523" s="160" customFormat="1" x14ac:dyDescent="0.3"/>
    <row r="54524" s="160" customFormat="1" x14ac:dyDescent="0.3"/>
    <row r="54525" s="160" customFormat="1" x14ac:dyDescent="0.3"/>
    <row r="54526" s="160" customFormat="1" x14ac:dyDescent="0.3"/>
    <row r="54527" s="160" customFormat="1" x14ac:dyDescent="0.3"/>
    <row r="54528" s="160" customFormat="1" x14ac:dyDescent="0.3"/>
    <row r="54529" s="160" customFormat="1" x14ac:dyDescent="0.3"/>
    <row r="54530" s="160" customFormat="1" x14ac:dyDescent="0.3"/>
    <row r="54531" s="160" customFormat="1" x14ac:dyDescent="0.3"/>
    <row r="54532" s="160" customFormat="1" x14ac:dyDescent="0.3"/>
    <row r="54533" s="160" customFormat="1" x14ac:dyDescent="0.3"/>
    <row r="54534" s="160" customFormat="1" x14ac:dyDescent="0.3"/>
    <row r="54535" s="160" customFormat="1" x14ac:dyDescent="0.3"/>
    <row r="54536" s="160" customFormat="1" x14ac:dyDescent="0.3"/>
    <row r="54537" s="160" customFormat="1" x14ac:dyDescent="0.3"/>
    <row r="54538" s="160" customFormat="1" x14ac:dyDescent="0.3"/>
    <row r="54539" s="160" customFormat="1" x14ac:dyDescent="0.3"/>
    <row r="54540" s="160" customFormat="1" x14ac:dyDescent="0.3"/>
    <row r="54541" s="160" customFormat="1" x14ac:dyDescent="0.3"/>
    <row r="54542" s="160" customFormat="1" x14ac:dyDescent="0.3"/>
    <row r="54543" s="160" customFormat="1" x14ac:dyDescent="0.3"/>
    <row r="54544" s="160" customFormat="1" x14ac:dyDescent="0.3"/>
    <row r="54545" s="160" customFormat="1" x14ac:dyDescent="0.3"/>
    <row r="54546" s="160" customFormat="1" x14ac:dyDescent="0.3"/>
    <row r="54547" s="160" customFormat="1" x14ac:dyDescent="0.3"/>
    <row r="54548" s="160" customFormat="1" x14ac:dyDescent="0.3"/>
    <row r="54549" s="160" customFormat="1" x14ac:dyDescent="0.3"/>
    <row r="54550" s="160" customFormat="1" x14ac:dyDescent="0.3"/>
    <row r="54551" s="160" customFormat="1" x14ac:dyDescent="0.3"/>
    <row r="54552" s="160" customFormat="1" x14ac:dyDescent="0.3"/>
    <row r="54553" s="160" customFormat="1" x14ac:dyDescent="0.3"/>
    <row r="54554" s="160" customFormat="1" x14ac:dyDescent="0.3"/>
    <row r="54555" s="160" customFormat="1" x14ac:dyDescent="0.3"/>
    <row r="54556" s="160" customFormat="1" x14ac:dyDescent="0.3"/>
    <row r="54557" s="160" customFormat="1" x14ac:dyDescent="0.3"/>
    <row r="54558" s="160" customFormat="1" x14ac:dyDescent="0.3"/>
    <row r="54559" s="160" customFormat="1" x14ac:dyDescent="0.3"/>
    <row r="54560" s="160" customFormat="1" x14ac:dyDescent="0.3"/>
    <row r="54561" s="160" customFormat="1" x14ac:dyDescent="0.3"/>
    <row r="54562" s="160" customFormat="1" x14ac:dyDescent="0.3"/>
    <row r="54563" s="160" customFormat="1" x14ac:dyDescent="0.3"/>
    <row r="54564" s="160" customFormat="1" x14ac:dyDescent="0.3"/>
    <row r="54565" s="160" customFormat="1" x14ac:dyDescent="0.3"/>
    <row r="54566" s="160" customFormat="1" x14ac:dyDescent="0.3"/>
    <row r="54567" s="160" customFormat="1" x14ac:dyDescent="0.3"/>
    <row r="54568" s="160" customFormat="1" x14ac:dyDescent="0.3"/>
    <row r="54569" s="160" customFormat="1" x14ac:dyDescent="0.3"/>
    <row r="54570" s="160" customFormat="1" x14ac:dyDescent="0.3"/>
    <row r="54571" s="160" customFormat="1" x14ac:dyDescent="0.3"/>
    <row r="54572" s="160" customFormat="1" x14ac:dyDescent="0.3"/>
    <row r="54573" s="160" customFormat="1" x14ac:dyDescent="0.3"/>
    <row r="54574" s="160" customFormat="1" x14ac:dyDescent="0.3"/>
    <row r="54575" s="160" customFormat="1" x14ac:dyDescent="0.3"/>
    <row r="54576" s="160" customFormat="1" x14ac:dyDescent="0.3"/>
    <row r="54577" s="160" customFormat="1" x14ac:dyDescent="0.3"/>
    <row r="54578" s="160" customFormat="1" x14ac:dyDescent="0.3"/>
    <row r="54579" s="160" customFormat="1" x14ac:dyDescent="0.3"/>
    <row r="54580" s="160" customFormat="1" x14ac:dyDescent="0.3"/>
    <row r="54581" s="160" customFormat="1" x14ac:dyDescent="0.3"/>
    <row r="54582" s="160" customFormat="1" x14ac:dyDescent="0.3"/>
    <row r="54583" s="160" customFormat="1" x14ac:dyDescent="0.3"/>
    <row r="54584" s="160" customFormat="1" x14ac:dyDescent="0.3"/>
    <row r="54585" s="160" customFormat="1" x14ac:dyDescent="0.3"/>
    <row r="54586" s="160" customFormat="1" x14ac:dyDescent="0.3"/>
    <row r="54587" s="160" customFormat="1" x14ac:dyDescent="0.3"/>
    <row r="54588" s="160" customFormat="1" x14ac:dyDescent="0.3"/>
    <row r="54589" s="160" customFormat="1" x14ac:dyDescent="0.3"/>
    <row r="54590" s="160" customFormat="1" x14ac:dyDescent="0.3"/>
    <row r="54591" s="160" customFormat="1" x14ac:dyDescent="0.3"/>
    <row r="54592" s="160" customFormat="1" x14ac:dyDescent="0.3"/>
    <row r="54593" s="160" customFormat="1" x14ac:dyDescent="0.3"/>
    <row r="54594" s="160" customFormat="1" x14ac:dyDescent="0.3"/>
    <row r="54595" s="160" customFormat="1" x14ac:dyDescent="0.3"/>
    <row r="54596" s="160" customFormat="1" x14ac:dyDescent="0.3"/>
    <row r="54597" s="160" customFormat="1" x14ac:dyDescent="0.3"/>
    <row r="54598" s="160" customFormat="1" x14ac:dyDescent="0.3"/>
    <row r="54599" s="160" customFormat="1" x14ac:dyDescent="0.3"/>
    <row r="54600" s="160" customFormat="1" x14ac:dyDescent="0.3"/>
    <row r="54601" s="160" customFormat="1" x14ac:dyDescent="0.3"/>
    <row r="54602" s="160" customFormat="1" x14ac:dyDescent="0.3"/>
    <row r="54603" s="160" customFormat="1" x14ac:dyDescent="0.3"/>
    <row r="54604" s="160" customFormat="1" x14ac:dyDescent="0.3"/>
    <row r="54605" s="160" customFormat="1" x14ac:dyDescent="0.3"/>
    <row r="54606" s="160" customFormat="1" x14ac:dyDescent="0.3"/>
    <row r="54607" s="160" customFormat="1" x14ac:dyDescent="0.3"/>
    <row r="54608" s="160" customFormat="1" x14ac:dyDescent="0.3"/>
    <row r="54609" s="160" customFormat="1" x14ac:dyDescent="0.3"/>
    <row r="54610" s="160" customFormat="1" x14ac:dyDescent="0.3"/>
    <row r="54611" s="160" customFormat="1" x14ac:dyDescent="0.3"/>
    <row r="54612" s="160" customFormat="1" x14ac:dyDescent="0.3"/>
    <row r="54613" s="160" customFormat="1" x14ac:dyDescent="0.3"/>
    <row r="54614" s="160" customFormat="1" x14ac:dyDescent="0.3"/>
    <row r="54615" s="160" customFormat="1" x14ac:dyDescent="0.3"/>
    <row r="54616" s="160" customFormat="1" x14ac:dyDescent="0.3"/>
    <row r="54617" s="160" customFormat="1" x14ac:dyDescent="0.3"/>
    <row r="54618" s="160" customFormat="1" x14ac:dyDescent="0.3"/>
    <row r="54619" s="160" customFormat="1" x14ac:dyDescent="0.3"/>
    <row r="54620" s="160" customFormat="1" x14ac:dyDescent="0.3"/>
    <row r="54621" s="160" customFormat="1" x14ac:dyDescent="0.3"/>
    <row r="54622" s="160" customFormat="1" x14ac:dyDescent="0.3"/>
    <row r="54623" s="160" customFormat="1" x14ac:dyDescent="0.3"/>
    <row r="54624" s="160" customFormat="1" x14ac:dyDescent="0.3"/>
    <row r="54625" s="160" customFormat="1" x14ac:dyDescent="0.3"/>
    <row r="54626" s="160" customFormat="1" x14ac:dyDescent="0.3"/>
    <row r="54627" s="160" customFormat="1" x14ac:dyDescent="0.3"/>
    <row r="54628" s="160" customFormat="1" x14ac:dyDescent="0.3"/>
    <row r="54629" s="160" customFormat="1" x14ac:dyDescent="0.3"/>
    <row r="54630" s="160" customFormat="1" x14ac:dyDescent="0.3"/>
    <row r="54631" s="160" customFormat="1" x14ac:dyDescent="0.3"/>
    <row r="54632" s="160" customFormat="1" x14ac:dyDescent="0.3"/>
    <row r="54633" s="160" customFormat="1" x14ac:dyDescent="0.3"/>
    <row r="54634" s="160" customFormat="1" x14ac:dyDescent="0.3"/>
    <row r="54635" s="160" customFormat="1" x14ac:dyDescent="0.3"/>
    <row r="54636" s="160" customFormat="1" x14ac:dyDescent="0.3"/>
    <row r="54637" s="160" customFormat="1" x14ac:dyDescent="0.3"/>
    <row r="54638" s="160" customFormat="1" x14ac:dyDescent="0.3"/>
    <row r="54639" s="160" customFormat="1" x14ac:dyDescent="0.3"/>
    <row r="54640" s="160" customFormat="1" x14ac:dyDescent="0.3"/>
    <row r="54641" s="160" customFormat="1" x14ac:dyDescent="0.3"/>
    <row r="54642" s="160" customFormat="1" x14ac:dyDescent="0.3"/>
    <row r="54643" s="160" customFormat="1" x14ac:dyDescent="0.3"/>
    <row r="54644" s="160" customFormat="1" x14ac:dyDescent="0.3"/>
    <row r="54645" s="160" customFormat="1" x14ac:dyDescent="0.3"/>
    <row r="54646" s="160" customFormat="1" x14ac:dyDescent="0.3"/>
    <row r="54647" s="160" customFormat="1" x14ac:dyDescent="0.3"/>
    <row r="54648" s="160" customFormat="1" x14ac:dyDescent="0.3"/>
    <row r="54649" s="160" customFormat="1" x14ac:dyDescent="0.3"/>
    <row r="54650" s="160" customFormat="1" x14ac:dyDescent="0.3"/>
    <row r="54651" s="160" customFormat="1" x14ac:dyDescent="0.3"/>
    <row r="54652" s="160" customFormat="1" x14ac:dyDescent="0.3"/>
    <row r="54653" s="160" customFormat="1" x14ac:dyDescent="0.3"/>
    <row r="54654" s="160" customFormat="1" x14ac:dyDescent="0.3"/>
    <row r="54655" s="160" customFormat="1" x14ac:dyDescent="0.3"/>
    <row r="54656" s="160" customFormat="1" x14ac:dyDescent="0.3"/>
    <row r="54657" s="160" customFormat="1" x14ac:dyDescent="0.3"/>
    <row r="54658" s="160" customFormat="1" x14ac:dyDescent="0.3"/>
    <row r="54659" s="160" customFormat="1" x14ac:dyDescent="0.3"/>
    <row r="54660" s="160" customFormat="1" x14ac:dyDescent="0.3"/>
    <row r="54661" s="160" customFormat="1" x14ac:dyDescent="0.3"/>
    <row r="54662" s="160" customFormat="1" x14ac:dyDescent="0.3"/>
    <row r="54663" s="160" customFormat="1" x14ac:dyDescent="0.3"/>
    <row r="54664" s="160" customFormat="1" x14ac:dyDescent="0.3"/>
    <row r="54665" s="160" customFormat="1" x14ac:dyDescent="0.3"/>
    <row r="54666" s="160" customFormat="1" x14ac:dyDescent="0.3"/>
    <row r="54667" s="160" customFormat="1" x14ac:dyDescent="0.3"/>
    <row r="54668" s="160" customFormat="1" x14ac:dyDescent="0.3"/>
    <row r="54669" s="160" customFormat="1" x14ac:dyDescent="0.3"/>
    <row r="54670" s="160" customFormat="1" x14ac:dyDescent="0.3"/>
    <row r="54671" s="160" customFormat="1" x14ac:dyDescent="0.3"/>
    <row r="54672" s="160" customFormat="1" x14ac:dyDescent="0.3"/>
    <row r="54673" s="160" customFormat="1" x14ac:dyDescent="0.3"/>
    <row r="54674" s="160" customFormat="1" x14ac:dyDescent="0.3"/>
    <row r="54675" s="160" customFormat="1" x14ac:dyDescent="0.3"/>
    <row r="54676" s="160" customFormat="1" x14ac:dyDescent="0.3"/>
    <row r="54677" s="160" customFormat="1" x14ac:dyDescent="0.3"/>
    <row r="54678" s="160" customFormat="1" x14ac:dyDescent="0.3"/>
    <row r="54679" s="160" customFormat="1" x14ac:dyDescent="0.3"/>
    <row r="54680" s="160" customFormat="1" x14ac:dyDescent="0.3"/>
    <row r="54681" s="160" customFormat="1" x14ac:dyDescent="0.3"/>
    <row r="54682" s="160" customFormat="1" x14ac:dyDescent="0.3"/>
    <row r="54683" s="160" customFormat="1" x14ac:dyDescent="0.3"/>
    <row r="54684" s="160" customFormat="1" x14ac:dyDescent="0.3"/>
    <row r="54685" s="160" customFormat="1" x14ac:dyDescent="0.3"/>
    <row r="54686" s="160" customFormat="1" x14ac:dyDescent="0.3"/>
    <row r="54687" s="160" customFormat="1" x14ac:dyDescent="0.3"/>
    <row r="54688" s="160" customFormat="1" x14ac:dyDescent="0.3"/>
    <row r="54689" s="160" customFormat="1" x14ac:dyDescent="0.3"/>
    <row r="54690" s="160" customFormat="1" x14ac:dyDescent="0.3"/>
    <row r="54691" s="160" customFormat="1" x14ac:dyDescent="0.3"/>
    <row r="54692" s="160" customFormat="1" x14ac:dyDescent="0.3"/>
    <row r="54693" s="160" customFormat="1" x14ac:dyDescent="0.3"/>
    <row r="54694" s="160" customFormat="1" x14ac:dyDescent="0.3"/>
    <row r="54695" s="160" customFormat="1" x14ac:dyDescent="0.3"/>
    <row r="54696" s="160" customFormat="1" x14ac:dyDescent="0.3"/>
    <row r="54697" s="160" customFormat="1" x14ac:dyDescent="0.3"/>
    <row r="54698" s="160" customFormat="1" x14ac:dyDescent="0.3"/>
    <row r="54699" s="160" customFormat="1" x14ac:dyDescent="0.3"/>
    <row r="54700" s="160" customFormat="1" x14ac:dyDescent="0.3"/>
    <row r="54701" s="160" customFormat="1" x14ac:dyDescent="0.3"/>
    <row r="54702" s="160" customFormat="1" x14ac:dyDescent="0.3"/>
    <row r="54703" s="160" customFormat="1" x14ac:dyDescent="0.3"/>
    <row r="54704" s="160" customFormat="1" x14ac:dyDescent="0.3"/>
    <row r="54705" s="160" customFormat="1" x14ac:dyDescent="0.3"/>
    <row r="54706" s="160" customFormat="1" x14ac:dyDescent="0.3"/>
    <row r="54707" s="160" customFormat="1" x14ac:dyDescent="0.3"/>
    <row r="54708" s="160" customFormat="1" x14ac:dyDescent="0.3"/>
    <row r="54709" s="160" customFormat="1" x14ac:dyDescent="0.3"/>
    <row r="54710" s="160" customFormat="1" x14ac:dyDescent="0.3"/>
    <row r="54711" s="160" customFormat="1" x14ac:dyDescent="0.3"/>
    <row r="54712" s="160" customFormat="1" x14ac:dyDescent="0.3"/>
    <row r="54713" s="160" customFormat="1" x14ac:dyDescent="0.3"/>
    <row r="54714" s="160" customFormat="1" x14ac:dyDescent="0.3"/>
    <row r="54715" s="160" customFormat="1" x14ac:dyDescent="0.3"/>
    <row r="54716" s="160" customFormat="1" x14ac:dyDescent="0.3"/>
    <row r="54717" s="160" customFormat="1" x14ac:dyDescent="0.3"/>
    <row r="54718" s="160" customFormat="1" x14ac:dyDescent="0.3"/>
    <row r="54719" s="160" customFormat="1" x14ac:dyDescent="0.3"/>
    <row r="54720" s="160" customFormat="1" x14ac:dyDescent="0.3"/>
    <row r="54721" s="160" customFormat="1" x14ac:dyDescent="0.3"/>
    <row r="54722" s="160" customFormat="1" x14ac:dyDescent="0.3"/>
    <row r="54723" s="160" customFormat="1" x14ac:dyDescent="0.3"/>
    <row r="54724" s="160" customFormat="1" x14ac:dyDescent="0.3"/>
    <row r="54725" s="160" customFormat="1" x14ac:dyDescent="0.3"/>
    <row r="54726" s="160" customFormat="1" x14ac:dyDescent="0.3"/>
    <row r="54727" s="160" customFormat="1" x14ac:dyDescent="0.3"/>
    <row r="54728" s="160" customFormat="1" x14ac:dyDescent="0.3"/>
    <row r="54729" s="160" customFormat="1" x14ac:dyDescent="0.3"/>
    <row r="54730" s="160" customFormat="1" x14ac:dyDescent="0.3"/>
    <row r="54731" s="160" customFormat="1" x14ac:dyDescent="0.3"/>
    <row r="54732" s="160" customFormat="1" x14ac:dyDescent="0.3"/>
    <row r="54733" s="160" customFormat="1" x14ac:dyDescent="0.3"/>
    <row r="54734" s="160" customFormat="1" x14ac:dyDescent="0.3"/>
    <row r="54735" s="160" customFormat="1" x14ac:dyDescent="0.3"/>
    <row r="54736" s="160" customFormat="1" x14ac:dyDescent="0.3"/>
    <row r="54737" s="160" customFormat="1" x14ac:dyDescent="0.3"/>
    <row r="54738" s="160" customFormat="1" x14ac:dyDescent="0.3"/>
    <row r="54739" s="160" customFormat="1" x14ac:dyDescent="0.3"/>
    <row r="54740" s="160" customFormat="1" x14ac:dyDescent="0.3"/>
    <row r="54741" s="160" customFormat="1" x14ac:dyDescent="0.3"/>
    <row r="54742" s="160" customFormat="1" x14ac:dyDescent="0.3"/>
    <row r="54743" s="160" customFormat="1" x14ac:dyDescent="0.3"/>
    <row r="54744" s="160" customFormat="1" x14ac:dyDescent="0.3"/>
    <row r="54745" s="160" customFormat="1" x14ac:dyDescent="0.3"/>
    <row r="54746" s="160" customFormat="1" x14ac:dyDescent="0.3"/>
    <row r="54747" s="160" customFormat="1" x14ac:dyDescent="0.3"/>
    <row r="54748" s="160" customFormat="1" x14ac:dyDescent="0.3"/>
    <row r="54749" s="160" customFormat="1" x14ac:dyDescent="0.3"/>
    <row r="54750" s="160" customFormat="1" x14ac:dyDescent="0.3"/>
    <row r="54751" s="160" customFormat="1" x14ac:dyDescent="0.3"/>
    <row r="54752" s="160" customFormat="1" x14ac:dyDescent="0.3"/>
    <row r="54753" s="160" customFormat="1" x14ac:dyDescent="0.3"/>
    <row r="54754" s="160" customFormat="1" x14ac:dyDescent="0.3"/>
    <row r="54755" s="160" customFormat="1" x14ac:dyDescent="0.3"/>
    <row r="54756" s="160" customFormat="1" x14ac:dyDescent="0.3"/>
    <row r="54757" s="160" customFormat="1" x14ac:dyDescent="0.3"/>
    <row r="54758" s="160" customFormat="1" x14ac:dyDescent="0.3"/>
    <row r="54759" s="160" customFormat="1" x14ac:dyDescent="0.3"/>
    <row r="54760" s="160" customFormat="1" x14ac:dyDescent="0.3"/>
    <row r="54761" s="160" customFormat="1" x14ac:dyDescent="0.3"/>
    <row r="54762" s="160" customFormat="1" x14ac:dyDescent="0.3"/>
    <row r="54763" s="160" customFormat="1" x14ac:dyDescent="0.3"/>
    <row r="54764" s="160" customFormat="1" x14ac:dyDescent="0.3"/>
    <row r="54765" s="160" customFormat="1" x14ac:dyDescent="0.3"/>
    <row r="54766" s="160" customFormat="1" x14ac:dyDescent="0.3"/>
    <row r="54767" s="160" customFormat="1" x14ac:dyDescent="0.3"/>
    <row r="54768" s="160" customFormat="1" x14ac:dyDescent="0.3"/>
    <row r="54769" s="160" customFormat="1" x14ac:dyDescent="0.3"/>
    <row r="54770" s="160" customFormat="1" x14ac:dyDescent="0.3"/>
    <row r="54771" s="160" customFormat="1" x14ac:dyDescent="0.3"/>
    <row r="54772" s="160" customFormat="1" x14ac:dyDescent="0.3"/>
    <row r="54773" s="160" customFormat="1" x14ac:dyDescent="0.3"/>
    <row r="54774" s="160" customFormat="1" x14ac:dyDescent="0.3"/>
    <row r="54775" s="160" customFormat="1" x14ac:dyDescent="0.3"/>
    <row r="54776" s="160" customFormat="1" x14ac:dyDescent="0.3"/>
    <row r="54777" s="160" customFormat="1" x14ac:dyDescent="0.3"/>
    <row r="54778" s="160" customFormat="1" x14ac:dyDescent="0.3"/>
    <row r="54779" s="160" customFormat="1" x14ac:dyDescent="0.3"/>
    <row r="54780" s="160" customFormat="1" x14ac:dyDescent="0.3"/>
    <row r="54781" s="160" customFormat="1" x14ac:dyDescent="0.3"/>
    <row r="54782" s="160" customFormat="1" x14ac:dyDescent="0.3"/>
    <row r="54783" s="160" customFormat="1" x14ac:dyDescent="0.3"/>
    <row r="54784" s="160" customFormat="1" x14ac:dyDescent="0.3"/>
    <row r="54785" s="160" customFormat="1" x14ac:dyDescent="0.3"/>
    <row r="54786" s="160" customFormat="1" x14ac:dyDescent="0.3"/>
    <row r="54787" s="160" customFormat="1" x14ac:dyDescent="0.3"/>
    <row r="54788" s="160" customFormat="1" x14ac:dyDescent="0.3"/>
    <row r="54789" s="160" customFormat="1" x14ac:dyDescent="0.3"/>
    <row r="54790" s="160" customFormat="1" x14ac:dyDescent="0.3"/>
    <row r="54791" s="160" customFormat="1" x14ac:dyDescent="0.3"/>
    <row r="54792" s="160" customFormat="1" x14ac:dyDescent="0.3"/>
    <row r="54793" s="160" customFormat="1" x14ac:dyDescent="0.3"/>
    <row r="54794" s="160" customFormat="1" x14ac:dyDescent="0.3"/>
    <row r="54795" s="160" customFormat="1" x14ac:dyDescent="0.3"/>
    <row r="54796" s="160" customFormat="1" x14ac:dyDescent="0.3"/>
    <row r="54797" s="160" customFormat="1" x14ac:dyDescent="0.3"/>
    <row r="54798" s="160" customFormat="1" x14ac:dyDescent="0.3"/>
    <row r="54799" s="160" customFormat="1" x14ac:dyDescent="0.3"/>
    <row r="54800" s="160" customFormat="1" x14ac:dyDescent="0.3"/>
    <row r="54801" s="160" customFormat="1" x14ac:dyDescent="0.3"/>
    <row r="54802" s="160" customFormat="1" x14ac:dyDescent="0.3"/>
    <row r="54803" s="160" customFormat="1" x14ac:dyDescent="0.3"/>
    <row r="54804" s="160" customFormat="1" x14ac:dyDescent="0.3"/>
    <row r="54805" s="160" customFormat="1" x14ac:dyDescent="0.3"/>
    <row r="54806" s="160" customFormat="1" x14ac:dyDescent="0.3"/>
    <row r="54807" s="160" customFormat="1" x14ac:dyDescent="0.3"/>
    <row r="54808" s="160" customFormat="1" x14ac:dyDescent="0.3"/>
    <row r="54809" s="160" customFormat="1" x14ac:dyDescent="0.3"/>
    <row r="54810" s="160" customFormat="1" x14ac:dyDescent="0.3"/>
    <row r="54811" s="160" customFormat="1" x14ac:dyDescent="0.3"/>
    <row r="54812" s="160" customFormat="1" x14ac:dyDescent="0.3"/>
    <row r="54813" s="160" customFormat="1" x14ac:dyDescent="0.3"/>
    <row r="54814" s="160" customFormat="1" x14ac:dyDescent="0.3"/>
    <row r="54815" s="160" customFormat="1" x14ac:dyDescent="0.3"/>
    <row r="54816" s="160" customFormat="1" x14ac:dyDescent="0.3"/>
    <row r="54817" s="160" customFormat="1" x14ac:dyDescent="0.3"/>
    <row r="54818" s="160" customFormat="1" x14ac:dyDescent="0.3"/>
    <row r="54819" s="160" customFormat="1" x14ac:dyDescent="0.3"/>
    <row r="54820" s="160" customFormat="1" x14ac:dyDescent="0.3"/>
    <row r="54821" s="160" customFormat="1" x14ac:dyDescent="0.3"/>
    <row r="54822" s="160" customFormat="1" x14ac:dyDescent="0.3"/>
    <row r="54823" s="160" customFormat="1" x14ac:dyDescent="0.3"/>
    <row r="54824" s="160" customFormat="1" x14ac:dyDescent="0.3"/>
    <row r="54825" s="160" customFormat="1" x14ac:dyDescent="0.3"/>
    <row r="54826" s="160" customFormat="1" x14ac:dyDescent="0.3"/>
    <row r="54827" s="160" customFormat="1" x14ac:dyDescent="0.3"/>
    <row r="54828" s="160" customFormat="1" x14ac:dyDescent="0.3"/>
    <row r="54829" s="160" customFormat="1" x14ac:dyDescent="0.3"/>
    <row r="54830" s="160" customFormat="1" x14ac:dyDescent="0.3"/>
    <row r="54831" s="160" customFormat="1" x14ac:dyDescent="0.3"/>
    <row r="54832" s="160" customFormat="1" x14ac:dyDescent="0.3"/>
    <row r="54833" s="160" customFormat="1" x14ac:dyDescent="0.3"/>
    <row r="54834" s="160" customFormat="1" x14ac:dyDescent="0.3"/>
    <row r="54835" s="160" customFormat="1" x14ac:dyDescent="0.3"/>
    <row r="54836" s="160" customFormat="1" x14ac:dyDescent="0.3"/>
    <row r="54837" s="160" customFormat="1" x14ac:dyDescent="0.3"/>
    <row r="54838" s="160" customFormat="1" x14ac:dyDescent="0.3"/>
    <row r="54839" s="160" customFormat="1" x14ac:dyDescent="0.3"/>
    <row r="54840" s="160" customFormat="1" x14ac:dyDescent="0.3"/>
    <row r="54841" s="160" customFormat="1" x14ac:dyDescent="0.3"/>
    <row r="54842" s="160" customFormat="1" x14ac:dyDescent="0.3"/>
    <row r="54843" s="160" customFormat="1" x14ac:dyDescent="0.3"/>
    <row r="54844" s="160" customFormat="1" x14ac:dyDescent="0.3"/>
    <row r="54845" s="160" customFormat="1" x14ac:dyDescent="0.3"/>
    <row r="54846" s="160" customFormat="1" x14ac:dyDescent="0.3"/>
    <row r="54847" s="160" customFormat="1" x14ac:dyDescent="0.3"/>
    <row r="54848" s="160" customFormat="1" x14ac:dyDescent="0.3"/>
    <row r="54849" s="160" customFormat="1" x14ac:dyDescent="0.3"/>
    <row r="54850" s="160" customFormat="1" x14ac:dyDescent="0.3"/>
    <row r="54851" s="160" customFormat="1" x14ac:dyDescent="0.3"/>
    <row r="54852" s="160" customFormat="1" x14ac:dyDescent="0.3"/>
    <row r="54853" s="160" customFormat="1" x14ac:dyDescent="0.3"/>
    <row r="54854" s="160" customFormat="1" x14ac:dyDescent="0.3"/>
    <row r="54855" s="160" customFormat="1" x14ac:dyDescent="0.3"/>
    <row r="54856" s="160" customFormat="1" x14ac:dyDescent="0.3"/>
    <row r="54857" s="160" customFormat="1" x14ac:dyDescent="0.3"/>
    <row r="54858" s="160" customFormat="1" x14ac:dyDescent="0.3"/>
    <row r="54859" s="160" customFormat="1" x14ac:dyDescent="0.3"/>
    <row r="54860" s="160" customFormat="1" x14ac:dyDescent="0.3"/>
    <row r="54861" s="160" customFormat="1" x14ac:dyDescent="0.3"/>
    <row r="54862" s="160" customFormat="1" x14ac:dyDescent="0.3"/>
    <row r="54863" s="160" customFormat="1" x14ac:dyDescent="0.3"/>
    <row r="54864" s="160" customFormat="1" x14ac:dyDescent="0.3"/>
    <row r="54865" s="160" customFormat="1" x14ac:dyDescent="0.3"/>
    <row r="54866" s="160" customFormat="1" x14ac:dyDescent="0.3"/>
    <row r="54867" s="160" customFormat="1" x14ac:dyDescent="0.3"/>
    <row r="54868" s="160" customFormat="1" x14ac:dyDescent="0.3"/>
    <row r="54869" s="160" customFormat="1" x14ac:dyDescent="0.3"/>
    <row r="54870" s="160" customFormat="1" x14ac:dyDescent="0.3"/>
    <row r="54871" s="160" customFormat="1" x14ac:dyDescent="0.3"/>
    <row r="54872" s="160" customFormat="1" x14ac:dyDescent="0.3"/>
    <row r="54873" s="160" customFormat="1" x14ac:dyDescent="0.3"/>
    <row r="54874" s="160" customFormat="1" x14ac:dyDescent="0.3"/>
    <row r="54875" s="160" customFormat="1" x14ac:dyDescent="0.3"/>
    <row r="54876" s="160" customFormat="1" x14ac:dyDescent="0.3"/>
    <row r="54877" s="160" customFormat="1" x14ac:dyDescent="0.3"/>
    <row r="54878" s="160" customFormat="1" x14ac:dyDescent="0.3"/>
    <row r="54879" s="160" customFormat="1" x14ac:dyDescent="0.3"/>
    <row r="54880" s="160" customFormat="1" x14ac:dyDescent="0.3"/>
    <row r="54881" s="160" customFormat="1" x14ac:dyDescent="0.3"/>
    <row r="54882" s="160" customFormat="1" x14ac:dyDescent="0.3"/>
    <row r="54883" s="160" customFormat="1" x14ac:dyDescent="0.3"/>
    <row r="54884" s="160" customFormat="1" x14ac:dyDescent="0.3"/>
    <row r="54885" s="160" customFormat="1" x14ac:dyDescent="0.3"/>
    <row r="54886" s="160" customFormat="1" x14ac:dyDescent="0.3"/>
    <row r="54887" s="160" customFormat="1" x14ac:dyDescent="0.3"/>
    <row r="54888" s="160" customFormat="1" x14ac:dyDescent="0.3"/>
    <row r="54889" s="160" customFormat="1" x14ac:dyDescent="0.3"/>
    <row r="54890" s="160" customFormat="1" x14ac:dyDescent="0.3"/>
    <row r="54891" s="160" customFormat="1" x14ac:dyDescent="0.3"/>
    <row r="54892" s="160" customFormat="1" x14ac:dyDescent="0.3"/>
    <row r="54893" s="160" customFormat="1" x14ac:dyDescent="0.3"/>
    <row r="54894" s="160" customFormat="1" x14ac:dyDescent="0.3"/>
    <row r="54895" s="160" customFormat="1" x14ac:dyDescent="0.3"/>
    <row r="54896" s="160" customFormat="1" x14ac:dyDescent="0.3"/>
    <row r="54897" s="160" customFormat="1" x14ac:dyDescent="0.3"/>
    <row r="54898" s="160" customFormat="1" x14ac:dyDescent="0.3"/>
    <row r="54899" s="160" customFormat="1" x14ac:dyDescent="0.3"/>
    <row r="54900" s="160" customFormat="1" x14ac:dyDescent="0.3"/>
    <row r="54901" s="160" customFormat="1" x14ac:dyDescent="0.3"/>
    <row r="54902" s="160" customFormat="1" x14ac:dyDescent="0.3"/>
    <row r="54903" s="160" customFormat="1" x14ac:dyDescent="0.3"/>
    <row r="54904" s="160" customFormat="1" x14ac:dyDescent="0.3"/>
    <row r="54905" s="160" customFormat="1" x14ac:dyDescent="0.3"/>
    <row r="54906" s="160" customFormat="1" x14ac:dyDescent="0.3"/>
    <row r="54907" s="160" customFormat="1" x14ac:dyDescent="0.3"/>
    <row r="54908" s="160" customFormat="1" x14ac:dyDescent="0.3"/>
    <row r="54909" s="160" customFormat="1" x14ac:dyDescent="0.3"/>
    <row r="54910" s="160" customFormat="1" x14ac:dyDescent="0.3"/>
    <row r="54911" s="160" customFormat="1" x14ac:dyDescent="0.3"/>
    <row r="54912" s="160" customFormat="1" x14ac:dyDescent="0.3"/>
    <row r="54913" s="160" customFormat="1" x14ac:dyDescent="0.3"/>
    <row r="54914" s="160" customFormat="1" x14ac:dyDescent="0.3"/>
    <row r="54915" s="160" customFormat="1" x14ac:dyDescent="0.3"/>
    <row r="54916" s="160" customFormat="1" x14ac:dyDescent="0.3"/>
    <row r="54917" s="160" customFormat="1" x14ac:dyDescent="0.3"/>
    <row r="54918" s="160" customFormat="1" x14ac:dyDescent="0.3"/>
    <row r="54919" s="160" customFormat="1" x14ac:dyDescent="0.3"/>
    <row r="54920" s="160" customFormat="1" x14ac:dyDescent="0.3"/>
    <row r="54921" s="160" customFormat="1" x14ac:dyDescent="0.3"/>
    <row r="54922" s="160" customFormat="1" x14ac:dyDescent="0.3"/>
    <row r="54923" s="160" customFormat="1" x14ac:dyDescent="0.3"/>
    <row r="54924" s="160" customFormat="1" x14ac:dyDescent="0.3"/>
    <row r="54925" s="160" customFormat="1" x14ac:dyDescent="0.3"/>
    <row r="54926" s="160" customFormat="1" x14ac:dyDescent="0.3"/>
    <row r="54927" s="160" customFormat="1" x14ac:dyDescent="0.3"/>
    <row r="54928" s="160" customFormat="1" x14ac:dyDescent="0.3"/>
    <row r="54929" s="160" customFormat="1" x14ac:dyDescent="0.3"/>
    <row r="54930" s="160" customFormat="1" x14ac:dyDescent="0.3"/>
    <row r="54931" s="160" customFormat="1" x14ac:dyDescent="0.3"/>
    <row r="54932" s="160" customFormat="1" x14ac:dyDescent="0.3"/>
    <row r="54933" s="160" customFormat="1" x14ac:dyDescent="0.3"/>
    <row r="54934" s="160" customFormat="1" x14ac:dyDescent="0.3"/>
    <row r="54935" s="160" customFormat="1" x14ac:dyDescent="0.3"/>
    <row r="54936" s="160" customFormat="1" x14ac:dyDescent="0.3"/>
    <row r="54937" s="160" customFormat="1" x14ac:dyDescent="0.3"/>
    <row r="54938" s="160" customFormat="1" x14ac:dyDescent="0.3"/>
    <row r="54939" s="160" customFormat="1" x14ac:dyDescent="0.3"/>
    <row r="54940" s="160" customFormat="1" x14ac:dyDescent="0.3"/>
    <row r="54941" s="160" customFormat="1" x14ac:dyDescent="0.3"/>
    <row r="54942" s="160" customFormat="1" x14ac:dyDescent="0.3"/>
    <row r="54943" s="160" customFormat="1" x14ac:dyDescent="0.3"/>
    <row r="54944" s="160" customFormat="1" x14ac:dyDescent="0.3"/>
    <row r="54945" s="160" customFormat="1" x14ac:dyDescent="0.3"/>
    <row r="54946" s="160" customFormat="1" x14ac:dyDescent="0.3"/>
    <row r="54947" s="160" customFormat="1" x14ac:dyDescent="0.3"/>
    <row r="54948" s="160" customFormat="1" x14ac:dyDescent="0.3"/>
    <row r="54949" s="160" customFormat="1" x14ac:dyDescent="0.3"/>
    <row r="54950" s="160" customFormat="1" x14ac:dyDescent="0.3"/>
    <row r="54951" s="160" customFormat="1" x14ac:dyDescent="0.3"/>
    <row r="54952" s="160" customFormat="1" x14ac:dyDescent="0.3"/>
    <row r="54953" s="160" customFormat="1" x14ac:dyDescent="0.3"/>
    <row r="54954" s="160" customFormat="1" x14ac:dyDescent="0.3"/>
    <row r="54955" s="160" customFormat="1" x14ac:dyDescent="0.3"/>
    <row r="54956" s="160" customFormat="1" x14ac:dyDescent="0.3"/>
    <row r="54957" s="160" customFormat="1" x14ac:dyDescent="0.3"/>
    <row r="54958" s="160" customFormat="1" x14ac:dyDescent="0.3"/>
    <row r="54959" s="160" customFormat="1" x14ac:dyDescent="0.3"/>
    <row r="54960" s="160" customFormat="1" x14ac:dyDescent="0.3"/>
    <row r="54961" s="160" customFormat="1" x14ac:dyDescent="0.3"/>
    <row r="54962" s="160" customFormat="1" x14ac:dyDescent="0.3"/>
    <row r="54963" s="160" customFormat="1" x14ac:dyDescent="0.3"/>
    <row r="54964" s="160" customFormat="1" x14ac:dyDescent="0.3"/>
    <row r="54965" s="160" customFormat="1" x14ac:dyDescent="0.3"/>
    <row r="54966" s="160" customFormat="1" x14ac:dyDescent="0.3"/>
    <row r="54967" s="160" customFormat="1" x14ac:dyDescent="0.3"/>
    <row r="54968" s="160" customFormat="1" x14ac:dyDescent="0.3"/>
    <row r="54969" s="160" customFormat="1" x14ac:dyDescent="0.3"/>
    <row r="54970" s="160" customFormat="1" x14ac:dyDescent="0.3"/>
    <row r="54971" s="160" customFormat="1" x14ac:dyDescent="0.3"/>
    <row r="54972" s="160" customFormat="1" x14ac:dyDescent="0.3"/>
    <row r="54973" s="160" customFormat="1" x14ac:dyDescent="0.3"/>
    <row r="54974" s="160" customFormat="1" x14ac:dyDescent="0.3"/>
    <row r="54975" s="160" customFormat="1" x14ac:dyDescent="0.3"/>
    <row r="54976" s="160" customFormat="1" x14ac:dyDescent="0.3"/>
    <row r="54977" s="160" customFormat="1" x14ac:dyDescent="0.3"/>
    <row r="54978" s="160" customFormat="1" x14ac:dyDescent="0.3"/>
    <row r="54979" s="160" customFormat="1" x14ac:dyDescent="0.3"/>
    <row r="54980" s="160" customFormat="1" x14ac:dyDescent="0.3"/>
    <row r="54981" s="160" customFormat="1" x14ac:dyDescent="0.3"/>
    <row r="54982" s="160" customFormat="1" x14ac:dyDescent="0.3"/>
    <row r="54983" s="160" customFormat="1" x14ac:dyDescent="0.3"/>
    <row r="54984" s="160" customFormat="1" x14ac:dyDescent="0.3"/>
    <row r="54985" s="160" customFormat="1" x14ac:dyDescent="0.3"/>
    <row r="54986" s="160" customFormat="1" x14ac:dyDescent="0.3"/>
    <row r="54987" s="160" customFormat="1" x14ac:dyDescent="0.3"/>
    <row r="54988" s="160" customFormat="1" x14ac:dyDescent="0.3"/>
    <row r="54989" s="160" customFormat="1" x14ac:dyDescent="0.3"/>
    <row r="54990" s="160" customFormat="1" x14ac:dyDescent="0.3"/>
    <row r="54991" s="160" customFormat="1" x14ac:dyDescent="0.3"/>
    <row r="54992" s="160" customFormat="1" x14ac:dyDescent="0.3"/>
    <row r="54993" s="160" customFormat="1" x14ac:dyDescent="0.3"/>
    <row r="54994" s="160" customFormat="1" x14ac:dyDescent="0.3"/>
    <row r="54995" s="160" customFormat="1" x14ac:dyDescent="0.3"/>
    <row r="54996" s="160" customFormat="1" x14ac:dyDescent="0.3"/>
    <row r="54997" s="160" customFormat="1" x14ac:dyDescent="0.3"/>
    <row r="54998" s="160" customFormat="1" x14ac:dyDescent="0.3"/>
    <row r="54999" s="160" customFormat="1" x14ac:dyDescent="0.3"/>
    <row r="55000" s="160" customFormat="1" x14ac:dyDescent="0.3"/>
    <row r="55001" s="160" customFormat="1" x14ac:dyDescent="0.3"/>
    <row r="55002" s="160" customFormat="1" x14ac:dyDescent="0.3"/>
    <row r="55003" s="160" customFormat="1" x14ac:dyDescent="0.3"/>
    <row r="55004" s="160" customFormat="1" x14ac:dyDescent="0.3"/>
    <row r="55005" s="160" customFormat="1" x14ac:dyDescent="0.3"/>
    <row r="55006" s="160" customFormat="1" x14ac:dyDescent="0.3"/>
    <row r="55007" s="160" customFormat="1" x14ac:dyDescent="0.3"/>
    <row r="55008" s="160" customFormat="1" x14ac:dyDescent="0.3"/>
    <row r="55009" s="160" customFormat="1" x14ac:dyDescent="0.3"/>
    <row r="55010" s="160" customFormat="1" x14ac:dyDescent="0.3"/>
    <row r="55011" s="160" customFormat="1" x14ac:dyDescent="0.3"/>
    <row r="55012" s="160" customFormat="1" x14ac:dyDescent="0.3"/>
    <row r="55013" s="160" customFormat="1" x14ac:dyDescent="0.3"/>
    <row r="55014" s="160" customFormat="1" x14ac:dyDescent="0.3"/>
    <row r="55015" s="160" customFormat="1" x14ac:dyDescent="0.3"/>
    <row r="55016" s="160" customFormat="1" x14ac:dyDescent="0.3"/>
    <row r="55017" s="160" customFormat="1" x14ac:dyDescent="0.3"/>
    <row r="55018" s="160" customFormat="1" x14ac:dyDescent="0.3"/>
    <row r="55019" s="160" customFormat="1" x14ac:dyDescent="0.3"/>
    <row r="55020" s="160" customFormat="1" x14ac:dyDescent="0.3"/>
    <row r="55021" s="160" customFormat="1" x14ac:dyDescent="0.3"/>
    <row r="55022" s="160" customFormat="1" x14ac:dyDescent="0.3"/>
    <row r="55023" s="160" customFormat="1" x14ac:dyDescent="0.3"/>
    <row r="55024" s="160" customFormat="1" x14ac:dyDescent="0.3"/>
    <row r="55025" s="160" customFormat="1" x14ac:dyDescent="0.3"/>
    <row r="55026" s="160" customFormat="1" x14ac:dyDescent="0.3"/>
    <row r="55027" s="160" customFormat="1" x14ac:dyDescent="0.3"/>
    <row r="55028" s="160" customFormat="1" x14ac:dyDescent="0.3"/>
    <row r="55029" s="160" customFormat="1" x14ac:dyDescent="0.3"/>
    <row r="55030" s="160" customFormat="1" x14ac:dyDescent="0.3"/>
    <row r="55031" s="160" customFormat="1" x14ac:dyDescent="0.3"/>
    <row r="55032" s="160" customFormat="1" x14ac:dyDescent="0.3"/>
    <row r="55033" s="160" customFormat="1" x14ac:dyDescent="0.3"/>
    <row r="55034" s="160" customFormat="1" x14ac:dyDescent="0.3"/>
    <row r="55035" s="160" customFormat="1" x14ac:dyDescent="0.3"/>
    <row r="55036" s="160" customFormat="1" x14ac:dyDescent="0.3"/>
    <row r="55037" s="160" customFormat="1" x14ac:dyDescent="0.3"/>
    <row r="55038" s="160" customFormat="1" x14ac:dyDescent="0.3"/>
    <row r="55039" s="160" customFormat="1" x14ac:dyDescent="0.3"/>
    <row r="55040" s="160" customFormat="1" x14ac:dyDescent="0.3"/>
    <row r="55041" s="160" customFormat="1" x14ac:dyDescent="0.3"/>
    <row r="55042" s="160" customFormat="1" x14ac:dyDescent="0.3"/>
    <row r="55043" s="160" customFormat="1" x14ac:dyDescent="0.3"/>
    <row r="55044" s="160" customFormat="1" x14ac:dyDescent="0.3"/>
    <row r="55045" s="160" customFormat="1" x14ac:dyDescent="0.3"/>
    <row r="55046" s="160" customFormat="1" x14ac:dyDescent="0.3"/>
    <row r="55047" s="160" customFormat="1" x14ac:dyDescent="0.3"/>
    <row r="55048" s="160" customFormat="1" x14ac:dyDescent="0.3"/>
    <row r="55049" s="160" customFormat="1" x14ac:dyDescent="0.3"/>
    <row r="55050" s="160" customFormat="1" x14ac:dyDescent="0.3"/>
    <row r="55051" s="160" customFormat="1" x14ac:dyDescent="0.3"/>
    <row r="55052" s="160" customFormat="1" x14ac:dyDescent="0.3"/>
    <row r="55053" s="160" customFormat="1" x14ac:dyDescent="0.3"/>
    <row r="55054" s="160" customFormat="1" x14ac:dyDescent="0.3"/>
    <row r="55055" s="160" customFormat="1" x14ac:dyDescent="0.3"/>
    <row r="55056" s="160" customFormat="1" x14ac:dyDescent="0.3"/>
    <row r="55057" s="160" customFormat="1" x14ac:dyDescent="0.3"/>
    <row r="55058" s="160" customFormat="1" x14ac:dyDescent="0.3"/>
    <row r="55059" s="160" customFormat="1" x14ac:dyDescent="0.3"/>
    <row r="55060" s="160" customFormat="1" x14ac:dyDescent="0.3"/>
    <row r="55061" s="160" customFormat="1" x14ac:dyDescent="0.3"/>
    <row r="55062" s="160" customFormat="1" x14ac:dyDescent="0.3"/>
    <row r="55063" s="160" customFormat="1" x14ac:dyDescent="0.3"/>
    <row r="55064" s="160" customFormat="1" x14ac:dyDescent="0.3"/>
    <row r="55065" s="160" customFormat="1" x14ac:dyDescent="0.3"/>
    <row r="55066" s="160" customFormat="1" x14ac:dyDescent="0.3"/>
    <row r="55067" s="160" customFormat="1" x14ac:dyDescent="0.3"/>
    <row r="55068" s="160" customFormat="1" x14ac:dyDescent="0.3"/>
    <row r="55069" s="160" customFormat="1" x14ac:dyDescent="0.3"/>
    <row r="55070" s="160" customFormat="1" x14ac:dyDescent="0.3"/>
    <row r="55071" s="160" customFormat="1" x14ac:dyDescent="0.3"/>
    <row r="55072" s="160" customFormat="1" x14ac:dyDescent="0.3"/>
    <row r="55073" s="160" customFormat="1" x14ac:dyDescent="0.3"/>
    <row r="55074" s="160" customFormat="1" x14ac:dyDescent="0.3"/>
    <row r="55075" s="160" customFormat="1" x14ac:dyDescent="0.3"/>
    <row r="55076" s="160" customFormat="1" x14ac:dyDescent="0.3"/>
    <row r="55077" s="160" customFormat="1" x14ac:dyDescent="0.3"/>
    <row r="55078" s="160" customFormat="1" x14ac:dyDescent="0.3"/>
    <row r="55079" s="160" customFormat="1" x14ac:dyDescent="0.3"/>
    <row r="55080" s="160" customFormat="1" x14ac:dyDescent="0.3"/>
    <row r="55081" s="160" customFormat="1" x14ac:dyDescent="0.3"/>
    <row r="55082" s="160" customFormat="1" x14ac:dyDescent="0.3"/>
    <row r="55083" s="160" customFormat="1" x14ac:dyDescent="0.3"/>
    <row r="55084" s="160" customFormat="1" x14ac:dyDescent="0.3"/>
    <row r="55085" s="160" customFormat="1" x14ac:dyDescent="0.3"/>
    <row r="55086" s="160" customFormat="1" x14ac:dyDescent="0.3"/>
    <row r="55087" s="160" customFormat="1" x14ac:dyDescent="0.3"/>
    <row r="55088" s="160" customFormat="1" x14ac:dyDescent="0.3"/>
    <row r="55089" s="160" customFormat="1" x14ac:dyDescent="0.3"/>
    <row r="55090" s="160" customFormat="1" x14ac:dyDescent="0.3"/>
    <row r="55091" s="160" customFormat="1" x14ac:dyDescent="0.3"/>
    <row r="55092" s="160" customFormat="1" x14ac:dyDescent="0.3"/>
    <row r="55093" s="160" customFormat="1" x14ac:dyDescent="0.3"/>
    <row r="55094" s="160" customFormat="1" x14ac:dyDescent="0.3"/>
    <row r="55095" s="160" customFormat="1" x14ac:dyDescent="0.3"/>
    <row r="55096" s="160" customFormat="1" x14ac:dyDescent="0.3"/>
    <row r="55097" s="160" customFormat="1" x14ac:dyDescent="0.3"/>
    <row r="55098" s="160" customFormat="1" x14ac:dyDescent="0.3"/>
    <row r="55099" s="160" customFormat="1" x14ac:dyDescent="0.3"/>
    <row r="55100" s="160" customFormat="1" x14ac:dyDescent="0.3"/>
    <row r="55101" s="160" customFormat="1" x14ac:dyDescent="0.3"/>
    <row r="55102" s="160" customFormat="1" x14ac:dyDescent="0.3"/>
    <row r="55103" s="160" customFormat="1" x14ac:dyDescent="0.3"/>
    <row r="55104" s="160" customFormat="1" x14ac:dyDescent="0.3"/>
    <row r="55105" s="160" customFormat="1" x14ac:dyDescent="0.3"/>
    <row r="55106" s="160" customFormat="1" x14ac:dyDescent="0.3"/>
    <row r="55107" s="160" customFormat="1" x14ac:dyDescent="0.3"/>
    <row r="55108" s="160" customFormat="1" x14ac:dyDescent="0.3"/>
    <row r="55109" s="160" customFormat="1" x14ac:dyDescent="0.3"/>
    <row r="55110" s="160" customFormat="1" x14ac:dyDescent="0.3"/>
    <row r="55111" s="160" customFormat="1" x14ac:dyDescent="0.3"/>
    <row r="55112" s="160" customFormat="1" x14ac:dyDescent="0.3"/>
    <row r="55113" s="160" customFormat="1" x14ac:dyDescent="0.3"/>
    <row r="55114" s="160" customFormat="1" x14ac:dyDescent="0.3"/>
    <row r="55115" s="160" customFormat="1" x14ac:dyDescent="0.3"/>
    <row r="55116" s="160" customFormat="1" x14ac:dyDescent="0.3"/>
    <row r="55117" s="160" customFormat="1" x14ac:dyDescent="0.3"/>
    <row r="55118" s="160" customFormat="1" x14ac:dyDescent="0.3"/>
    <row r="55119" s="160" customFormat="1" x14ac:dyDescent="0.3"/>
    <row r="55120" s="160" customFormat="1" x14ac:dyDescent="0.3"/>
    <row r="55121" s="160" customFormat="1" x14ac:dyDescent="0.3"/>
    <row r="55122" s="160" customFormat="1" x14ac:dyDescent="0.3"/>
    <row r="55123" s="160" customFormat="1" x14ac:dyDescent="0.3"/>
    <row r="55124" s="160" customFormat="1" x14ac:dyDescent="0.3"/>
    <row r="55125" s="160" customFormat="1" x14ac:dyDescent="0.3"/>
    <row r="55126" s="160" customFormat="1" x14ac:dyDescent="0.3"/>
    <row r="55127" s="160" customFormat="1" x14ac:dyDescent="0.3"/>
    <row r="55128" s="160" customFormat="1" x14ac:dyDescent="0.3"/>
    <row r="55129" s="160" customFormat="1" x14ac:dyDescent="0.3"/>
    <row r="55130" s="160" customFormat="1" x14ac:dyDescent="0.3"/>
    <row r="55131" s="160" customFormat="1" x14ac:dyDescent="0.3"/>
    <row r="55132" s="160" customFormat="1" x14ac:dyDescent="0.3"/>
    <row r="55133" s="160" customFormat="1" x14ac:dyDescent="0.3"/>
    <row r="55134" s="160" customFormat="1" x14ac:dyDescent="0.3"/>
    <row r="55135" s="160" customFormat="1" x14ac:dyDescent="0.3"/>
    <row r="55136" s="160" customFormat="1" x14ac:dyDescent="0.3"/>
    <row r="55137" s="160" customFormat="1" x14ac:dyDescent="0.3"/>
    <row r="55138" s="160" customFormat="1" x14ac:dyDescent="0.3"/>
    <row r="55139" s="160" customFormat="1" x14ac:dyDescent="0.3"/>
    <row r="55140" s="160" customFormat="1" x14ac:dyDescent="0.3"/>
    <row r="55141" s="160" customFormat="1" x14ac:dyDescent="0.3"/>
    <row r="55142" s="160" customFormat="1" x14ac:dyDescent="0.3"/>
    <row r="55143" s="160" customFormat="1" x14ac:dyDescent="0.3"/>
    <row r="55144" s="160" customFormat="1" x14ac:dyDescent="0.3"/>
    <row r="55145" s="160" customFormat="1" x14ac:dyDescent="0.3"/>
    <row r="55146" s="160" customFormat="1" x14ac:dyDescent="0.3"/>
    <row r="55147" s="160" customFormat="1" x14ac:dyDescent="0.3"/>
    <row r="55148" s="160" customFormat="1" x14ac:dyDescent="0.3"/>
    <row r="55149" s="160" customFormat="1" x14ac:dyDescent="0.3"/>
    <row r="55150" s="160" customFormat="1" x14ac:dyDescent="0.3"/>
    <row r="55151" s="160" customFormat="1" x14ac:dyDescent="0.3"/>
    <row r="55152" s="160" customFormat="1" x14ac:dyDescent="0.3"/>
    <row r="55153" s="160" customFormat="1" x14ac:dyDescent="0.3"/>
    <row r="55154" s="160" customFormat="1" x14ac:dyDescent="0.3"/>
    <row r="55155" s="160" customFormat="1" x14ac:dyDescent="0.3"/>
    <row r="55156" s="160" customFormat="1" x14ac:dyDescent="0.3"/>
    <row r="55157" s="160" customFormat="1" x14ac:dyDescent="0.3"/>
    <row r="55158" s="160" customFormat="1" x14ac:dyDescent="0.3"/>
    <row r="55159" s="160" customFormat="1" x14ac:dyDescent="0.3"/>
    <row r="55160" s="160" customFormat="1" x14ac:dyDescent="0.3"/>
    <row r="55161" s="160" customFormat="1" x14ac:dyDescent="0.3"/>
    <row r="55162" s="160" customFormat="1" x14ac:dyDescent="0.3"/>
    <row r="55163" s="160" customFormat="1" x14ac:dyDescent="0.3"/>
    <row r="55164" s="160" customFormat="1" x14ac:dyDescent="0.3"/>
    <row r="55165" s="160" customFormat="1" x14ac:dyDescent="0.3"/>
    <row r="55166" s="160" customFormat="1" x14ac:dyDescent="0.3"/>
    <row r="55167" s="160" customFormat="1" x14ac:dyDescent="0.3"/>
    <row r="55168" s="160" customFormat="1" x14ac:dyDescent="0.3"/>
    <row r="55169" s="160" customFormat="1" x14ac:dyDescent="0.3"/>
    <row r="55170" s="160" customFormat="1" x14ac:dyDescent="0.3"/>
    <row r="55171" s="160" customFormat="1" x14ac:dyDescent="0.3"/>
    <row r="55172" s="160" customFormat="1" x14ac:dyDescent="0.3"/>
    <row r="55173" s="160" customFormat="1" x14ac:dyDescent="0.3"/>
    <row r="55174" s="160" customFormat="1" x14ac:dyDescent="0.3"/>
    <row r="55175" s="160" customFormat="1" x14ac:dyDescent="0.3"/>
    <row r="55176" s="160" customFormat="1" x14ac:dyDescent="0.3"/>
    <row r="55177" s="160" customFormat="1" x14ac:dyDescent="0.3"/>
    <row r="55178" s="160" customFormat="1" x14ac:dyDescent="0.3"/>
    <row r="55179" s="160" customFormat="1" x14ac:dyDescent="0.3"/>
    <row r="55180" s="160" customFormat="1" x14ac:dyDescent="0.3"/>
    <row r="55181" s="160" customFormat="1" x14ac:dyDescent="0.3"/>
    <row r="55182" s="160" customFormat="1" x14ac:dyDescent="0.3"/>
    <row r="55183" s="160" customFormat="1" x14ac:dyDescent="0.3"/>
    <row r="55184" s="160" customFormat="1" x14ac:dyDescent="0.3"/>
    <row r="55185" s="160" customFormat="1" x14ac:dyDescent="0.3"/>
    <row r="55186" s="160" customFormat="1" x14ac:dyDescent="0.3"/>
    <row r="55187" s="160" customFormat="1" x14ac:dyDescent="0.3"/>
    <row r="55188" s="160" customFormat="1" x14ac:dyDescent="0.3"/>
    <row r="55189" s="160" customFormat="1" x14ac:dyDescent="0.3"/>
    <row r="55190" s="160" customFormat="1" x14ac:dyDescent="0.3"/>
    <row r="55191" s="160" customFormat="1" x14ac:dyDescent="0.3"/>
    <row r="55192" s="160" customFormat="1" x14ac:dyDescent="0.3"/>
    <row r="55193" s="160" customFormat="1" x14ac:dyDescent="0.3"/>
    <row r="55194" s="160" customFormat="1" x14ac:dyDescent="0.3"/>
    <row r="55195" s="160" customFormat="1" x14ac:dyDescent="0.3"/>
    <row r="55196" s="160" customFormat="1" x14ac:dyDescent="0.3"/>
    <row r="55197" s="160" customFormat="1" x14ac:dyDescent="0.3"/>
    <row r="55198" s="160" customFormat="1" x14ac:dyDescent="0.3"/>
    <row r="55199" s="160" customFormat="1" x14ac:dyDescent="0.3"/>
    <row r="55200" s="160" customFormat="1" x14ac:dyDescent="0.3"/>
    <row r="55201" s="160" customFormat="1" x14ac:dyDescent="0.3"/>
    <row r="55202" s="160" customFormat="1" x14ac:dyDescent="0.3"/>
    <row r="55203" s="160" customFormat="1" x14ac:dyDescent="0.3"/>
    <row r="55204" s="160" customFormat="1" x14ac:dyDescent="0.3"/>
    <row r="55205" s="160" customFormat="1" x14ac:dyDescent="0.3"/>
    <row r="55206" s="160" customFormat="1" x14ac:dyDescent="0.3"/>
    <row r="55207" s="160" customFormat="1" x14ac:dyDescent="0.3"/>
    <row r="55208" s="160" customFormat="1" x14ac:dyDescent="0.3"/>
    <row r="55209" s="160" customFormat="1" x14ac:dyDescent="0.3"/>
    <row r="55210" s="160" customFormat="1" x14ac:dyDescent="0.3"/>
    <row r="55211" s="160" customFormat="1" x14ac:dyDescent="0.3"/>
    <row r="55212" s="160" customFormat="1" x14ac:dyDescent="0.3"/>
    <row r="55213" s="160" customFormat="1" x14ac:dyDescent="0.3"/>
    <row r="55214" s="160" customFormat="1" x14ac:dyDescent="0.3"/>
    <row r="55215" s="160" customFormat="1" x14ac:dyDescent="0.3"/>
    <row r="55216" s="160" customFormat="1" x14ac:dyDescent="0.3"/>
    <row r="55217" s="160" customFormat="1" x14ac:dyDescent="0.3"/>
    <row r="55218" s="160" customFormat="1" x14ac:dyDescent="0.3"/>
    <row r="55219" s="160" customFormat="1" x14ac:dyDescent="0.3"/>
    <row r="55220" s="160" customFormat="1" x14ac:dyDescent="0.3"/>
    <row r="55221" s="160" customFormat="1" x14ac:dyDescent="0.3"/>
    <row r="55222" s="160" customFormat="1" x14ac:dyDescent="0.3"/>
    <row r="55223" s="160" customFormat="1" x14ac:dyDescent="0.3"/>
    <row r="55224" s="160" customFormat="1" x14ac:dyDescent="0.3"/>
    <row r="55225" s="160" customFormat="1" x14ac:dyDescent="0.3"/>
    <row r="55226" s="160" customFormat="1" x14ac:dyDescent="0.3"/>
    <row r="55227" s="160" customFormat="1" x14ac:dyDescent="0.3"/>
    <row r="55228" s="160" customFormat="1" x14ac:dyDescent="0.3"/>
    <row r="55229" s="160" customFormat="1" x14ac:dyDescent="0.3"/>
    <row r="55230" s="160" customFormat="1" x14ac:dyDescent="0.3"/>
    <row r="55231" s="160" customFormat="1" x14ac:dyDescent="0.3"/>
    <row r="55232" s="160" customFormat="1" x14ac:dyDescent="0.3"/>
    <row r="55233" s="160" customFormat="1" x14ac:dyDescent="0.3"/>
    <row r="55234" s="160" customFormat="1" x14ac:dyDescent="0.3"/>
    <row r="55235" s="160" customFormat="1" x14ac:dyDescent="0.3"/>
    <row r="55236" s="160" customFormat="1" x14ac:dyDescent="0.3"/>
    <row r="55237" s="160" customFormat="1" x14ac:dyDescent="0.3"/>
    <row r="55238" s="160" customFormat="1" x14ac:dyDescent="0.3"/>
    <row r="55239" s="160" customFormat="1" x14ac:dyDescent="0.3"/>
    <row r="55240" s="160" customFormat="1" x14ac:dyDescent="0.3"/>
    <row r="55241" s="160" customFormat="1" x14ac:dyDescent="0.3"/>
    <row r="55242" s="160" customFormat="1" x14ac:dyDescent="0.3"/>
    <row r="55243" s="160" customFormat="1" x14ac:dyDescent="0.3"/>
    <row r="55244" s="160" customFormat="1" x14ac:dyDescent="0.3"/>
    <row r="55245" s="160" customFormat="1" x14ac:dyDescent="0.3"/>
    <row r="55246" s="160" customFormat="1" x14ac:dyDescent="0.3"/>
    <row r="55247" s="160" customFormat="1" x14ac:dyDescent="0.3"/>
    <row r="55248" s="160" customFormat="1" x14ac:dyDescent="0.3"/>
    <row r="55249" s="160" customFormat="1" x14ac:dyDescent="0.3"/>
    <row r="55250" s="160" customFormat="1" x14ac:dyDescent="0.3"/>
    <row r="55251" s="160" customFormat="1" x14ac:dyDescent="0.3"/>
    <row r="55252" s="160" customFormat="1" x14ac:dyDescent="0.3"/>
    <row r="55253" s="160" customFormat="1" x14ac:dyDescent="0.3"/>
    <row r="55254" s="160" customFormat="1" x14ac:dyDescent="0.3"/>
    <row r="55255" s="160" customFormat="1" x14ac:dyDescent="0.3"/>
    <row r="55256" s="160" customFormat="1" x14ac:dyDescent="0.3"/>
    <row r="55257" s="160" customFormat="1" x14ac:dyDescent="0.3"/>
    <row r="55258" s="160" customFormat="1" x14ac:dyDescent="0.3"/>
    <row r="55259" s="160" customFormat="1" x14ac:dyDescent="0.3"/>
    <row r="55260" s="160" customFormat="1" x14ac:dyDescent="0.3"/>
    <row r="55261" s="160" customFormat="1" x14ac:dyDescent="0.3"/>
    <row r="55262" s="160" customFormat="1" x14ac:dyDescent="0.3"/>
    <row r="55263" s="160" customFormat="1" x14ac:dyDescent="0.3"/>
    <row r="55264" s="160" customFormat="1" x14ac:dyDescent="0.3"/>
    <row r="55265" s="160" customFormat="1" x14ac:dyDescent="0.3"/>
    <row r="55266" s="160" customFormat="1" x14ac:dyDescent="0.3"/>
    <row r="55267" s="160" customFormat="1" x14ac:dyDescent="0.3"/>
    <row r="55268" s="160" customFormat="1" x14ac:dyDescent="0.3"/>
    <row r="55269" s="160" customFormat="1" x14ac:dyDescent="0.3"/>
    <row r="55270" s="160" customFormat="1" x14ac:dyDescent="0.3"/>
    <row r="55271" s="160" customFormat="1" x14ac:dyDescent="0.3"/>
    <row r="55272" s="160" customFormat="1" x14ac:dyDescent="0.3"/>
    <row r="55273" s="160" customFormat="1" x14ac:dyDescent="0.3"/>
    <row r="55274" s="160" customFormat="1" x14ac:dyDescent="0.3"/>
    <row r="55275" s="160" customFormat="1" x14ac:dyDescent="0.3"/>
    <row r="55276" s="160" customFormat="1" x14ac:dyDescent="0.3"/>
    <row r="55277" s="160" customFormat="1" x14ac:dyDescent="0.3"/>
    <row r="55278" s="160" customFormat="1" x14ac:dyDescent="0.3"/>
    <row r="55279" s="160" customFormat="1" x14ac:dyDescent="0.3"/>
    <row r="55280" s="160" customFormat="1" x14ac:dyDescent="0.3"/>
    <row r="55281" s="160" customFormat="1" x14ac:dyDescent="0.3"/>
    <row r="55282" s="160" customFormat="1" x14ac:dyDescent="0.3"/>
    <row r="55283" s="160" customFormat="1" x14ac:dyDescent="0.3"/>
    <row r="55284" s="160" customFormat="1" x14ac:dyDescent="0.3"/>
    <row r="55285" s="160" customFormat="1" x14ac:dyDescent="0.3"/>
    <row r="55286" s="160" customFormat="1" x14ac:dyDescent="0.3"/>
    <row r="55287" s="160" customFormat="1" x14ac:dyDescent="0.3"/>
    <row r="55288" s="160" customFormat="1" x14ac:dyDescent="0.3"/>
    <row r="55289" s="160" customFormat="1" x14ac:dyDescent="0.3"/>
    <row r="55290" s="160" customFormat="1" x14ac:dyDescent="0.3"/>
    <row r="55291" s="160" customFormat="1" x14ac:dyDescent="0.3"/>
    <row r="55292" s="160" customFormat="1" x14ac:dyDescent="0.3"/>
    <row r="55293" s="160" customFormat="1" x14ac:dyDescent="0.3"/>
    <row r="55294" s="160" customFormat="1" x14ac:dyDescent="0.3"/>
    <row r="55295" s="160" customFormat="1" x14ac:dyDescent="0.3"/>
    <row r="55296" s="160" customFormat="1" x14ac:dyDescent="0.3"/>
    <row r="55297" s="160" customFormat="1" x14ac:dyDescent="0.3"/>
    <row r="55298" s="160" customFormat="1" x14ac:dyDescent="0.3"/>
    <row r="55299" s="160" customFormat="1" x14ac:dyDescent="0.3"/>
    <row r="55300" s="160" customFormat="1" x14ac:dyDescent="0.3"/>
    <row r="55301" s="160" customFormat="1" x14ac:dyDescent="0.3"/>
    <row r="55302" s="160" customFormat="1" x14ac:dyDescent="0.3"/>
    <row r="55303" s="160" customFormat="1" x14ac:dyDescent="0.3"/>
    <row r="55304" s="160" customFormat="1" x14ac:dyDescent="0.3"/>
    <row r="55305" s="160" customFormat="1" x14ac:dyDescent="0.3"/>
    <row r="55306" s="160" customFormat="1" x14ac:dyDescent="0.3"/>
    <row r="55307" s="160" customFormat="1" x14ac:dyDescent="0.3"/>
    <row r="55308" s="160" customFormat="1" x14ac:dyDescent="0.3"/>
    <row r="55309" s="160" customFormat="1" x14ac:dyDescent="0.3"/>
    <row r="55310" s="160" customFormat="1" x14ac:dyDescent="0.3"/>
    <row r="55311" s="160" customFormat="1" x14ac:dyDescent="0.3"/>
    <row r="55312" s="160" customFormat="1" x14ac:dyDescent="0.3"/>
    <row r="55313" s="160" customFormat="1" x14ac:dyDescent="0.3"/>
    <row r="55314" s="160" customFormat="1" x14ac:dyDescent="0.3"/>
    <row r="55315" s="160" customFormat="1" x14ac:dyDescent="0.3"/>
    <row r="55316" s="160" customFormat="1" x14ac:dyDescent="0.3"/>
    <row r="55317" s="160" customFormat="1" x14ac:dyDescent="0.3"/>
    <row r="55318" s="160" customFormat="1" x14ac:dyDescent="0.3"/>
    <row r="55319" s="160" customFormat="1" x14ac:dyDescent="0.3"/>
    <row r="55320" s="160" customFormat="1" x14ac:dyDescent="0.3"/>
    <row r="55321" s="160" customFormat="1" x14ac:dyDescent="0.3"/>
    <row r="55322" s="160" customFormat="1" x14ac:dyDescent="0.3"/>
    <row r="55323" s="160" customFormat="1" x14ac:dyDescent="0.3"/>
    <row r="55324" s="160" customFormat="1" x14ac:dyDescent="0.3"/>
    <row r="55325" s="160" customFormat="1" x14ac:dyDescent="0.3"/>
    <row r="55326" s="160" customFormat="1" x14ac:dyDescent="0.3"/>
    <row r="55327" s="160" customFormat="1" x14ac:dyDescent="0.3"/>
    <row r="55328" s="160" customFormat="1" x14ac:dyDescent="0.3"/>
    <row r="55329" s="160" customFormat="1" x14ac:dyDescent="0.3"/>
    <row r="55330" s="160" customFormat="1" x14ac:dyDescent="0.3"/>
    <row r="55331" s="160" customFormat="1" x14ac:dyDescent="0.3"/>
    <row r="55332" s="160" customFormat="1" x14ac:dyDescent="0.3"/>
    <row r="55333" s="160" customFormat="1" x14ac:dyDescent="0.3"/>
    <row r="55334" s="160" customFormat="1" x14ac:dyDescent="0.3"/>
    <row r="55335" s="160" customFormat="1" x14ac:dyDescent="0.3"/>
    <row r="55336" s="160" customFormat="1" x14ac:dyDescent="0.3"/>
    <row r="55337" s="160" customFormat="1" x14ac:dyDescent="0.3"/>
    <row r="55338" s="160" customFormat="1" x14ac:dyDescent="0.3"/>
    <row r="55339" s="160" customFormat="1" x14ac:dyDescent="0.3"/>
    <row r="55340" s="160" customFormat="1" x14ac:dyDescent="0.3"/>
    <row r="55341" s="160" customFormat="1" x14ac:dyDescent="0.3"/>
    <row r="55342" s="160" customFormat="1" x14ac:dyDescent="0.3"/>
    <row r="55343" s="160" customFormat="1" x14ac:dyDescent="0.3"/>
    <row r="55344" s="160" customFormat="1" x14ac:dyDescent="0.3"/>
    <row r="55345" s="160" customFormat="1" x14ac:dyDescent="0.3"/>
    <row r="55346" s="160" customFormat="1" x14ac:dyDescent="0.3"/>
    <row r="55347" s="160" customFormat="1" x14ac:dyDescent="0.3"/>
    <row r="55348" s="160" customFormat="1" x14ac:dyDescent="0.3"/>
    <row r="55349" s="160" customFormat="1" x14ac:dyDescent="0.3"/>
    <row r="55350" s="160" customFormat="1" x14ac:dyDescent="0.3"/>
    <row r="55351" s="160" customFormat="1" x14ac:dyDescent="0.3"/>
    <row r="55352" s="160" customFormat="1" x14ac:dyDescent="0.3"/>
    <row r="55353" s="160" customFormat="1" x14ac:dyDescent="0.3"/>
    <row r="55354" s="160" customFormat="1" x14ac:dyDescent="0.3"/>
    <row r="55355" s="160" customFormat="1" x14ac:dyDescent="0.3"/>
    <row r="55356" s="160" customFormat="1" x14ac:dyDescent="0.3"/>
    <row r="55357" s="160" customFormat="1" x14ac:dyDescent="0.3"/>
    <row r="55358" s="160" customFormat="1" x14ac:dyDescent="0.3"/>
    <row r="55359" s="160" customFormat="1" x14ac:dyDescent="0.3"/>
    <row r="55360" s="160" customFormat="1" x14ac:dyDescent="0.3"/>
    <row r="55361" s="160" customFormat="1" x14ac:dyDescent="0.3"/>
    <row r="55362" s="160" customFormat="1" x14ac:dyDescent="0.3"/>
    <row r="55363" s="160" customFormat="1" x14ac:dyDescent="0.3"/>
    <row r="55364" s="160" customFormat="1" x14ac:dyDescent="0.3"/>
    <row r="55365" s="160" customFormat="1" x14ac:dyDescent="0.3"/>
    <row r="55366" s="160" customFormat="1" x14ac:dyDescent="0.3"/>
    <row r="55367" s="160" customFormat="1" x14ac:dyDescent="0.3"/>
    <row r="55368" s="160" customFormat="1" x14ac:dyDescent="0.3"/>
    <row r="55369" s="160" customFormat="1" x14ac:dyDescent="0.3"/>
    <row r="55370" s="160" customFormat="1" x14ac:dyDescent="0.3"/>
    <row r="55371" s="160" customFormat="1" x14ac:dyDescent="0.3"/>
    <row r="55372" s="160" customFormat="1" x14ac:dyDescent="0.3"/>
    <row r="55373" s="160" customFormat="1" x14ac:dyDescent="0.3"/>
    <row r="55374" s="160" customFormat="1" x14ac:dyDescent="0.3"/>
    <row r="55375" s="160" customFormat="1" x14ac:dyDescent="0.3"/>
    <row r="55376" s="160" customFormat="1" x14ac:dyDescent="0.3"/>
    <row r="55377" s="160" customFormat="1" x14ac:dyDescent="0.3"/>
    <row r="55378" s="160" customFormat="1" x14ac:dyDescent="0.3"/>
    <row r="55379" s="160" customFormat="1" x14ac:dyDescent="0.3"/>
    <row r="55380" s="160" customFormat="1" x14ac:dyDescent="0.3"/>
    <row r="55381" s="160" customFormat="1" x14ac:dyDescent="0.3"/>
    <row r="55382" s="160" customFormat="1" x14ac:dyDescent="0.3"/>
    <row r="55383" s="160" customFormat="1" x14ac:dyDescent="0.3"/>
    <row r="55384" s="160" customFormat="1" x14ac:dyDescent="0.3"/>
    <row r="55385" s="160" customFormat="1" x14ac:dyDescent="0.3"/>
    <row r="55386" s="160" customFormat="1" x14ac:dyDescent="0.3"/>
    <row r="55387" s="160" customFormat="1" x14ac:dyDescent="0.3"/>
    <row r="55388" s="160" customFormat="1" x14ac:dyDescent="0.3"/>
    <row r="55389" s="160" customFormat="1" x14ac:dyDescent="0.3"/>
    <row r="55390" s="160" customFormat="1" x14ac:dyDescent="0.3"/>
    <row r="55391" s="160" customFormat="1" x14ac:dyDescent="0.3"/>
    <row r="55392" s="160" customFormat="1" x14ac:dyDescent="0.3"/>
    <row r="55393" s="160" customFormat="1" x14ac:dyDescent="0.3"/>
    <row r="55394" s="160" customFormat="1" x14ac:dyDescent="0.3"/>
    <row r="55395" s="160" customFormat="1" x14ac:dyDescent="0.3"/>
    <row r="55396" s="160" customFormat="1" x14ac:dyDescent="0.3"/>
    <row r="55397" s="160" customFormat="1" x14ac:dyDescent="0.3"/>
    <row r="55398" s="160" customFormat="1" x14ac:dyDescent="0.3"/>
    <row r="55399" s="160" customFormat="1" x14ac:dyDescent="0.3"/>
    <row r="55400" s="160" customFormat="1" x14ac:dyDescent="0.3"/>
    <row r="55401" s="160" customFormat="1" x14ac:dyDescent="0.3"/>
    <row r="55402" s="160" customFormat="1" x14ac:dyDescent="0.3"/>
    <row r="55403" s="160" customFormat="1" x14ac:dyDescent="0.3"/>
    <row r="55404" s="160" customFormat="1" x14ac:dyDescent="0.3"/>
    <row r="55405" s="160" customFormat="1" x14ac:dyDescent="0.3"/>
    <row r="55406" s="160" customFormat="1" x14ac:dyDescent="0.3"/>
    <row r="55407" s="160" customFormat="1" x14ac:dyDescent="0.3"/>
    <row r="55408" s="160" customFormat="1" x14ac:dyDescent="0.3"/>
    <row r="55409" s="160" customFormat="1" x14ac:dyDescent="0.3"/>
    <row r="55410" s="160" customFormat="1" x14ac:dyDescent="0.3"/>
    <row r="55411" s="160" customFormat="1" x14ac:dyDescent="0.3"/>
    <row r="55412" s="160" customFormat="1" x14ac:dyDescent="0.3"/>
    <row r="55413" s="160" customFormat="1" x14ac:dyDescent="0.3"/>
    <row r="55414" s="160" customFormat="1" x14ac:dyDescent="0.3"/>
    <row r="55415" s="160" customFormat="1" x14ac:dyDescent="0.3"/>
    <row r="55416" s="160" customFormat="1" x14ac:dyDescent="0.3"/>
    <row r="55417" s="160" customFormat="1" x14ac:dyDescent="0.3"/>
    <row r="55418" s="160" customFormat="1" x14ac:dyDescent="0.3"/>
    <row r="55419" s="160" customFormat="1" x14ac:dyDescent="0.3"/>
    <row r="55420" s="160" customFormat="1" x14ac:dyDescent="0.3"/>
    <row r="55421" s="160" customFormat="1" x14ac:dyDescent="0.3"/>
    <row r="55422" s="160" customFormat="1" x14ac:dyDescent="0.3"/>
    <row r="55423" s="160" customFormat="1" x14ac:dyDescent="0.3"/>
    <row r="55424" s="160" customFormat="1" x14ac:dyDescent="0.3"/>
    <row r="55425" s="160" customFormat="1" x14ac:dyDescent="0.3"/>
    <row r="55426" s="160" customFormat="1" x14ac:dyDescent="0.3"/>
    <row r="55427" s="160" customFormat="1" x14ac:dyDescent="0.3"/>
    <row r="55428" s="160" customFormat="1" x14ac:dyDescent="0.3"/>
    <row r="55429" s="160" customFormat="1" x14ac:dyDescent="0.3"/>
    <row r="55430" s="160" customFormat="1" x14ac:dyDescent="0.3"/>
    <row r="55431" s="160" customFormat="1" x14ac:dyDescent="0.3"/>
    <row r="55432" s="160" customFormat="1" x14ac:dyDescent="0.3"/>
    <row r="55433" s="160" customFormat="1" x14ac:dyDescent="0.3"/>
    <row r="55434" s="160" customFormat="1" x14ac:dyDescent="0.3"/>
    <row r="55435" s="160" customFormat="1" x14ac:dyDescent="0.3"/>
    <row r="55436" s="160" customFormat="1" x14ac:dyDescent="0.3"/>
    <row r="55437" s="160" customFormat="1" x14ac:dyDescent="0.3"/>
    <row r="55438" s="160" customFormat="1" x14ac:dyDescent="0.3"/>
    <row r="55439" s="160" customFormat="1" x14ac:dyDescent="0.3"/>
    <row r="55440" s="160" customFormat="1" x14ac:dyDescent="0.3"/>
    <row r="55441" s="160" customFormat="1" x14ac:dyDescent="0.3"/>
    <row r="55442" s="160" customFormat="1" x14ac:dyDescent="0.3"/>
    <row r="55443" s="160" customFormat="1" x14ac:dyDescent="0.3"/>
    <row r="55444" s="160" customFormat="1" x14ac:dyDescent="0.3"/>
    <row r="55445" s="160" customFormat="1" x14ac:dyDescent="0.3"/>
    <row r="55446" s="160" customFormat="1" x14ac:dyDescent="0.3"/>
    <row r="55447" s="160" customFormat="1" x14ac:dyDescent="0.3"/>
    <row r="55448" s="160" customFormat="1" x14ac:dyDescent="0.3"/>
    <row r="55449" s="160" customFormat="1" x14ac:dyDescent="0.3"/>
    <row r="55450" s="160" customFormat="1" x14ac:dyDescent="0.3"/>
    <row r="55451" s="160" customFormat="1" x14ac:dyDescent="0.3"/>
    <row r="55452" s="160" customFormat="1" x14ac:dyDescent="0.3"/>
    <row r="55453" s="160" customFormat="1" x14ac:dyDescent="0.3"/>
    <row r="55454" s="160" customFormat="1" x14ac:dyDescent="0.3"/>
    <row r="55455" s="160" customFormat="1" x14ac:dyDescent="0.3"/>
    <row r="55456" s="160" customFormat="1" x14ac:dyDescent="0.3"/>
    <row r="55457" s="160" customFormat="1" x14ac:dyDescent="0.3"/>
    <row r="55458" s="160" customFormat="1" x14ac:dyDescent="0.3"/>
    <row r="55459" s="160" customFormat="1" x14ac:dyDescent="0.3"/>
    <row r="55460" s="160" customFormat="1" x14ac:dyDescent="0.3"/>
    <row r="55461" s="160" customFormat="1" x14ac:dyDescent="0.3"/>
    <row r="55462" s="160" customFormat="1" x14ac:dyDescent="0.3"/>
    <row r="55463" s="160" customFormat="1" x14ac:dyDescent="0.3"/>
    <row r="55464" s="160" customFormat="1" x14ac:dyDescent="0.3"/>
    <row r="55465" s="160" customFormat="1" x14ac:dyDescent="0.3"/>
    <row r="55466" s="160" customFormat="1" x14ac:dyDescent="0.3"/>
    <row r="55467" s="160" customFormat="1" x14ac:dyDescent="0.3"/>
    <row r="55468" s="160" customFormat="1" x14ac:dyDescent="0.3"/>
    <row r="55469" s="160" customFormat="1" x14ac:dyDescent="0.3"/>
    <row r="55470" s="160" customFormat="1" x14ac:dyDescent="0.3"/>
    <row r="55471" s="160" customFormat="1" x14ac:dyDescent="0.3"/>
    <row r="55472" s="160" customFormat="1" x14ac:dyDescent="0.3"/>
    <row r="55473" s="160" customFormat="1" x14ac:dyDescent="0.3"/>
    <row r="55474" s="160" customFormat="1" x14ac:dyDescent="0.3"/>
    <row r="55475" s="160" customFormat="1" x14ac:dyDescent="0.3"/>
    <row r="55476" s="160" customFormat="1" x14ac:dyDescent="0.3"/>
    <row r="55477" s="160" customFormat="1" x14ac:dyDescent="0.3"/>
    <row r="55478" s="160" customFormat="1" x14ac:dyDescent="0.3"/>
    <row r="55479" s="160" customFormat="1" x14ac:dyDescent="0.3"/>
    <row r="55480" s="160" customFormat="1" x14ac:dyDescent="0.3"/>
    <row r="55481" s="160" customFormat="1" x14ac:dyDescent="0.3"/>
    <row r="55482" s="160" customFormat="1" x14ac:dyDescent="0.3"/>
    <row r="55483" s="160" customFormat="1" x14ac:dyDescent="0.3"/>
    <row r="55484" s="160" customFormat="1" x14ac:dyDescent="0.3"/>
    <row r="55485" s="160" customFormat="1" x14ac:dyDescent="0.3"/>
    <row r="55486" s="160" customFormat="1" x14ac:dyDescent="0.3"/>
    <row r="55487" s="160" customFormat="1" x14ac:dyDescent="0.3"/>
    <row r="55488" s="160" customFormat="1" x14ac:dyDescent="0.3"/>
    <row r="55489" s="160" customFormat="1" x14ac:dyDescent="0.3"/>
    <row r="55490" s="160" customFormat="1" x14ac:dyDescent="0.3"/>
    <row r="55491" s="160" customFormat="1" x14ac:dyDescent="0.3"/>
    <row r="55492" s="160" customFormat="1" x14ac:dyDescent="0.3"/>
    <row r="55493" s="160" customFormat="1" x14ac:dyDescent="0.3"/>
    <row r="55494" s="160" customFormat="1" x14ac:dyDescent="0.3"/>
    <row r="55495" s="160" customFormat="1" x14ac:dyDescent="0.3"/>
    <row r="55496" s="160" customFormat="1" x14ac:dyDescent="0.3"/>
    <row r="55497" s="160" customFormat="1" x14ac:dyDescent="0.3"/>
    <row r="55498" s="160" customFormat="1" x14ac:dyDescent="0.3"/>
    <row r="55499" s="160" customFormat="1" x14ac:dyDescent="0.3"/>
    <row r="55500" s="160" customFormat="1" x14ac:dyDescent="0.3"/>
    <row r="55501" s="160" customFormat="1" x14ac:dyDescent="0.3"/>
    <row r="55502" s="160" customFormat="1" x14ac:dyDescent="0.3"/>
    <row r="55503" s="160" customFormat="1" x14ac:dyDescent="0.3"/>
    <row r="55504" s="160" customFormat="1" x14ac:dyDescent="0.3"/>
    <row r="55505" s="160" customFormat="1" x14ac:dyDescent="0.3"/>
    <row r="55506" s="160" customFormat="1" x14ac:dyDescent="0.3"/>
    <row r="55507" s="160" customFormat="1" x14ac:dyDescent="0.3"/>
    <row r="55508" s="160" customFormat="1" x14ac:dyDescent="0.3"/>
    <row r="55509" s="160" customFormat="1" x14ac:dyDescent="0.3"/>
    <row r="55510" s="160" customFormat="1" x14ac:dyDescent="0.3"/>
    <row r="55511" s="160" customFormat="1" x14ac:dyDescent="0.3"/>
    <row r="55512" s="160" customFormat="1" x14ac:dyDescent="0.3"/>
    <row r="55513" s="160" customFormat="1" x14ac:dyDescent="0.3"/>
    <row r="55514" s="160" customFormat="1" x14ac:dyDescent="0.3"/>
    <row r="55515" s="160" customFormat="1" x14ac:dyDescent="0.3"/>
    <row r="55516" s="160" customFormat="1" x14ac:dyDescent="0.3"/>
    <row r="55517" s="160" customFormat="1" x14ac:dyDescent="0.3"/>
    <row r="55518" s="160" customFormat="1" x14ac:dyDescent="0.3"/>
    <row r="55519" s="160" customFormat="1" x14ac:dyDescent="0.3"/>
    <row r="55520" s="160" customFormat="1" x14ac:dyDescent="0.3"/>
    <row r="55521" s="160" customFormat="1" x14ac:dyDescent="0.3"/>
    <row r="55522" s="160" customFormat="1" x14ac:dyDescent="0.3"/>
    <row r="55523" s="160" customFormat="1" x14ac:dyDescent="0.3"/>
    <row r="55524" s="160" customFormat="1" x14ac:dyDescent="0.3"/>
    <row r="55525" s="160" customFormat="1" x14ac:dyDescent="0.3"/>
    <row r="55526" s="160" customFormat="1" x14ac:dyDescent="0.3"/>
    <row r="55527" s="160" customFormat="1" x14ac:dyDescent="0.3"/>
    <row r="55528" s="160" customFormat="1" x14ac:dyDescent="0.3"/>
    <row r="55529" s="160" customFormat="1" x14ac:dyDescent="0.3"/>
    <row r="55530" s="160" customFormat="1" x14ac:dyDescent="0.3"/>
    <row r="55531" s="160" customFormat="1" x14ac:dyDescent="0.3"/>
    <row r="55532" s="160" customFormat="1" x14ac:dyDescent="0.3"/>
    <row r="55533" s="160" customFormat="1" x14ac:dyDescent="0.3"/>
    <row r="55534" s="160" customFormat="1" x14ac:dyDescent="0.3"/>
    <row r="55535" s="160" customFormat="1" x14ac:dyDescent="0.3"/>
    <row r="55536" s="160" customFormat="1" x14ac:dyDescent="0.3"/>
    <row r="55537" s="160" customFormat="1" x14ac:dyDescent="0.3"/>
    <row r="55538" s="160" customFormat="1" x14ac:dyDescent="0.3"/>
    <row r="55539" s="160" customFormat="1" x14ac:dyDescent="0.3"/>
    <row r="55540" s="160" customFormat="1" x14ac:dyDescent="0.3"/>
    <row r="55541" s="160" customFormat="1" x14ac:dyDescent="0.3"/>
    <row r="55542" s="160" customFormat="1" x14ac:dyDescent="0.3"/>
    <row r="55543" s="160" customFormat="1" x14ac:dyDescent="0.3"/>
    <row r="55544" s="160" customFormat="1" x14ac:dyDescent="0.3"/>
    <row r="55545" s="160" customFormat="1" x14ac:dyDescent="0.3"/>
    <row r="55546" s="160" customFormat="1" x14ac:dyDescent="0.3"/>
    <row r="55547" s="160" customFormat="1" x14ac:dyDescent="0.3"/>
    <row r="55548" s="160" customFormat="1" x14ac:dyDescent="0.3"/>
    <row r="55549" s="160" customFormat="1" x14ac:dyDescent="0.3"/>
    <row r="55550" s="160" customFormat="1" x14ac:dyDescent="0.3"/>
    <row r="55551" s="160" customFormat="1" x14ac:dyDescent="0.3"/>
    <row r="55552" s="160" customFormat="1" x14ac:dyDescent="0.3"/>
    <row r="55553" s="160" customFormat="1" x14ac:dyDescent="0.3"/>
    <row r="55554" s="160" customFormat="1" x14ac:dyDescent="0.3"/>
    <row r="55555" s="160" customFormat="1" x14ac:dyDescent="0.3"/>
    <row r="55556" s="160" customFormat="1" x14ac:dyDescent="0.3"/>
    <row r="55557" s="160" customFormat="1" x14ac:dyDescent="0.3"/>
    <row r="55558" s="160" customFormat="1" x14ac:dyDescent="0.3"/>
    <row r="55559" s="160" customFormat="1" x14ac:dyDescent="0.3"/>
    <row r="55560" s="160" customFormat="1" x14ac:dyDescent="0.3"/>
    <row r="55561" s="160" customFormat="1" x14ac:dyDescent="0.3"/>
    <row r="55562" s="160" customFormat="1" x14ac:dyDescent="0.3"/>
    <row r="55563" s="160" customFormat="1" x14ac:dyDescent="0.3"/>
    <row r="55564" s="160" customFormat="1" x14ac:dyDescent="0.3"/>
    <row r="55565" s="160" customFormat="1" x14ac:dyDescent="0.3"/>
    <row r="55566" s="160" customFormat="1" x14ac:dyDescent="0.3"/>
    <row r="55567" s="160" customFormat="1" x14ac:dyDescent="0.3"/>
    <row r="55568" s="160" customFormat="1" x14ac:dyDescent="0.3"/>
    <row r="55569" s="160" customFormat="1" x14ac:dyDescent="0.3"/>
    <row r="55570" s="160" customFormat="1" x14ac:dyDescent="0.3"/>
    <row r="55571" s="160" customFormat="1" x14ac:dyDescent="0.3"/>
    <row r="55572" s="160" customFormat="1" x14ac:dyDescent="0.3"/>
    <row r="55573" s="160" customFormat="1" x14ac:dyDescent="0.3"/>
    <row r="55574" s="160" customFormat="1" x14ac:dyDescent="0.3"/>
    <row r="55575" s="160" customFormat="1" x14ac:dyDescent="0.3"/>
    <row r="55576" s="160" customFormat="1" x14ac:dyDescent="0.3"/>
    <row r="55577" s="160" customFormat="1" x14ac:dyDescent="0.3"/>
    <row r="55578" s="160" customFormat="1" x14ac:dyDescent="0.3"/>
    <row r="55579" s="160" customFormat="1" x14ac:dyDescent="0.3"/>
    <row r="55580" s="160" customFormat="1" x14ac:dyDescent="0.3"/>
    <row r="55581" s="160" customFormat="1" x14ac:dyDescent="0.3"/>
    <row r="55582" s="160" customFormat="1" x14ac:dyDescent="0.3"/>
    <row r="55583" s="160" customFormat="1" x14ac:dyDescent="0.3"/>
    <row r="55584" s="160" customFormat="1" x14ac:dyDescent="0.3"/>
    <row r="55585" s="160" customFormat="1" x14ac:dyDescent="0.3"/>
    <row r="55586" s="160" customFormat="1" x14ac:dyDescent="0.3"/>
    <row r="55587" s="160" customFormat="1" x14ac:dyDescent="0.3"/>
    <row r="55588" s="160" customFormat="1" x14ac:dyDescent="0.3"/>
    <row r="55589" s="160" customFormat="1" x14ac:dyDescent="0.3"/>
    <row r="55590" s="160" customFormat="1" x14ac:dyDescent="0.3"/>
    <row r="55591" s="160" customFormat="1" x14ac:dyDescent="0.3"/>
    <row r="55592" s="160" customFormat="1" x14ac:dyDescent="0.3"/>
    <row r="55593" s="160" customFormat="1" x14ac:dyDescent="0.3"/>
    <row r="55594" s="160" customFormat="1" x14ac:dyDescent="0.3"/>
    <row r="55595" s="160" customFormat="1" x14ac:dyDescent="0.3"/>
    <row r="55596" s="160" customFormat="1" x14ac:dyDescent="0.3"/>
    <row r="55597" s="160" customFormat="1" x14ac:dyDescent="0.3"/>
    <row r="55598" s="160" customFormat="1" x14ac:dyDescent="0.3"/>
    <row r="55599" s="160" customFormat="1" x14ac:dyDescent="0.3"/>
    <row r="55600" s="160" customFormat="1" x14ac:dyDescent="0.3"/>
    <row r="55601" s="160" customFormat="1" x14ac:dyDescent="0.3"/>
    <row r="55602" s="160" customFormat="1" x14ac:dyDescent="0.3"/>
    <row r="55603" s="160" customFormat="1" x14ac:dyDescent="0.3"/>
    <row r="55604" s="160" customFormat="1" x14ac:dyDescent="0.3"/>
    <row r="55605" s="160" customFormat="1" x14ac:dyDescent="0.3"/>
    <row r="55606" s="160" customFormat="1" x14ac:dyDescent="0.3"/>
    <row r="55607" s="160" customFormat="1" x14ac:dyDescent="0.3"/>
    <row r="55608" s="160" customFormat="1" x14ac:dyDescent="0.3"/>
    <row r="55609" s="160" customFormat="1" x14ac:dyDescent="0.3"/>
    <row r="55610" s="160" customFormat="1" x14ac:dyDescent="0.3"/>
    <row r="55611" s="160" customFormat="1" x14ac:dyDescent="0.3"/>
    <row r="55612" s="160" customFormat="1" x14ac:dyDescent="0.3"/>
    <row r="55613" s="160" customFormat="1" x14ac:dyDescent="0.3"/>
    <row r="55614" s="160" customFormat="1" x14ac:dyDescent="0.3"/>
    <row r="55615" s="160" customFormat="1" x14ac:dyDescent="0.3"/>
    <row r="55616" s="160" customFormat="1" x14ac:dyDescent="0.3"/>
    <row r="55617" s="160" customFormat="1" x14ac:dyDescent="0.3"/>
    <row r="55618" s="160" customFormat="1" x14ac:dyDescent="0.3"/>
    <row r="55619" s="160" customFormat="1" x14ac:dyDescent="0.3"/>
    <row r="55620" s="160" customFormat="1" x14ac:dyDescent="0.3"/>
    <row r="55621" s="160" customFormat="1" x14ac:dyDescent="0.3"/>
    <row r="55622" s="160" customFormat="1" x14ac:dyDescent="0.3"/>
    <row r="55623" s="160" customFormat="1" x14ac:dyDescent="0.3"/>
    <row r="55624" s="160" customFormat="1" x14ac:dyDescent="0.3"/>
    <row r="55625" s="160" customFormat="1" x14ac:dyDescent="0.3"/>
    <row r="55626" s="160" customFormat="1" x14ac:dyDescent="0.3"/>
    <row r="55627" s="160" customFormat="1" x14ac:dyDescent="0.3"/>
    <row r="55628" s="160" customFormat="1" x14ac:dyDescent="0.3"/>
    <row r="55629" s="160" customFormat="1" x14ac:dyDescent="0.3"/>
    <row r="55630" s="160" customFormat="1" x14ac:dyDescent="0.3"/>
    <row r="55631" s="160" customFormat="1" x14ac:dyDescent="0.3"/>
    <row r="55632" s="160" customFormat="1" x14ac:dyDescent="0.3"/>
    <row r="55633" s="160" customFormat="1" x14ac:dyDescent="0.3"/>
    <row r="55634" s="160" customFormat="1" x14ac:dyDescent="0.3"/>
    <row r="55635" s="160" customFormat="1" x14ac:dyDescent="0.3"/>
    <row r="55636" s="160" customFormat="1" x14ac:dyDescent="0.3"/>
    <row r="55637" s="160" customFormat="1" x14ac:dyDescent="0.3"/>
    <row r="55638" s="160" customFormat="1" x14ac:dyDescent="0.3"/>
    <row r="55639" s="160" customFormat="1" x14ac:dyDescent="0.3"/>
    <row r="55640" s="160" customFormat="1" x14ac:dyDescent="0.3"/>
    <row r="55641" s="160" customFormat="1" x14ac:dyDescent="0.3"/>
    <row r="55642" s="160" customFormat="1" x14ac:dyDescent="0.3"/>
    <row r="55643" s="160" customFormat="1" x14ac:dyDescent="0.3"/>
    <row r="55644" s="160" customFormat="1" x14ac:dyDescent="0.3"/>
    <row r="55645" s="160" customFormat="1" x14ac:dyDescent="0.3"/>
    <row r="55646" s="160" customFormat="1" x14ac:dyDescent="0.3"/>
    <row r="55647" s="160" customFormat="1" x14ac:dyDescent="0.3"/>
    <row r="55648" s="160" customFormat="1" x14ac:dyDescent="0.3"/>
    <row r="55649" s="160" customFormat="1" x14ac:dyDescent="0.3"/>
    <row r="55650" s="160" customFormat="1" x14ac:dyDescent="0.3"/>
    <row r="55651" s="160" customFormat="1" x14ac:dyDescent="0.3"/>
    <row r="55652" s="160" customFormat="1" x14ac:dyDescent="0.3"/>
    <row r="55653" s="160" customFormat="1" x14ac:dyDescent="0.3"/>
    <row r="55654" s="160" customFormat="1" x14ac:dyDescent="0.3"/>
    <row r="55655" s="160" customFormat="1" x14ac:dyDescent="0.3"/>
    <row r="55656" s="160" customFormat="1" x14ac:dyDescent="0.3"/>
    <row r="55657" s="160" customFormat="1" x14ac:dyDescent="0.3"/>
    <row r="55658" s="160" customFormat="1" x14ac:dyDescent="0.3"/>
    <row r="55659" s="160" customFormat="1" x14ac:dyDescent="0.3"/>
    <row r="55660" s="160" customFormat="1" x14ac:dyDescent="0.3"/>
    <row r="55661" s="160" customFormat="1" x14ac:dyDescent="0.3"/>
    <row r="55662" s="160" customFormat="1" x14ac:dyDescent="0.3"/>
    <row r="55663" s="160" customFormat="1" x14ac:dyDescent="0.3"/>
    <row r="55664" s="160" customFormat="1" x14ac:dyDescent="0.3"/>
    <row r="55665" s="160" customFormat="1" x14ac:dyDescent="0.3"/>
    <row r="55666" s="160" customFormat="1" x14ac:dyDescent="0.3"/>
    <row r="55667" s="160" customFormat="1" x14ac:dyDescent="0.3"/>
    <row r="55668" s="160" customFormat="1" x14ac:dyDescent="0.3"/>
    <row r="55669" s="160" customFormat="1" x14ac:dyDescent="0.3"/>
    <row r="55670" s="160" customFormat="1" x14ac:dyDescent="0.3"/>
    <row r="55671" s="160" customFormat="1" x14ac:dyDescent="0.3"/>
    <row r="55672" s="160" customFormat="1" x14ac:dyDescent="0.3"/>
    <row r="55673" s="160" customFormat="1" x14ac:dyDescent="0.3"/>
    <row r="55674" s="160" customFormat="1" x14ac:dyDescent="0.3"/>
    <row r="55675" s="160" customFormat="1" x14ac:dyDescent="0.3"/>
    <row r="55676" s="160" customFormat="1" x14ac:dyDescent="0.3"/>
    <row r="55677" s="160" customFormat="1" x14ac:dyDescent="0.3"/>
    <row r="55678" s="160" customFormat="1" x14ac:dyDescent="0.3"/>
    <row r="55679" s="160" customFormat="1" x14ac:dyDescent="0.3"/>
    <row r="55680" s="160" customFormat="1" x14ac:dyDescent="0.3"/>
    <row r="55681" s="160" customFormat="1" x14ac:dyDescent="0.3"/>
    <row r="55682" s="160" customFormat="1" x14ac:dyDescent="0.3"/>
    <row r="55683" s="160" customFormat="1" x14ac:dyDescent="0.3"/>
    <row r="55684" s="160" customFormat="1" x14ac:dyDescent="0.3"/>
    <row r="55685" s="160" customFormat="1" x14ac:dyDescent="0.3"/>
    <row r="55686" s="160" customFormat="1" x14ac:dyDescent="0.3"/>
    <row r="55687" s="160" customFormat="1" x14ac:dyDescent="0.3"/>
    <row r="55688" s="160" customFormat="1" x14ac:dyDescent="0.3"/>
    <row r="55689" s="160" customFormat="1" x14ac:dyDescent="0.3"/>
    <row r="55690" s="160" customFormat="1" x14ac:dyDescent="0.3"/>
    <row r="55691" s="160" customFormat="1" x14ac:dyDescent="0.3"/>
    <row r="55692" s="160" customFormat="1" x14ac:dyDescent="0.3"/>
    <row r="55693" s="160" customFormat="1" x14ac:dyDescent="0.3"/>
    <row r="55694" s="160" customFormat="1" x14ac:dyDescent="0.3"/>
    <row r="55695" s="160" customFormat="1" x14ac:dyDescent="0.3"/>
    <row r="55696" s="160" customFormat="1" x14ac:dyDescent="0.3"/>
    <row r="55697" s="160" customFormat="1" x14ac:dyDescent="0.3"/>
    <row r="55698" s="160" customFormat="1" x14ac:dyDescent="0.3"/>
    <row r="55699" s="160" customFormat="1" x14ac:dyDescent="0.3"/>
    <row r="55700" s="160" customFormat="1" x14ac:dyDescent="0.3"/>
    <row r="55701" s="160" customFormat="1" x14ac:dyDescent="0.3"/>
    <row r="55702" s="160" customFormat="1" x14ac:dyDescent="0.3"/>
    <row r="55703" s="160" customFormat="1" x14ac:dyDescent="0.3"/>
    <row r="55704" s="160" customFormat="1" x14ac:dyDescent="0.3"/>
    <row r="55705" s="160" customFormat="1" x14ac:dyDescent="0.3"/>
    <row r="55706" s="160" customFormat="1" x14ac:dyDescent="0.3"/>
    <row r="55707" s="160" customFormat="1" x14ac:dyDescent="0.3"/>
    <row r="55708" s="160" customFormat="1" x14ac:dyDescent="0.3"/>
    <row r="55709" s="160" customFormat="1" x14ac:dyDescent="0.3"/>
    <row r="55710" s="160" customFormat="1" x14ac:dyDescent="0.3"/>
    <row r="55711" s="160" customFormat="1" x14ac:dyDescent="0.3"/>
    <row r="55712" s="160" customFormat="1" x14ac:dyDescent="0.3"/>
    <row r="55713" s="160" customFormat="1" x14ac:dyDescent="0.3"/>
    <row r="55714" s="160" customFormat="1" x14ac:dyDescent="0.3"/>
    <row r="55715" s="160" customFormat="1" x14ac:dyDescent="0.3"/>
    <row r="55716" s="160" customFormat="1" x14ac:dyDescent="0.3"/>
    <row r="55717" s="160" customFormat="1" x14ac:dyDescent="0.3"/>
    <row r="55718" s="160" customFormat="1" x14ac:dyDescent="0.3"/>
    <row r="55719" s="160" customFormat="1" x14ac:dyDescent="0.3"/>
    <row r="55720" s="160" customFormat="1" x14ac:dyDescent="0.3"/>
    <row r="55721" s="160" customFormat="1" x14ac:dyDescent="0.3"/>
    <row r="55722" s="160" customFormat="1" x14ac:dyDescent="0.3"/>
    <row r="55723" s="160" customFormat="1" x14ac:dyDescent="0.3"/>
    <row r="55724" s="160" customFormat="1" x14ac:dyDescent="0.3"/>
    <row r="55725" s="160" customFormat="1" x14ac:dyDescent="0.3"/>
    <row r="55726" s="160" customFormat="1" x14ac:dyDescent="0.3"/>
    <row r="55727" s="160" customFormat="1" x14ac:dyDescent="0.3"/>
    <row r="55728" s="160" customFormat="1" x14ac:dyDescent="0.3"/>
    <row r="55729" s="160" customFormat="1" x14ac:dyDescent="0.3"/>
    <row r="55730" s="160" customFormat="1" x14ac:dyDescent="0.3"/>
    <row r="55731" s="160" customFormat="1" x14ac:dyDescent="0.3"/>
    <row r="55732" s="160" customFormat="1" x14ac:dyDescent="0.3"/>
    <row r="55733" s="160" customFormat="1" x14ac:dyDescent="0.3"/>
    <row r="55734" s="160" customFormat="1" x14ac:dyDescent="0.3"/>
    <row r="55735" s="160" customFormat="1" x14ac:dyDescent="0.3"/>
    <row r="55736" s="160" customFormat="1" x14ac:dyDescent="0.3"/>
    <row r="55737" s="160" customFormat="1" x14ac:dyDescent="0.3"/>
    <row r="55738" s="160" customFormat="1" x14ac:dyDescent="0.3"/>
    <row r="55739" s="160" customFormat="1" x14ac:dyDescent="0.3"/>
    <row r="55740" s="160" customFormat="1" x14ac:dyDescent="0.3"/>
    <row r="55741" s="160" customFormat="1" x14ac:dyDescent="0.3"/>
    <row r="55742" s="160" customFormat="1" x14ac:dyDescent="0.3"/>
    <row r="55743" s="160" customFormat="1" x14ac:dyDescent="0.3"/>
    <row r="55744" s="160" customFormat="1" x14ac:dyDescent="0.3"/>
    <row r="55745" s="160" customFormat="1" x14ac:dyDescent="0.3"/>
    <row r="55746" s="160" customFormat="1" x14ac:dyDescent="0.3"/>
    <row r="55747" s="160" customFormat="1" x14ac:dyDescent="0.3"/>
    <row r="55748" s="160" customFormat="1" x14ac:dyDescent="0.3"/>
    <row r="55749" s="160" customFormat="1" x14ac:dyDescent="0.3"/>
    <row r="55750" s="160" customFormat="1" x14ac:dyDescent="0.3"/>
    <row r="55751" s="160" customFormat="1" x14ac:dyDescent="0.3"/>
    <row r="55752" s="160" customFormat="1" x14ac:dyDescent="0.3"/>
    <row r="55753" s="160" customFormat="1" x14ac:dyDescent="0.3"/>
    <row r="55754" s="160" customFormat="1" x14ac:dyDescent="0.3"/>
    <row r="55755" s="160" customFormat="1" x14ac:dyDescent="0.3"/>
    <row r="55756" s="160" customFormat="1" x14ac:dyDescent="0.3"/>
    <row r="55757" s="160" customFormat="1" x14ac:dyDescent="0.3"/>
    <row r="55758" s="160" customFormat="1" x14ac:dyDescent="0.3"/>
    <row r="55759" s="160" customFormat="1" x14ac:dyDescent="0.3"/>
    <row r="55760" s="160" customFormat="1" x14ac:dyDescent="0.3"/>
    <row r="55761" s="160" customFormat="1" x14ac:dyDescent="0.3"/>
    <row r="55762" s="160" customFormat="1" x14ac:dyDescent="0.3"/>
    <row r="55763" s="160" customFormat="1" x14ac:dyDescent="0.3"/>
    <row r="55764" s="160" customFormat="1" x14ac:dyDescent="0.3"/>
    <row r="55765" s="160" customFormat="1" x14ac:dyDescent="0.3"/>
    <row r="55766" s="160" customFormat="1" x14ac:dyDescent="0.3"/>
    <row r="55767" s="160" customFormat="1" x14ac:dyDescent="0.3"/>
    <row r="55768" s="160" customFormat="1" x14ac:dyDescent="0.3"/>
    <row r="55769" s="160" customFormat="1" x14ac:dyDescent="0.3"/>
    <row r="55770" s="160" customFormat="1" x14ac:dyDescent="0.3"/>
    <row r="55771" s="160" customFormat="1" x14ac:dyDescent="0.3"/>
    <row r="55772" s="160" customFormat="1" x14ac:dyDescent="0.3"/>
    <row r="55773" s="160" customFormat="1" x14ac:dyDescent="0.3"/>
    <row r="55774" s="160" customFormat="1" x14ac:dyDescent="0.3"/>
    <row r="55775" s="160" customFormat="1" x14ac:dyDescent="0.3"/>
    <row r="55776" s="160" customFormat="1" x14ac:dyDescent="0.3"/>
    <row r="55777" s="160" customFormat="1" x14ac:dyDescent="0.3"/>
    <row r="55778" s="160" customFormat="1" x14ac:dyDescent="0.3"/>
    <row r="55779" s="160" customFormat="1" x14ac:dyDescent="0.3"/>
    <row r="55780" s="160" customFormat="1" x14ac:dyDescent="0.3"/>
    <row r="55781" s="160" customFormat="1" x14ac:dyDescent="0.3"/>
    <row r="55782" s="160" customFormat="1" x14ac:dyDescent="0.3"/>
    <row r="55783" s="160" customFormat="1" x14ac:dyDescent="0.3"/>
    <row r="55784" s="160" customFormat="1" x14ac:dyDescent="0.3"/>
    <row r="55785" s="160" customFormat="1" x14ac:dyDescent="0.3"/>
    <row r="55786" s="160" customFormat="1" x14ac:dyDescent="0.3"/>
    <row r="55787" s="160" customFormat="1" x14ac:dyDescent="0.3"/>
    <row r="55788" s="160" customFormat="1" x14ac:dyDescent="0.3"/>
    <row r="55789" s="160" customFormat="1" x14ac:dyDescent="0.3"/>
    <row r="55790" s="160" customFormat="1" x14ac:dyDescent="0.3"/>
    <row r="55791" s="160" customFormat="1" x14ac:dyDescent="0.3"/>
    <row r="55792" s="160" customFormat="1" x14ac:dyDescent="0.3"/>
    <row r="55793" s="160" customFormat="1" x14ac:dyDescent="0.3"/>
    <row r="55794" s="160" customFormat="1" x14ac:dyDescent="0.3"/>
    <row r="55795" s="160" customFormat="1" x14ac:dyDescent="0.3"/>
    <row r="55796" s="160" customFormat="1" x14ac:dyDescent="0.3"/>
    <row r="55797" s="160" customFormat="1" x14ac:dyDescent="0.3"/>
    <row r="55798" s="160" customFormat="1" x14ac:dyDescent="0.3"/>
    <row r="55799" s="160" customFormat="1" x14ac:dyDescent="0.3"/>
    <row r="55800" s="160" customFormat="1" x14ac:dyDescent="0.3"/>
    <row r="55801" s="160" customFormat="1" x14ac:dyDescent="0.3"/>
    <row r="55802" s="160" customFormat="1" x14ac:dyDescent="0.3"/>
    <row r="55803" s="160" customFormat="1" x14ac:dyDescent="0.3"/>
    <row r="55804" s="160" customFormat="1" x14ac:dyDescent="0.3"/>
    <row r="55805" s="160" customFormat="1" x14ac:dyDescent="0.3"/>
    <row r="55806" s="160" customFormat="1" x14ac:dyDescent="0.3"/>
    <row r="55807" s="160" customFormat="1" x14ac:dyDescent="0.3"/>
    <row r="55808" s="160" customFormat="1" x14ac:dyDescent="0.3"/>
    <row r="55809" s="160" customFormat="1" x14ac:dyDescent="0.3"/>
    <row r="55810" s="160" customFormat="1" x14ac:dyDescent="0.3"/>
    <row r="55811" s="160" customFormat="1" x14ac:dyDescent="0.3"/>
    <row r="55812" s="160" customFormat="1" x14ac:dyDescent="0.3"/>
    <row r="55813" s="160" customFormat="1" x14ac:dyDescent="0.3"/>
    <row r="55814" s="160" customFormat="1" x14ac:dyDescent="0.3"/>
    <row r="55815" s="160" customFormat="1" x14ac:dyDescent="0.3"/>
    <row r="55816" s="160" customFormat="1" x14ac:dyDescent="0.3"/>
    <row r="55817" s="160" customFormat="1" x14ac:dyDescent="0.3"/>
    <row r="55818" s="160" customFormat="1" x14ac:dyDescent="0.3"/>
    <row r="55819" s="160" customFormat="1" x14ac:dyDescent="0.3"/>
    <row r="55820" s="160" customFormat="1" x14ac:dyDescent="0.3"/>
    <row r="55821" s="160" customFormat="1" x14ac:dyDescent="0.3"/>
    <row r="55822" s="160" customFormat="1" x14ac:dyDescent="0.3"/>
    <row r="55823" s="160" customFormat="1" x14ac:dyDescent="0.3"/>
    <row r="55824" s="160" customFormat="1" x14ac:dyDescent="0.3"/>
    <row r="55825" s="160" customFormat="1" x14ac:dyDescent="0.3"/>
    <row r="55826" s="160" customFormat="1" x14ac:dyDescent="0.3"/>
    <row r="55827" s="160" customFormat="1" x14ac:dyDescent="0.3"/>
    <row r="55828" s="160" customFormat="1" x14ac:dyDescent="0.3"/>
    <row r="55829" s="160" customFormat="1" x14ac:dyDescent="0.3"/>
    <row r="55830" s="160" customFormat="1" x14ac:dyDescent="0.3"/>
    <row r="55831" s="160" customFormat="1" x14ac:dyDescent="0.3"/>
    <row r="55832" s="160" customFormat="1" x14ac:dyDescent="0.3"/>
    <row r="55833" s="160" customFormat="1" x14ac:dyDescent="0.3"/>
    <row r="55834" s="160" customFormat="1" x14ac:dyDescent="0.3"/>
    <row r="55835" s="160" customFormat="1" x14ac:dyDescent="0.3"/>
    <row r="55836" s="160" customFormat="1" x14ac:dyDescent="0.3"/>
    <row r="55837" s="160" customFormat="1" x14ac:dyDescent="0.3"/>
    <row r="55838" s="160" customFormat="1" x14ac:dyDescent="0.3"/>
    <row r="55839" s="160" customFormat="1" x14ac:dyDescent="0.3"/>
    <row r="55840" s="160" customFormat="1" x14ac:dyDescent="0.3"/>
    <row r="55841" s="160" customFormat="1" x14ac:dyDescent="0.3"/>
    <row r="55842" s="160" customFormat="1" x14ac:dyDescent="0.3"/>
    <row r="55843" s="160" customFormat="1" x14ac:dyDescent="0.3"/>
    <row r="55844" s="160" customFormat="1" x14ac:dyDescent="0.3"/>
    <row r="55845" s="160" customFormat="1" x14ac:dyDescent="0.3"/>
    <row r="55846" s="160" customFormat="1" x14ac:dyDescent="0.3"/>
    <row r="55847" s="160" customFormat="1" x14ac:dyDescent="0.3"/>
    <row r="55848" s="160" customFormat="1" x14ac:dyDescent="0.3"/>
    <row r="55849" s="160" customFormat="1" x14ac:dyDescent="0.3"/>
    <row r="55850" s="160" customFormat="1" x14ac:dyDescent="0.3"/>
    <row r="55851" s="160" customFormat="1" x14ac:dyDescent="0.3"/>
    <row r="55852" s="160" customFormat="1" x14ac:dyDescent="0.3"/>
    <row r="55853" s="160" customFormat="1" x14ac:dyDescent="0.3"/>
    <row r="55854" s="160" customFormat="1" x14ac:dyDescent="0.3"/>
    <row r="55855" s="160" customFormat="1" x14ac:dyDescent="0.3"/>
    <row r="55856" s="160" customFormat="1" x14ac:dyDescent="0.3"/>
    <row r="55857" s="160" customFormat="1" x14ac:dyDescent="0.3"/>
    <row r="55858" s="160" customFormat="1" x14ac:dyDescent="0.3"/>
    <row r="55859" s="160" customFormat="1" x14ac:dyDescent="0.3"/>
    <row r="55860" s="160" customFormat="1" x14ac:dyDescent="0.3"/>
    <row r="55861" s="160" customFormat="1" x14ac:dyDescent="0.3"/>
    <row r="55862" s="160" customFormat="1" x14ac:dyDescent="0.3"/>
    <row r="55863" s="160" customFormat="1" x14ac:dyDescent="0.3"/>
    <row r="55864" s="160" customFormat="1" x14ac:dyDescent="0.3"/>
    <row r="55865" s="160" customFormat="1" x14ac:dyDescent="0.3"/>
    <row r="55866" s="160" customFormat="1" x14ac:dyDescent="0.3"/>
    <row r="55867" s="160" customFormat="1" x14ac:dyDescent="0.3"/>
    <row r="55868" s="160" customFormat="1" x14ac:dyDescent="0.3"/>
    <row r="55869" s="160" customFormat="1" x14ac:dyDescent="0.3"/>
    <row r="55870" s="160" customFormat="1" x14ac:dyDescent="0.3"/>
    <row r="55871" s="160" customFormat="1" x14ac:dyDescent="0.3"/>
    <row r="55872" s="160" customFormat="1" x14ac:dyDescent="0.3"/>
    <row r="55873" s="160" customFormat="1" x14ac:dyDescent="0.3"/>
    <row r="55874" s="160" customFormat="1" x14ac:dyDescent="0.3"/>
    <row r="55875" s="160" customFormat="1" x14ac:dyDescent="0.3"/>
    <row r="55876" s="160" customFormat="1" x14ac:dyDescent="0.3"/>
    <row r="55877" s="160" customFormat="1" x14ac:dyDescent="0.3"/>
    <row r="55878" s="160" customFormat="1" x14ac:dyDescent="0.3"/>
    <row r="55879" s="160" customFormat="1" x14ac:dyDescent="0.3"/>
    <row r="55880" s="160" customFormat="1" x14ac:dyDescent="0.3"/>
    <row r="55881" s="160" customFormat="1" x14ac:dyDescent="0.3"/>
    <row r="55882" s="160" customFormat="1" x14ac:dyDescent="0.3"/>
    <row r="55883" s="160" customFormat="1" x14ac:dyDescent="0.3"/>
    <row r="55884" s="160" customFormat="1" x14ac:dyDescent="0.3"/>
    <row r="55885" s="160" customFormat="1" x14ac:dyDescent="0.3"/>
    <row r="55886" s="160" customFormat="1" x14ac:dyDescent="0.3"/>
    <row r="55887" s="160" customFormat="1" x14ac:dyDescent="0.3"/>
    <row r="55888" s="160" customFormat="1" x14ac:dyDescent="0.3"/>
    <row r="55889" s="160" customFormat="1" x14ac:dyDescent="0.3"/>
    <row r="55890" s="160" customFormat="1" x14ac:dyDescent="0.3"/>
    <row r="55891" s="160" customFormat="1" x14ac:dyDescent="0.3"/>
    <row r="55892" s="160" customFormat="1" x14ac:dyDescent="0.3"/>
    <row r="55893" s="160" customFormat="1" x14ac:dyDescent="0.3"/>
    <row r="55894" s="160" customFormat="1" x14ac:dyDescent="0.3"/>
    <row r="55895" s="160" customFormat="1" x14ac:dyDescent="0.3"/>
    <row r="55896" s="160" customFormat="1" x14ac:dyDescent="0.3"/>
    <row r="55897" s="160" customFormat="1" x14ac:dyDescent="0.3"/>
    <row r="55898" s="160" customFormat="1" x14ac:dyDescent="0.3"/>
    <row r="55899" s="160" customFormat="1" x14ac:dyDescent="0.3"/>
    <row r="55900" s="160" customFormat="1" x14ac:dyDescent="0.3"/>
    <row r="55901" s="160" customFormat="1" x14ac:dyDescent="0.3"/>
    <row r="55902" s="160" customFormat="1" x14ac:dyDescent="0.3"/>
    <row r="55903" s="160" customFormat="1" x14ac:dyDescent="0.3"/>
    <row r="55904" s="160" customFormat="1" x14ac:dyDescent="0.3"/>
    <row r="55905" s="160" customFormat="1" x14ac:dyDescent="0.3"/>
    <row r="55906" s="160" customFormat="1" x14ac:dyDescent="0.3"/>
    <row r="55907" s="160" customFormat="1" x14ac:dyDescent="0.3"/>
    <row r="55908" s="160" customFormat="1" x14ac:dyDescent="0.3"/>
    <row r="55909" s="160" customFormat="1" x14ac:dyDescent="0.3"/>
    <row r="55910" s="160" customFormat="1" x14ac:dyDescent="0.3"/>
    <row r="55911" s="160" customFormat="1" x14ac:dyDescent="0.3"/>
    <row r="55912" s="160" customFormat="1" x14ac:dyDescent="0.3"/>
    <row r="55913" s="160" customFormat="1" x14ac:dyDescent="0.3"/>
    <row r="55914" s="160" customFormat="1" x14ac:dyDescent="0.3"/>
    <row r="55915" s="160" customFormat="1" x14ac:dyDescent="0.3"/>
    <row r="55916" s="160" customFormat="1" x14ac:dyDescent="0.3"/>
    <row r="55917" s="160" customFormat="1" x14ac:dyDescent="0.3"/>
    <row r="55918" s="160" customFormat="1" x14ac:dyDescent="0.3"/>
    <row r="55919" s="160" customFormat="1" x14ac:dyDescent="0.3"/>
    <row r="55920" s="160" customFormat="1" x14ac:dyDescent="0.3"/>
    <row r="55921" s="160" customFormat="1" x14ac:dyDescent="0.3"/>
    <row r="55922" s="160" customFormat="1" x14ac:dyDescent="0.3"/>
    <row r="55923" s="160" customFormat="1" x14ac:dyDescent="0.3"/>
    <row r="55924" s="160" customFormat="1" x14ac:dyDescent="0.3"/>
    <row r="55925" s="160" customFormat="1" x14ac:dyDescent="0.3"/>
    <row r="55926" s="160" customFormat="1" x14ac:dyDescent="0.3"/>
    <row r="55927" s="160" customFormat="1" x14ac:dyDescent="0.3"/>
    <row r="55928" s="160" customFormat="1" x14ac:dyDescent="0.3"/>
    <row r="55929" s="160" customFormat="1" x14ac:dyDescent="0.3"/>
    <row r="55930" s="160" customFormat="1" x14ac:dyDescent="0.3"/>
    <row r="55931" s="160" customFormat="1" x14ac:dyDescent="0.3"/>
    <row r="55932" s="160" customFormat="1" x14ac:dyDescent="0.3"/>
    <row r="55933" s="160" customFormat="1" x14ac:dyDescent="0.3"/>
    <row r="55934" s="160" customFormat="1" x14ac:dyDescent="0.3"/>
    <row r="55935" s="160" customFormat="1" x14ac:dyDescent="0.3"/>
    <row r="55936" s="160" customFormat="1" x14ac:dyDescent="0.3"/>
    <row r="55937" s="160" customFormat="1" x14ac:dyDescent="0.3"/>
    <row r="55938" s="160" customFormat="1" x14ac:dyDescent="0.3"/>
    <row r="55939" s="160" customFormat="1" x14ac:dyDescent="0.3"/>
    <row r="55940" s="160" customFormat="1" x14ac:dyDescent="0.3"/>
    <row r="55941" s="160" customFormat="1" x14ac:dyDescent="0.3"/>
    <row r="55942" s="160" customFormat="1" x14ac:dyDescent="0.3"/>
    <row r="55943" s="160" customFormat="1" x14ac:dyDescent="0.3"/>
    <row r="55944" s="160" customFormat="1" x14ac:dyDescent="0.3"/>
    <row r="55945" s="160" customFormat="1" x14ac:dyDescent="0.3"/>
    <row r="55946" s="160" customFormat="1" x14ac:dyDescent="0.3"/>
    <row r="55947" s="160" customFormat="1" x14ac:dyDescent="0.3"/>
    <row r="55948" s="160" customFormat="1" x14ac:dyDescent="0.3"/>
    <row r="55949" s="160" customFormat="1" x14ac:dyDescent="0.3"/>
    <row r="55950" s="160" customFormat="1" x14ac:dyDescent="0.3"/>
    <row r="55951" s="160" customFormat="1" x14ac:dyDescent="0.3"/>
    <row r="55952" s="160" customFormat="1" x14ac:dyDescent="0.3"/>
    <row r="55953" s="160" customFormat="1" x14ac:dyDescent="0.3"/>
    <row r="55954" s="160" customFormat="1" x14ac:dyDescent="0.3"/>
    <row r="55955" s="160" customFormat="1" x14ac:dyDescent="0.3"/>
    <row r="55956" s="160" customFormat="1" x14ac:dyDescent="0.3"/>
    <row r="55957" s="160" customFormat="1" x14ac:dyDescent="0.3"/>
    <row r="55958" s="160" customFormat="1" x14ac:dyDescent="0.3"/>
    <row r="55959" s="160" customFormat="1" x14ac:dyDescent="0.3"/>
    <row r="55960" s="160" customFormat="1" x14ac:dyDescent="0.3"/>
    <row r="55961" s="160" customFormat="1" x14ac:dyDescent="0.3"/>
    <row r="55962" s="160" customFormat="1" x14ac:dyDescent="0.3"/>
    <row r="55963" s="160" customFormat="1" x14ac:dyDescent="0.3"/>
    <row r="55964" s="160" customFormat="1" x14ac:dyDescent="0.3"/>
    <row r="55965" s="160" customFormat="1" x14ac:dyDescent="0.3"/>
    <row r="55966" s="160" customFormat="1" x14ac:dyDescent="0.3"/>
    <row r="55967" s="160" customFormat="1" x14ac:dyDescent="0.3"/>
    <row r="55968" s="160" customFormat="1" x14ac:dyDescent="0.3"/>
    <row r="55969" s="160" customFormat="1" x14ac:dyDescent="0.3"/>
    <row r="55970" s="160" customFormat="1" x14ac:dyDescent="0.3"/>
    <row r="55971" s="160" customFormat="1" x14ac:dyDescent="0.3"/>
    <row r="55972" s="160" customFormat="1" x14ac:dyDescent="0.3"/>
    <row r="55973" s="160" customFormat="1" x14ac:dyDescent="0.3"/>
    <row r="55974" s="160" customFormat="1" x14ac:dyDescent="0.3"/>
    <row r="55975" s="160" customFormat="1" x14ac:dyDescent="0.3"/>
    <row r="55976" s="160" customFormat="1" x14ac:dyDescent="0.3"/>
    <row r="55977" s="160" customFormat="1" x14ac:dyDescent="0.3"/>
    <row r="55978" s="160" customFormat="1" x14ac:dyDescent="0.3"/>
    <row r="55979" s="160" customFormat="1" x14ac:dyDescent="0.3"/>
    <row r="55980" s="160" customFormat="1" x14ac:dyDescent="0.3"/>
    <row r="55981" s="160" customFormat="1" x14ac:dyDescent="0.3"/>
    <row r="55982" s="160" customFormat="1" x14ac:dyDescent="0.3"/>
    <row r="55983" s="160" customFormat="1" x14ac:dyDescent="0.3"/>
    <row r="55984" s="160" customFormat="1" x14ac:dyDescent="0.3"/>
    <row r="55985" s="160" customFormat="1" x14ac:dyDescent="0.3"/>
    <row r="55986" s="160" customFormat="1" x14ac:dyDescent="0.3"/>
    <row r="55987" s="160" customFormat="1" x14ac:dyDescent="0.3"/>
    <row r="55988" s="160" customFormat="1" x14ac:dyDescent="0.3"/>
    <row r="55989" s="160" customFormat="1" x14ac:dyDescent="0.3"/>
    <row r="55990" s="160" customFormat="1" x14ac:dyDescent="0.3"/>
    <row r="55991" s="160" customFormat="1" x14ac:dyDescent="0.3"/>
    <row r="55992" s="160" customFormat="1" x14ac:dyDescent="0.3"/>
    <row r="55993" s="160" customFormat="1" x14ac:dyDescent="0.3"/>
    <row r="55994" s="160" customFormat="1" x14ac:dyDescent="0.3"/>
    <row r="55995" s="160" customFormat="1" x14ac:dyDescent="0.3"/>
    <row r="55996" s="160" customFormat="1" x14ac:dyDescent="0.3"/>
    <row r="55997" s="160" customFormat="1" x14ac:dyDescent="0.3"/>
    <row r="55998" s="160" customFormat="1" x14ac:dyDescent="0.3"/>
    <row r="55999" s="160" customFormat="1" x14ac:dyDescent="0.3"/>
    <row r="56000" s="160" customFormat="1" x14ac:dyDescent="0.3"/>
    <row r="56001" s="160" customFormat="1" x14ac:dyDescent="0.3"/>
    <row r="56002" s="160" customFormat="1" x14ac:dyDescent="0.3"/>
    <row r="56003" s="160" customFormat="1" x14ac:dyDescent="0.3"/>
    <row r="56004" s="160" customFormat="1" x14ac:dyDescent="0.3"/>
    <row r="56005" s="160" customFormat="1" x14ac:dyDescent="0.3"/>
    <row r="56006" s="160" customFormat="1" x14ac:dyDescent="0.3"/>
    <row r="56007" s="160" customFormat="1" x14ac:dyDescent="0.3"/>
    <row r="56008" s="160" customFormat="1" x14ac:dyDescent="0.3"/>
    <row r="56009" s="160" customFormat="1" x14ac:dyDescent="0.3"/>
    <row r="56010" s="160" customFormat="1" x14ac:dyDescent="0.3"/>
    <row r="56011" s="160" customFormat="1" x14ac:dyDescent="0.3"/>
    <row r="56012" s="160" customFormat="1" x14ac:dyDescent="0.3"/>
    <row r="56013" s="160" customFormat="1" x14ac:dyDescent="0.3"/>
    <row r="56014" s="160" customFormat="1" x14ac:dyDescent="0.3"/>
    <row r="56015" s="160" customFormat="1" x14ac:dyDescent="0.3"/>
    <row r="56016" s="160" customFormat="1" x14ac:dyDescent="0.3"/>
    <row r="56017" s="160" customFormat="1" x14ac:dyDescent="0.3"/>
    <row r="56018" s="160" customFormat="1" x14ac:dyDescent="0.3"/>
    <row r="56019" s="160" customFormat="1" x14ac:dyDescent="0.3"/>
    <row r="56020" s="160" customFormat="1" x14ac:dyDescent="0.3"/>
    <row r="56021" s="160" customFormat="1" x14ac:dyDescent="0.3"/>
    <row r="56022" s="160" customFormat="1" x14ac:dyDescent="0.3"/>
    <row r="56023" s="160" customFormat="1" x14ac:dyDescent="0.3"/>
    <row r="56024" s="160" customFormat="1" x14ac:dyDescent="0.3"/>
    <row r="56025" s="160" customFormat="1" x14ac:dyDescent="0.3"/>
    <row r="56026" s="160" customFormat="1" x14ac:dyDescent="0.3"/>
    <row r="56027" s="160" customFormat="1" x14ac:dyDescent="0.3"/>
    <row r="56028" s="160" customFormat="1" x14ac:dyDescent="0.3"/>
    <row r="56029" s="160" customFormat="1" x14ac:dyDescent="0.3"/>
    <row r="56030" s="160" customFormat="1" x14ac:dyDescent="0.3"/>
    <row r="56031" s="160" customFormat="1" x14ac:dyDescent="0.3"/>
    <row r="56032" s="160" customFormat="1" x14ac:dyDescent="0.3"/>
    <row r="56033" s="160" customFormat="1" x14ac:dyDescent="0.3"/>
    <row r="56034" s="160" customFormat="1" x14ac:dyDescent="0.3"/>
    <row r="56035" s="160" customFormat="1" x14ac:dyDescent="0.3"/>
    <row r="56036" s="160" customFormat="1" x14ac:dyDescent="0.3"/>
    <row r="56037" s="160" customFormat="1" x14ac:dyDescent="0.3"/>
    <row r="56038" s="160" customFormat="1" x14ac:dyDescent="0.3"/>
    <row r="56039" s="160" customFormat="1" x14ac:dyDescent="0.3"/>
    <row r="56040" s="160" customFormat="1" x14ac:dyDescent="0.3"/>
    <row r="56041" s="160" customFormat="1" x14ac:dyDescent="0.3"/>
    <row r="56042" s="160" customFormat="1" x14ac:dyDescent="0.3"/>
    <row r="56043" s="160" customFormat="1" x14ac:dyDescent="0.3"/>
    <row r="56044" s="160" customFormat="1" x14ac:dyDescent="0.3"/>
    <row r="56045" s="160" customFormat="1" x14ac:dyDescent="0.3"/>
    <row r="56046" s="160" customFormat="1" x14ac:dyDescent="0.3"/>
    <row r="56047" s="160" customFormat="1" x14ac:dyDescent="0.3"/>
    <row r="56048" s="160" customFormat="1" x14ac:dyDescent="0.3"/>
    <row r="56049" s="160" customFormat="1" x14ac:dyDescent="0.3"/>
    <row r="56050" s="160" customFormat="1" x14ac:dyDescent="0.3"/>
    <row r="56051" s="160" customFormat="1" x14ac:dyDescent="0.3"/>
    <row r="56052" s="160" customFormat="1" x14ac:dyDescent="0.3"/>
    <row r="56053" s="160" customFormat="1" x14ac:dyDescent="0.3"/>
    <row r="56054" s="160" customFormat="1" x14ac:dyDescent="0.3"/>
    <row r="56055" s="160" customFormat="1" x14ac:dyDescent="0.3"/>
    <row r="56056" s="160" customFormat="1" x14ac:dyDescent="0.3"/>
    <row r="56057" s="160" customFormat="1" x14ac:dyDescent="0.3"/>
    <row r="56058" s="160" customFormat="1" x14ac:dyDescent="0.3"/>
    <row r="56059" s="160" customFormat="1" x14ac:dyDescent="0.3"/>
    <row r="56060" s="160" customFormat="1" x14ac:dyDescent="0.3"/>
    <row r="56061" s="160" customFormat="1" x14ac:dyDescent="0.3"/>
    <row r="56062" s="160" customFormat="1" x14ac:dyDescent="0.3"/>
    <row r="56063" s="160" customFormat="1" x14ac:dyDescent="0.3"/>
    <row r="56064" s="160" customFormat="1" x14ac:dyDescent="0.3"/>
    <row r="56065" s="160" customFormat="1" x14ac:dyDescent="0.3"/>
    <row r="56066" s="160" customFormat="1" x14ac:dyDescent="0.3"/>
    <row r="56067" s="160" customFormat="1" x14ac:dyDescent="0.3"/>
    <row r="56068" s="160" customFormat="1" x14ac:dyDescent="0.3"/>
    <row r="56069" s="160" customFormat="1" x14ac:dyDescent="0.3"/>
    <row r="56070" s="160" customFormat="1" x14ac:dyDescent="0.3"/>
    <row r="56071" s="160" customFormat="1" x14ac:dyDescent="0.3"/>
    <row r="56072" s="160" customFormat="1" x14ac:dyDescent="0.3"/>
    <row r="56073" s="160" customFormat="1" x14ac:dyDescent="0.3"/>
    <row r="56074" s="160" customFormat="1" x14ac:dyDescent="0.3"/>
    <row r="56075" s="160" customFormat="1" x14ac:dyDescent="0.3"/>
    <row r="56076" s="160" customFormat="1" x14ac:dyDescent="0.3"/>
    <row r="56077" s="160" customFormat="1" x14ac:dyDescent="0.3"/>
    <row r="56078" s="160" customFormat="1" x14ac:dyDescent="0.3"/>
    <row r="56079" s="160" customFormat="1" x14ac:dyDescent="0.3"/>
    <row r="56080" s="160" customFormat="1" x14ac:dyDescent="0.3"/>
    <row r="56081" s="160" customFormat="1" x14ac:dyDescent="0.3"/>
    <row r="56082" s="160" customFormat="1" x14ac:dyDescent="0.3"/>
    <row r="56083" s="160" customFormat="1" x14ac:dyDescent="0.3"/>
    <row r="56084" s="160" customFormat="1" x14ac:dyDescent="0.3"/>
    <row r="56085" s="160" customFormat="1" x14ac:dyDescent="0.3"/>
    <row r="56086" s="160" customFormat="1" x14ac:dyDescent="0.3"/>
    <row r="56087" s="160" customFormat="1" x14ac:dyDescent="0.3"/>
    <row r="56088" s="160" customFormat="1" x14ac:dyDescent="0.3"/>
    <row r="56089" s="160" customFormat="1" x14ac:dyDescent="0.3"/>
    <row r="56090" s="160" customFormat="1" x14ac:dyDescent="0.3"/>
    <row r="56091" s="160" customFormat="1" x14ac:dyDescent="0.3"/>
    <row r="56092" s="160" customFormat="1" x14ac:dyDescent="0.3"/>
    <row r="56093" s="160" customFormat="1" x14ac:dyDescent="0.3"/>
    <row r="56094" s="160" customFormat="1" x14ac:dyDescent="0.3"/>
    <row r="56095" s="160" customFormat="1" x14ac:dyDescent="0.3"/>
    <row r="56096" s="160" customFormat="1" x14ac:dyDescent="0.3"/>
    <row r="56097" s="160" customFormat="1" x14ac:dyDescent="0.3"/>
    <row r="56098" s="160" customFormat="1" x14ac:dyDescent="0.3"/>
    <row r="56099" s="160" customFormat="1" x14ac:dyDescent="0.3"/>
    <row r="56100" s="160" customFormat="1" x14ac:dyDescent="0.3"/>
    <row r="56101" s="160" customFormat="1" x14ac:dyDescent="0.3"/>
    <row r="56102" s="160" customFormat="1" x14ac:dyDescent="0.3"/>
    <row r="56103" s="160" customFormat="1" x14ac:dyDescent="0.3"/>
    <row r="56104" s="160" customFormat="1" x14ac:dyDescent="0.3"/>
    <row r="56105" s="160" customFormat="1" x14ac:dyDescent="0.3"/>
    <row r="56106" s="160" customFormat="1" x14ac:dyDescent="0.3"/>
    <row r="56107" s="160" customFormat="1" x14ac:dyDescent="0.3"/>
    <row r="56108" s="160" customFormat="1" x14ac:dyDescent="0.3"/>
    <row r="56109" s="160" customFormat="1" x14ac:dyDescent="0.3"/>
    <row r="56110" s="160" customFormat="1" x14ac:dyDescent="0.3"/>
    <row r="56111" s="160" customFormat="1" x14ac:dyDescent="0.3"/>
    <row r="56112" s="160" customFormat="1" x14ac:dyDescent="0.3"/>
    <row r="56113" s="160" customFormat="1" x14ac:dyDescent="0.3"/>
    <row r="56114" s="160" customFormat="1" x14ac:dyDescent="0.3"/>
    <row r="56115" s="160" customFormat="1" x14ac:dyDescent="0.3"/>
    <row r="56116" s="160" customFormat="1" x14ac:dyDescent="0.3"/>
    <row r="56117" s="160" customFormat="1" x14ac:dyDescent="0.3"/>
    <row r="56118" s="160" customFormat="1" x14ac:dyDescent="0.3"/>
    <row r="56119" s="160" customFormat="1" x14ac:dyDescent="0.3"/>
    <row r="56120" s="160" customFormat="1" x14ac:dyDescent="0.3"/>
    <row r="56121" s="160" customFormat="1" x14ac:dyDescent="0.3"/>
    <row r="56122" s="160" customFormat="1" x14ac:dyDescent="0.3"/>
    <row r="56123" s="160" customFormat="1" x14ac:dyDescent="0.3"/>
    <row r="56124" s="160" customFormat="1" x14ac:dyDescent="0.3"/>
    <row r="56125" s="160" customFormat="1" x14ac:dyDescent="0.3"/>
    <row r="56126" s="160" customFormat="1" x14ac:dyDescent="0.3"/>
    <row r="56127" s="160" customFormat="1" x14ac:dyDescent="0.3"/>
    <row r="56128" s="160" customFormat="1" x14ac:dyDescent="0.3"/>
    <row r="56129" s="160" customFormat="1" x14ac:dyDescent="0.3"/>
    <row r="56130" s="160" customFormat="1" x14ac:dyDescent="0.3"/>
    <row r="56131" s="160" customFormat="1" x14ac:dyDescent="0.3"/>
    <row r="56132" s="160" customFormat="1" x14ac:dyDescent="0.3"/>
    <row r="56133" s="160" customFormat="1" x14ac:dyDescent="0.3"/>
    <row r="56134" s="160" customFormat="1" x14ac:dyDescent="0.3"/>
    <row r="56135" s="160" customFormat="1" x14ac:dyDescent="0.3"/>
    <row r="56136" s="160" customFormat="1" x14ac:dyDescent="0.3"/>
    <row r="56137" s="160" customFormat="1" x14ac:dyDescent="0.3"/>
    <row r="56138" s="160" customFormat="1" x14ac:dyDescent="0.3"/>
    <row r="56139" s="160" customFormat="1" x14ac:dyDescent="0.3"/>
    <row r="56140" s="160" customFormat="1" x14ac:dyDescent="0.3"/>
    <row r="56141" s="160" customFormat="1" x14ac:dyDescent="0.3"/>
    <row r="56142" s="160" customFormat="1" x14ac:dyDescent="0.3"/>
    <row r="56143" s="160" customFormat="1" x14ac:dyDescent="0.3"/>
    <row r="56144" s="160" customFormat="1" x14ac:dyDescent="0.3"/>
    <row r="56145" s="160" customFormat="1" x14ac:dyDescent="0.3"/>
    <row r="56146" s="160" customFormat="1" x14ac:dyDescent="0.3"/>
    <row r="56147" s="160" customFormat="1" x14ac:dyDescent="0.3"/>
    <row r="56148" s="160" customFormat="1" x14ac:dyDescent="0.3"/>
    <row r="56149" s="160" customFormat="1" x14ac:dyDescent="0.3"/>
    <row r="56150" s="160" customFormat="1" x14ac:dyDescent="0.3"/>
    <row r="56151" s="160" customFormat="1" x14ac:dyDescent="0.3"/>
    <row r="56152" s="160" customFormat="1" x14ac:dyDescent="0.3"/>
    <row r="56153" s="160" customFormat="1" x14ac:dyDescent="0.3"/>
    <row r="56154" s="160" customFormat="1" x14ac:dyDescent="0.3"/>
    <row r="56155" s="160" customFormat="1" x14ac:dyDescent="0.3"/>
    <row r="56156" s="160" customFormat="1" x14ac:dyDescent="0.3"/>
    <row r="56157" s="160" customFormat="1" x14ac:dyDescent="0.3"/>
    <row r="56158" s="160" customFormat="1" x14ac:dyDescent="0.3"/>
    <row r="56159" s="160" customFormat="1" x14ac:dyDescent="0.3"/>
    <row r="56160" s="160" customFormat="1" x14ac:dyDescent="0.3"/>
    <row r="56161" s="160" customFormat="1" x14ac:dyDescent="0.3"/>
    <row r="56162" s="160" customFormat="1" x14ac:dyDescent="0.3"/>
    <row r="56163" s="160" customFormat="1" x14ac:dyDescent="0.3"/>
    <row r="56164" s="160" customFormat="1" x14ac:dyDescent="0.3"/>
    <row r="56165" s="160" customFormat="1" x14ac:dyDescent="0.3"/>
    <row r="56166" s="160" customFormat="1" x14ac:dyDescent="0.3"/>
    <row r="56167" s="160" customFormat="1" x14ac:dyDescent="0.3"/>
    <row r="56168" s="160" customFormat="1" x14ac:dyDescent="0.3"/>
    <row r="56169" s="160" customFormat="1" x14ac:dyDescent="0.3"/>
    <row r="56170" s="160" customFormat="1" x14ac:dyDescent="0.3"/>
    <row r="56171" s="160" customFormat="1" x14ac:dyDescent="0.3"/>
    <row r="56172" s="160" customFormat="1" x14ac:dyDescent="0.3"/>
    <row r="56173" s="160" customFormat="1" x14ac:dyDescent="0.3"/>
    <row r="56174" s="160" customFormat="1" x14ac:dyDescent="0.3"/>
    <row r="56175" s="160" customFormat="1" x14ac:dyDescent="0.3"/>
    <row r="56176" s="160" customFormat="1" x14ac:dyDescent="0.3"/>
    <row r="56177" s="160" customFormat="1" x14ac:dyDescent="0.3"/>
    <row r="56178" s="160" customFormat="1" x14ac:dyDescent="0.3"/>
    <row r="56179" s="160" customFormat="1" x14ac:dyDescent="0.3"/>
    <row r="56180" s="160" customFormat="1" x14ac:dyDescent="0.3"/>
    <row r="56181" s="160" customFormat="1" x14ac:dyDescent="0.3"/>
    <row r="56182" s="160" customFormat="1" x14ac:dyDescent="0.3"/>
    <row r="56183" s="160" customFormat="1" x14ac:dyDescent="0.3"/>
    <row r="56184" s="160" customFormat="1" x14ac:dyDescent="0.3"/>
    <row r="56185" s="160" customFormat="1" x14ac:dyDescent="0.3"/>
    <row r="56186" s="160" customFormat="1" x14ac:dyDescent="0.3"/>
    <row r="56187" s="160" customFormat="1" x14ac:dyDescent="0.3"/>
    <row r="56188" s="160" customFormat="1" x14ac:dyDescent="0.3"/>
    <row r="56189" s="160" customFormat="1" x14ac:dyDescent="0.3"/>
    <row r="56190" s="160" customFormat="1" x14ac:dyDescent="0.3"/>
    <row r="56191" s="160" customFormat="1" x14ac:dyDescent="0.3"/>
    <row r="56192" s="160" customFormat="1" x14ac:dyDescent="0.3"/>
    <row r="56193" s="160" customFormat="1" x14ac:dyDescent="0.3"/>
    <row r="56194" s="160" customFormat="1" x14ac:dyDescent="0.3"/>
    <row r="56195" s="160" customFormat="1" x14ac:dyDescent="0.3"/>
    <row r="56196" s="160" customFormat="1" x14ac:dyDescent="0.3"/>
    <row r="56197" s="160" customFormat="1" x14ac:dyDescent="0.3"/>
    <row r="56198" s="160" customFormat="1" x14ac:dyDescent="0.3"/>
    <row r="56199" s="160" customFormat="1" x14ac:dyDescent="0.3"/>
    <row r="56200" s="160" customFormat="1" x14ac:dyDescent="0.3"/>
    <row r="56201" s="160" customFormat="1" x14ac:dyDescent="0.3"/>
    <row r="56202" s="160" customFormat="1" x14ac:dyDescent="0.3"/>
    <row r="56203" s="160" customFormat="1" x14ac:dyDescent="0.3"/>
    <row r="56204" s="160" customFormat="1" x14ac:dyDescent="0.3"/>
    <row r="56205" s="160" customFormat="1" x14ac:dyDescent="0.3"/>
    <row r="56206" s="160" customFormat="1" x14ac:dyDescent="0.3"/>
    <row r="56207" s="160" customFormat="1" x14ac:dyDescent="0.3"/>
    <row r="56208" s="160" customFormat="1" x14ac:dyDescent="0.3"/>
    <row r="56209" s="160" customFormat="1" x14ac:dyDescent="0.3"/>
    <row r="56210" s="160" customFormat="1" x14ac:dyDescent="0.3"/>
    <row r="56211" s="160" customFormat="1" x14ac:dyDescent="0.3"/>
    <row r="56212" s="160" customFormat="1" x14ac:dyDescent="0.3"/>
    <row r="56213" s="160" customFormat="1" x14ac:dyDescent="0.3"/>
    <row r="56214" s="160" customFormat="1" x14ac:dyDescent="0.3"/>
    <row r="56215" s="160" customFormat="1" x14ac:dyDescent="0.3"/>
    <row r="56216" s="160" customFormat="1" x14ac:dyDescent="0.3"/>
    <row r="56217" s="160" customFormat="1" x14ac:dyDescent="0.3"/>
    <row r="56218" s="160" customFormat="1" x14ac:dyDescent="0.3"/>
    <row r="56219" s="160" customFormat="1" x14ac:dyDescent="0.3"/>
    <row r="56220" s="160" customFormat="1" x14ac:dyDescent="0.3"/>
    <row r="56221" s="160" customFormat="1" x14ac:dyDescent="0.3"/>
    <row r="56222" s="160" customFormat="1" x14ac:dyDescent="0.3"/>
    <row r="56223" s="160" customFormat="1" x14ac:dyDescent="0.3"/>
    <row r="56224" s="160" customFormat="1" x14ac:dyDescent="0.3"/>
    <row r="56225" s="160" customFormat="1" x14ac:dyDescent="0.3"/>
    <row r="56226" s="160" customFormat="1" x14ac:dyDescent="0.3"/>
    <row r="56227" s="160" customFormat="1" x14ac:dyDescent="0.3"/>
    <row r="56228" s="160" customFormat="1" x14ac:dyDescent="0.3"/>
    <row r="56229" s="160" customFormat="1" x14ac:dyDescent="0.3"/>
    <row r="56230" s="160" customFormat="1" x14ac:dyDescent="0.3"/>
    <row r="56231" s="160" customFormat="1" x14ac:dyDescent="0.3"/>
    <row r="56232" s="160" customFormat="1" x14ac:dyDescent="0.3"/>
    <row r="56233" s="160" customFormat="1" x14ac:dyDescent="0.3"/>
    <row r="56234" s="160" customFormat="1" x14ac:dyDescent="0.3"/>
    <row r="56235" s="160" customFormat="1" x14ac:dyDescent="0.3"/>
    <row r="56236" s="160" customFormat="1" x14ac:dyDescent="0.3"/>
    <row r="56237" s="160" customFormat="1" x14ac:dyDescent="0.3"/>
    <row r="56238" s="160" customFormat="1" x14ac:dyDescent="0.3"/>
    <row r="56239" s="160" customFormat="1" x14ac:dyDescent="0.3"/>
    <row r="56240" s="160" customFormat="1" x14ac:dyDescent="0.3"/>
    <row r="56241" s="160" customFormat="1" x14ac:dyDescent="0.3"/>
    <row r="56242" s="160" customFormat="1" x14ac:dyDescent="0.3"/>
    <row r="56243" s="160" customFormat="1" x14ac:dyDescent="0.3"/>
    <row r="56244" s="160" customFormat="1" x14ac:dyDescent="0.3"/>
    <row r="56245" s="160" customFormat="1" x14ac:dyDescent="0.3"/>
    <row r="56246" s="160" customFormat="1" x14ac:dyDescent="0.3"/>
    <row r="56247" s="160" customFormat="1" x14ac:dyDescent="0.3"/>
    <row r="56248" s="160" customFormat="1" x14ac:dyDescent="0.3"/>
    <row r="56249" s="160" customFormat="1" x14ac:dyDescent="0.3"/>
    <row r="56250" s="160" customFormat="1" x14ac:dyDescent="0.3"/>
    <row r="56251" s="160" customFormat="1" x14ac:dyDescent="0.3"/>
    <row r="56252" s="160" customFormat="1" x14ac:dyDescent="0.3"/>
    <row r="56253" s="160" customFormat="1" x14ac:dyDescent="0.3"/>
    <row r="56254" s="160" customFormat="1" x14ac:dyDescent="0.3"/>
    <row r="56255" s="160" customFormat="1" x14ac:dyDescent="0.3"/>
    <row r="56256" s="160" customFormat="1" x14ac:dyDescent="0.3"/>
    <row r="56257" s="160" customFormat="1" x14ac:dyDescent="0.3"/>
    <row r="56258" s="160" customFormat="1" x14ac:dyDescent="0.3"/>
    <row r="56259" s="160" customFormat="1" x14ac:dyDescent="0.3"/>
    <row r="56260" s="160" customFormat="1" x14ac:dyDescent="0.3"/>
    <row r="56261" s="160" customFormat="1" x14ac:dyDescent="0.3"/>
    <row r="56262" s="160" customFormat="1" x14ac:dyDescent="0.3"/>
    <row r="56263" s="160" customFormat="1" x14ac:dyDescent="0.3"/>
    <row r="56264" s="160" customFormat="1" x14ac:dyDescent="0.3"/>
    <row r="56265" s="160" customFormat="1" x14ac:dyDescent="0.3"/>
    <row r="56266" s="160" customFormat="1" x14ac:dyDescent="0.3"/>
    <row r="56267" s="160" customFormat="1" x14ac:dyDescent="0.3"/>
    <row r="56268" s="160" customFormat="1" x14ac:dyDescent="0.3"/>
    <row r="56269" s="160" customFormat="1" x14ac:dyDescent="0.3"/>
    <row r="56270" s="160" customFormat="1" x14ac:dyDescent="0.3"/>
    <row r="56271" s="160" customFormat="1" x14ac:dyDescent="0.3"/>
    <row r="56272" s="160" customFormat="1" x14ac:dyDescent="0.3"/>
    <row r="56273" s="160" customFormat="1" x14ac:dyDescent="0.3"/>
    <row r="56274" s="160" customFormat="1" x14ac:dyDescent="0.3"/>
    <row r="56275" s="160" customFormat="1" x14ac:dyDescent="0.3"/>
    <row r="56276" s="160" customFormat="1" x14ac:dyDescent="0.3"/>
    <row r="56277" s="160" customFormat="1" x14ac:dyDescent="0.3"/>
    <row r="56278" s="160" customFormat="1" x14ac:dyDescent="0.3"/>
    <row r="56279" s="160" customFormat="1" x14ac:dyDescent="0.3"/>
    <row r="56280" s="160" customFormat="1" x14ac:dyDescent="0.3"/>
    <row r="56281" s="160" customFormat="1" x14ac:dyDescent="0.3"/>
    <row r="56282" s="160" customFormat="1" x14ac:dyDescent="0.3"/>
    <row r="56283" s="160" customFormat="1" x14ac:dyDescent="0.3"/>
    <row r="56284" s="160" customFormat="1" x14ac:dyDescent="0.3"/>
    <row r="56285" s="160" customFormat="1" x14ac:dyDescent="0.3"/>
    <row r="56286" s="160" customFormat="1" x14ac:dyDescent="0.3"/>
    <row r="56287" s="160" customFormat="1" x14ac:dyDescent="0.3"/>
    <row r="56288" s="160" customFormat="1" x14ac:dyDescent="0.3"/>
    <row r="56289" s="160" customFormat="1" x14ac:dyDescent="0.3"/>
    <row r="56290" s="160" customFormat="1" x14ac:dyDescent="0.3"/>
    <row r="56291" s="160" customFormat="1" x14ac:dyDescent="0.3"/>
    <row r="56292" s="160" customFormat="1" x14ac:dyDescent="0.3"/>
    <row r="56293" s="160" customFormat="1" x14ac:dyDescent="0.3"/>
    <row r="56294" s="160" customFormat="1" x14ac:dyDescent="0.3"/>
    <row r="56295" s="160" customFormat="1" x14ac:dyDescent="0.3"/>
    <row r="56296" s="160" customFormat="1" x14ac:dyDescent="0.3"/>
    <row r="56297" s="160" customFormat="1" x14ac:dyDescent="0.3"/>
    <row r="56298" s="160" customFormat="1" x14ac:dyDescent="0.3"/>
    <row r="56299" s="160" customFormat="1" x14ac:dyDescent="0.3"/>
    <row r="56300" s="160" customFormat="1" x14ac:dyDescent="0.3"/>
    <row r="56301" s="160" customFormat="1" x14ac:dyDescent="0.3"/>
    <row r="56302" s="160" customFormat="1" x14ac:dyDescent="0.3"/>
    <row r="56303" s="160" customFormat="1" x14ac:dyDescent="0.3"/>
    <row r="56304" s="160" customFormat="1" x14ac:dyDescent="0.3"/>
    <row r="56305" s="160" customFormat="1" x14ac:dyDescent="0.3"/>
    <row r="56306" s="160" customFormat="1" x14ac:dyDescent="0.3"/>
    <row r="56307" s="160" customFormat="1" x14ac:dyDescent="0.3"/>
    <row r="56308" s="160" customFormat="1" x14ac:dyDescent="0.3"/>
    <row r="56309" s="160" customFormat="1" x14ac:dyDescent="0.3"/>
    <row r="56310" s="160" customFormat="1" x14ac:dyDescent="0.3"/>
    <row r="56311" s="160" customFormat="1" x14ac:dyDescent="0.3"/>
    <row r="56312" s="160" customFormat="1" x14ac:dyDescent="0.3"/>
    <row r="56313" s="160" customFormat="1" x14ac:dyDescent="0.3"/>
    <row r="56314" s="160" customFormat="1" x14ac:dyDescent="0.3"/>
    <row r="56315" s="160" customFormat="1" x14ac:dyDescent="0.3"/>
    <row r="56316" s="160" customFormat="1" x14ac:dyDescent="0.3"/>
    <row r="56317" s="160" customFormat="1" x14ac:dyDescent="0.3"/>
    <row r="56318" s="160" customFormat="1" x14ac:dyDescent="0.3"/>
    <row r="56319" s="160" customFormat="1" x14ac:dyDescent="0.3"/>
    <row r="56320" s="160" customFormat="1" x14ac:dyDescent="0.3"/>
    <row r="56321" s="160" customFormat="1" x14ac:dyDescent="0.3"/>
    <row r="56322" s="160" customFormat="1" x14ac:dyDescent="0.3"/>
    <row r="56323" s="160" customFormat="1" x14ac:dyDescent="0.3"/>
    <row r="56324" s="160" customFormat="1" x14ac:dyDescent="0.3"/>
    <row r="56325" s="160" customFormat="1" x14ac:dyDescent="0.3"/>
    <row r="56326" s="160" customFormat="1" x14ac:dyDescent="0.3"/>
    <row r="56327" s="160" customFormat="1" x14ac:dyDescent="0.3"/>
    <row r="56328" s="160" customFormat="1" x14ac:dyDescent="0.3"/>
    <row r="56329" s="160" customFormat="1" x14ac:dyDescent="0.3"/>
    <row r="56330" s="160" customFormat="1" x14ac:dyDescent="0.3"/>
    <row r="56331" s="160" customFormat="1" x14ac:dyDescent="0.3"/>
    <row r="56332" s="160" customFormat="1" x14ac:dyDescent="0.3"/>
    <row r="56333" s="160" customFormat="1" x14ac:dyDescent="0.3"/>
    <row r="56334" s="160" customFormat="1" x14ac:dyDescent="0.3"/>
    <row r="56335" s="160" customFormat="1" x14ac:dyDescent="0.3"/>
    <row r="56336" s="160" customFormat="1" x14ac:dyDescent="0.3"/>
    <row r="56337" s="160" customFormat="1" x14ac:dyDescent="0.3"/>
    <row r="56338" s="160" customFormat="1" x14ac:dyDescent="0.3"/>
    <row r="56339" s="160" customFormat="1" x14ac:dyDescent="0.3"/>
    <row r="56340" s="160" customFormat="1" x14ac:dyDescent="0.3"/>
    <row r="56341" s="160" customFormat="1" x14ac:dyDescent="0.3"/>
    <row r="56342" s="160" customFormat="1" x14ac:dyDescent="0.3"/>
    <row r="56343" s="160" customFormat="1" x14ac:dyDescent="0.3"/>
    <row r="56344" s="160" customFormat="1" x14ac:dyDescent="0.3"/>
    <row r="56345" s="160" customFormat="1" x14ac:dyDescent="0.3"/>
    <row r="56346" s="160" customFormat="1" x14ac:dyDescent="0.3"/>
    <row r="56347" s="160" customFormat="1" x14ac:dyDescent="0.3"/>
    <row r="56348" s="160" customFormat="1" x14ac:dyDescent="0.3"/>
    <row r="56349" s="160" customFormat="1" x14ac:dyDescent="0.3"/>
    <row r="56350" s="160" customFormat="1" x14ac:dyDescent="0.3"/>
    <row r="56351" s="160" customFormat="1" x14ac:dyDescent="0.3"/>
    <row r="56352" s="160" customFormat="1" x14ac:dyDescent="0.3"/>
    <row r="56353" s="160" customFormat="1" x14ac:dyDescent="0.3"/>
    <row r="56354" s="160" customFormat="1" x14ac:dyDescent="0.3"/>
    <row r="56355" s="160" customFormat="1" x14ac:dyDescent="0.3"/>
    <row r="56356" s="160" customFormat="1" x14ac:dyDescent="0.3"/>
    <row r="56357" s="160" customFormat="1" x14ac:dyDescent="0.3"/>
    <row r="56358" s="160" customFormat="1" x14ac:dyDescent="0.3"/>
    <row r="56359" s="160" customFormat="1" x14ac:dyDescent="0.3"/>
    <row r="56360" s="160" customFormat="1" x14ac:dyDescent="0.3"/>
    <row r="56361" s="160" customFormat="1" x14ac:dyDescent="0.3"/>
    <row r="56362" s="160" customFormat="1" x14ac:dyDescent="0.3"/>
    <row r="56363" s="160" customFormat="1" x14ac:dyDescent="0.3"/>
    <row r="56364" s="160" customFormat="1" x14ac:dyDescent="0.3"/>
    <row r="56365" s="160" customFormat="1" x14ac:dyDescent="0.3"/>
    <row r="56366" s="160" customFormat="1" x14ac:dyDescent="0.3"/>
    <row r="56367" s="160" customFormat="1" x14ac:dyDescent="0.3"/>
    <row r="56368" s="160" customFormat="1" x14ac:dyDescent="0.3"/>
    <row r="56369" s="160" customFormat="1" x14ac:dyDescent="0.3"/>
    <row r="56370" s="160" customFormat="1" x14ac:dyDescent="0.3"/>
    <row r="56371" s="160" customFormat="1" x14ac:dyDescent="0.3"/>
    <row r="56372" s="160" customFormat="1" x14ac:dyDescent="0.3"/>
    <row r="56373" s="160" customFormat="1" x14ac:dyDescent="0.3"/>
    <row r="56374" s="160" customFormat="1" x14ac:dyDescent="0.3"/>
    <row r="56375" s="160" customFormat="1" x14ac:dyDescent="0.3"/>
    <row r="56376" s="160" customFormat="1" x14ac:dyDescent="0.3"/>
    <row r="56377" s="160" customFormat="1" x14ac:dyDescent="0.3"/>
    <row r="56378" s="160" customFormat="1" x14ac:dyDescent="0.3"/>
    <row r="56379" s="160" customFormat="1" x14ac:dyDescent="0.3"/>
    <row r="56380" s="160" customFormat="1" x14ac:dyDescent="0.3"/>
    <row r="56381" s="160" customFormat="1" x14ac:dyDescent="0.3"/>
    <row r="56382" s="160" customFormat="1" x14ac:dyDescent="0.3"/>
    <row r="56383" s="160" customFormat="1" x14ac:dyDescent="0.3"/>
    <row r="56384" s="160" customFormat="1" x14ac:dyDescent="0.3"/>
    <row r="56385" s="160" customFormat="1" x14ac:dyDescent="0.3"/>
    <row r="56386" s="160" customFormat="1" x14ac:dyDescent="0.3"/>
    <row r="56387" s="160" customFormat="1" x14ac:dyDescent="0.3"/>
    <row r="56388" s="160" customFormat="1" x14ac:dyDescent="0.3"/>
    <row r="56389" s="160" customFormat="1" x14ac:dyDescent="0.3"/>
    <row r="56390" s="160" customFormat="1" x14ac:dyDescent="0.3"/>
    <row r="56391" s="160" customFormat="1" x14ac:dyDescent="0.3"/>
    <row r="56392" s="160" customFormat="1" x14ac:dyDescent="0.3"/>
    <row r="56393" s="160" customFormat="1" x14ac:dyDescent="0.3"/>
    <row r="56394" s="160" customFormat="1" x14ac:dyDescent="0.3"/>
    <row r="56395" s="160" customFormat="1" x14ac:dyDescent="0.3"/>
    <row r="56396" s="160" customFormat="1" x14ac:dyDescent="0.3"/>
    <row r="56397" s="160" customFormat="1" x14ac:dyDescent="0.3"/>
    <row r="56398" s="160" customFormat="1" x14ac:dyDescent="0.3"/>
    <row r="56399" s="160" customFormat="1" x14ac:dyDescent="0.3"/>
    <row r="56400" s="160" customFormat="1" x14ac:dyDescent="0.3"/>
    <row r="56401" s="160" customFormat="1" x14ac:dyDescent="0.3"/>
    <row r="56402" s="160" customFormat="1" x14ac:dyDescent="0.3"/>
    <row r="56403" s="160" customFormat="1" x14ac:dyDescent="0.3"/>
    <row r="56404" s="160" customFormat="1" x14ac:dyDescent="0.3"/>
    <row r="56405" s="160" customFormat="1" x14ac:dyDescent="0.3"/>
    <row r="56406" s="160" customFormat="1" x14ac:dyDescent="0.3"/>
    <row r="56407" s="160" customFormat="1" x14ac:dyDescent="0.3"/>
    <row r="56408" s="160" customFormat="1" x14ac:dyDescent="0.3"/>
    <row r="56409" s="160" customFormat="1" x14ac:dyDescent="0.3"/>
    <row r="56410" s="160" customFormat="1" x14ac:dyDescent="0.3"/>
    <row r="56411" s="160" customFormat="1" x14ac:dyDescent="0.3"/>
    <row r="56412" s="160" customFormat="1" x14ac:dyDescent="0.3"/>
    <row r="56413" s="160" customFormat="1" x14ac:dyDescent="0.3"/>
    <row r="56414" s="160" customFormat="1" x14ac:dyDescent="0.3"/>
    <row r="56415" s="160" customFormat="1" x14ac:dyDescent="0.3"/>
    <row r="56416" s="160" customFormat="1" x14ac:dyDescent="0.3"/>
    <row r="56417" s="160" customFormat="1" x14ac:dyDescent="0.3"/>
    <row r="56418" s="160" customFormat="1" x14ac:dyDescent="0.3"/>
    <row r="56419" s="160" customFormat="1" x14ac:dyDescent="0.3"/>
    <row r="56420" s="160" customFormat="1" x14ac:dyDescent="0.3"/>
    <row r="56421" s="160" customFormat="1" x14ac:dyDescent="0.3"/>
    <row r="56422" s="160" customFormat="1" x14ac:dyDescent="0.3"/>
    <row r="56423" s="160" customFormat="1" x14ac:dyDescent="0.3"/>
    <row r="56424" s="160" customFormat="1" x14ac:dyDescent="0.3"/>
    <row r="56425" s="160" customFormat="1" x14ac:dyDescent="0.3"/>
    <row r="56426" s="160" customFormat="1" x14ac:dyDescent="0.3"/>
    <row r="56427" s="160" customFormat="1" x14ac:dyDescent="0.3"/>
    <row r="56428" s="160" customFormat="1" x14ac:dyDescent="0.3"/>
    <row r="56429" s="160" customFormat="1" x14ac:dyDescent="0.3"/>
    <row r="56430" s="160" customFormat="1" x14ac:dyDescent="0.3"/>
    <row r="56431" s="160" customFormat="1" x14ac:dyDescent="0.3"/>
    <row r="56432" s="160" customFormat="1" x14ac:dyDescent="0.3"/>
    <row r="56433" s="160" customFormat="1" x14ac:dyDescent="0.3"/>
    <row r="56434" s="160" customFormat="1" x14ac:dyDescent="0.3"/>
    <row r="56435" s="160" customFormat="1" x14ac:dyDescent="0.3"/>
    <row r="56436" s="160" customFormat="1" x14ac:dyDescent="0.3"/>
    <row r="56437" s="160" customFormat="1" x14ac:dyDescent="0.3"/>
    <row r="56438" s="160" customFormat="1" x14ac:dyDescent="0.3"/>
    <row r="56439" s="160" customFormat="1" x14ac:dyDescent="0.3"/>
    <row r="56440" s="160" customFormat="1" x14ac:dyDescent="0.3"/>
    <row r="56441" s="160" customFormat="1" x14ac:dyDescent="0.3"/>
    <row r="56442" s="160" customFormat="1" x14ac:dyDescent="0.3"/>
    <row r="56443" s="160" customFormat="1" x14ac:dyDescent="0.3"/>
    <row r="56444" s="160" customFormat="1" x14ac:dyDescent="0.3"/>
    <row r="56445" s="160" customFormat="1" x14ac:dyDescent="0.3"/>
    <row r="56446" s="160" customFormat="1" x14ac:dyDescent="0.3"/>
    <row r="56447" s="160" customFormat="1" x14ac:dyDescent="0.3"/>
    <row r="56448" s="160" customFormat="1" x14ac:dyDescent="0.3"/>
    <row r="56449" s="160" customFormat="1" x14ac:dyDescent="0.3"/>
    <row r="56450" s="160" customFormat="1" x14ac:dyDescent="0.3"/>
    <row r="56451" s="160" customFormat="1" x14ac:dyDescent="0.3"/>
    <row r="56452" s="160" customFormat="1" x14ac:dyDescent="0.3"/>
    <row r="56453" s="160" customFormat="1" x14ac:dyDescent="0.3"/>
    <row r="56454" s="160" customFormat="1" x14ac:dyDescent="0.3"/>
    <row r="56455" s="160" customFormat="1" x14ac:dyDescent="0.3"/>
    <row r="56456" s="160" customFormat="1" x14ac:dyDescent="0.3"/>
    <row r="56457" s="160" customFormat="1" x14ac:dyDescent="0.3"/>
    <row r="56458" s="160" customFormat="1" x14ac:dyDescent="0.3"/>
    <row r="56459" s="160" customFormat="1" x14ac:dyDescent="0.3"/>
    <row r="56460" s="160" customFormat="1" x14ac:dyDescent="0.3"/>
    <row r="56461" s="160" customFormat="1" x14ac:dyDescent="0.3"/>
    <row r="56462" s="160" customFormat="1" x14ac:dyDescent="0.3"/>
    <row r="56463" s="160" customFormat="1" x14ac:dyDescent="0.3"/>
    <row r="56464" s="160" customFormat="1" x14ac:dyDescent="0.3"/>
    <row r="56465" s="160" customFormat="1" x14ac:dyDescent="0.3"/>
    <row r="56466" s="160" customFormat="1" x14ac:dyDescent="0.3"/>
    <row r="56467" s="160" customFormat="1" x14ac:dyDescent="0.3"/>
    <row r="56468" s="160" customFormat="1" x14ac:dyDescent="0.3"/>
    <row r="56469" s="160" customFormat="1" x14ac:dyDescent="0.3"/>
    <row r="56470" s="160" customFormat="1" x14ac:dyDescent="0.3"/>
    <row r="56471" s="160" customFormat="1" x14ac:dyDescent="0.3"/>
    <row r="56472" s="160" customFormat="1" x14ac:dyDescent="0.3"/>
    <row r="56473" s="160" customFormat="1" x14ac:dyDescent="0.3"/>
    <row r="56474" s="160" customFormat="1" x14ac:dyDescent="0.3"/>
    <row r="56475" s="160" customFormat="1" x14ac:dyDescent="0.3"/>
    <row r="56476" s="160" customFormat="1" x14ac:dyDescent="0.3"/>
    <row r="56477" s="160" customFormat="1" x14ac:dyDescent="0.3"/>
    <row r="56478" s="160" customFormat="1" x14ac:dyDescent="0.3"/>
    <row r="56479" s="160" customFormat="1" x14ac:dyDescent="0.3"/>
    <row r="56480" s="160" customFormat="1" x14ac:dyDescent="0.3"/>
    <row r="56481" s="160" customFormat="1" x14ac:dyDescent="0.3"/>
    <row r="56482" s="160" customFormat="1" x14ac:dyDescent="0.3"/>
    <row r="56483" s="160" customFormat="1" x14ac:dyDescent="0.3"/>
    <row r="56484" s="160" customFormat="1" x14ac:dyDescent="0.3"/>
    <row r="56485" s="160" customFormat="1" x14ac:dyDescent="0.3"/>
    <row r="56486" s="160" customFormat="1" x14ac:dyDescent="0.3"/>
    <row r="56487" s="160" customFormat="1" x14ac:dyDescent="0.3"/>
    <row r="56488" s="160" customFormat="1" x14ac:dyDescent="0.3"/>
    <row r="56489" s="160" customFormat="1" x14ac:dyDescent="0.3"/>
    <row r="56490" s="160" customFormat="1" x14ac:dyDescent="0.3"/>
    <row r="56491" s="160" customFormat="1" x14ac:dyDescent="0.3"/>
    <row r="56492" s="160" customFormat="1" x14ac:dyDescent="0.3"/>
    <row r="56493" s="160" customFormat="1" x14ac:dyDescent="0.3"/>
    <row r="56494" s="160" customFormat="1" x14ac:dyDescent="0.3"/>
    <row r="56495" s="160" customFormat="1" x14ac:dyDescent="0.3"/>
    <row r="56496" s="160" customFormat="1" x14ac:dyDescent="0.3"/>
    <row r="56497" s="160" customFormat="1" x14ac:dyDescent="0.3"/>
    <row r="56498" s="160" customFormat="1" x14ac:dyDescent="0.3"/>
    <row r="56499" s="160" customFormat="1" x14ac:dyDescent="0.3"/>
    <row r="56500" s="160" customFormat="1" x14ac:dyDescent="0.3"/>
    <row r="56501" s="160" customFormat="1" x14ac:dyDescent="0.3"/>
    <row r="56502" s="160" customFormat="1" x14ac:dyDescent="0.3"/>
    <row r="56503" s="160" customFormat="1" x14ac:dyDescent="0.3"/>
    <row r="56504" s="160" customFormat="1" x14ac:dyDescent="0.3"/>
    <row r="56505" s="160" customFormat="1" x14ac:dyDescent="0.3"/>
    <row r="56506" s="160" customFormat="1" x14ac:dyDescent="0.3"/>
    <row r="56507" s="160" customFormat="1" x14ac:dyDescent="0.3"/>
    <row r="56508" s="160" customFormat="1" x14ac:dyDescent="0.3"/>
    <row r="56509" s="160" customFormat="1" x14ac:dyDescent="0.3"/>
    <row r="56510" s="160" customFormat="1" x14ac:dyDescent="0.3"/>
    <row r="56511" s="160" customFormat="1" x14ac:dyDescent="0.3"/>
    <row r="56512" s="160" customFormat="1" x14ac:dyDescent="0.3"/>
    <row r="56513" s="160" customFormat="1" x14ac:dyDescent="0.3"/>
    <row r="56514" s="160" customFormat="1" x14ac:dyDescent="0.3"/>
    <row r="56515" s="160" customFormat="1" x14ac:dyDescent="0.3"/>
    <row r="56516" s="160" customFormat="1" x14ac:dyDescent="0.3"/>
    <row r="56517" s="160" customFormat="1" x14ac:dyDescent="0.3"/>
    <row r="56518" s="160" customFormat="1" x14ac:dyDescent="0.3"/>
    <row r="56519" s="160" customFormat="1" x14ac:dyDescent="0.3"/>
    <row r="56520" s="160" customFormat="1" x14ac:dyDescent="0.3"/>
    <row r="56521" s="160" customFormat="1" x14ac:dyDescent="0.3"/>
    <row r="56522" s="160" customFormat="1" x14ac:dyDescent="0.3"/>
    <row r="56523" s="160" customFormat="1" x14ac:dyDescent="0.3"/>
    <row r="56524" s="160" customFormat="1" x14ac:dyDescent="0.3"/>
    <row r="56525" s="160" customFormat="1" x14ac:dyDescent="0.3"/>
    <row r="56526" s="160" customFormat="1" x14ac:dyDescent="0.3"/>
    <row r="56527" s="160" customFormat="1" x14ac:dyDescent="0.3"/>
    <row r="56528" s="160" customFormat="1" x14ac:dyDescent="0.3"/>
    <row r="56529" s="160" customFormat="1" x14ac:dyDescent="0.3"/>
    <row r="56530" s="160" customFormat="1" x14ac:dyDescent="0.3"/>
    <row r="56531" s="160" customFormat="1" x14ac:dyDescent="0.3"/>
    <row r="56532" s="160" customFormat="1" x14ac:dyDescent="0.3"/>
    <row r="56533" s="160" customFormat="1" x14ac:dyDescent="0.3"/>
    <row r="56534" s="160" customFormat="1" x14ac:dyDescent="0.3"/>
    <row r="56535" s="160" customFormat="1" x14ac:dyDescent="0.3"/>
    <row r="56536" s="160" customFormat="1" x14ac:dyDescent="0.3"/>
    <row r="56537" s="160" customFormat="1" x14ac:dyDescent="0.3"/>
    <row r="56538" s="160" customFormat="1" x14ac:dyDescent="0.3"/>
    <row r="56539" s="160" customFormat="1" x14ac:dyDescent="0.3"/>
    <row r="56540" s="160" customFormat="1" x14ac:dyDescent="0.3"/>
    <row r="56541" s="160" customFormat="1" x14ac:dyDescent="0.3"/>
    <row r="56542" s="160" customFormat="1" x14ac:dyDescent="0.3"/>
    <row r="56543" s="160" customFormat="1" x14ac:dyDescent="0.3"/>
    <row r="56544" s="160" customFormat="1" x14ac:dyDescent="0.3"/>
    <row r="56545" s="160" customFormat="1" x14ac:dyDescent="0.3"/>
    <row r="56546" s="160" customFormat="1" x14ac:dyDescent="0.3"/>
    <row r="56547" s="160" customFormat="1" x14ac:dyDescent="0.3"/>
    <row r="56548" s="160" customFormat="1" x14ac:dyDescent="0.3"/>
    <row r="56549" s="160" customFormat="1" x14ac:dyDescent="0.3"/>
    <row r="56550" s="160" customFormat="1" x14ac:dyDescent="0.3"/>
    <row r="56551" s="160" customFormat="1" x14ac:dyDescent="0.3"/>
    <row r="56552" s="160" customFormat="1" x14ac:dyDescent="0.3"/>
    <row r="56553" s="160" customFormat="1" x14ac:dyDescent="0.3"/>
    <row r="56554" s="160" customFormat="1" x14ac:dyDescent="0.3"/>
    <row r="56555" s="160" customFormat="1" x14ac:dyDescent="0.3"/>
    <row r="56556" s="160" customFormat="1" x14ac:dyDescent="0.3"/>
    <row r="56557" s="160" customFormat="1" x14ac:dyDescent="0.3"/>
    <row r="56558" s="160" customFormat="1" x14ac:dyDescent="0.3"/>
    <row r="56559" s="160" customFormat="1" x14ac:dyDescent="0.3"/>
    <row r="56560" s="160" customFormat="1" x14ac:dyDescent="0.3"/>
    <row r="56561" s="160" customFormat="1" x14ac:dyDescent="0.3"/>
    <row r="56562" s="160" customFormat="1" x14ac:dyDescent="0.3"/>
    <row r="56563" s="160" customFormat="1" x14ac:dyDescent="0.3"/>
    <row r="56564" s="160" customFormat="1" x14ac:dyDescent="0.3"/>
    <row r="56565" s="160" customFormat="1" x14ac:dyDescent="0.3"/>
    <row r="56566" s="160" customFormat="1" x14ac:dyDescent="0.3"/>
    <row r="56567" s="160" customFormat="1" x14ac:dyDescent="0.3"/>
    <row r="56568" s="160" customFormat="1" x14ac:dyDescent="0.3"/>
    <row r="56569" s="160" customFormat="1" x14ac:dyDescent="0.3"/>
    <row r="56570" s="160" customFormat="1" x14ac:dyDescent="0.3"/>
    <row r="56571" s="160" customFormat="1" x14ac:dyDescent="0.3"/>
    <row r="56572" s="160" customFormat="1" x14ac:dyDescent="0.3"/>
    <row r="56573" s="160" customFormat="1" x14ac:dyDescent="0.3"/>
    <row r="56574" s="160" customFormat="1" x14ac:dyDescent="0.3"/>
    <row r="56575" s="160" customFormat="1" x14ac:dyDescent="0.3"/>
    <row r="56576" s="160" customFormat="1" x14ac:dyDescent="0.3"/>
    <row r="56577" s="160" customFormat="1" x14ac:dyDescent="0.3"/>
    <row r="56578" s="160" customFormat="1" x14ac:dyDescent="0.3"/>
    <row r="56579" s="160" customFormat="1" x14ac:dyDescent="0.3"/>
    <row r="56580" s="160" customFormat="1" x14ac:dyDescent="0.3"/>
    <row r="56581" s="160" customFormat="1" x14ac:dyDescent="0.3"/>
    <row r="56582" s="160" customFormat="1" x14ac:dyDescent="0.3"/>
    <row r="56583" s="160" customFormat="1" x14ac:dyDescent="0.3"/>
    <row r="56584" s="160" customFormat="1" x14ac:dyDescent="0.3"/>
    <row r="56585" s="160" customFormat="1" x14ac:dyDescent="0.3"/>
    <row r="56586" s="160" customFormat="1" x14ac:dyDescent="0.3"/>
    <row r="56587" s="160" customFormat="1" x14ac:dyDescent="0.3"/>
    <row r="56588" s="160" customFormat="1" x14ac:dyDescent="0.3"/>
    <row r="56589" s="160" customFormat="1" x14ac:dyDescent="0.3"/>
    <row r="56590" s="160" customFormat="1" x14ac:dyDescent="0.3"/>
    <row r="56591" s="160" customFormat="1" x14ac:dyDescent="0.3"/>
    <row r="56592" s="160" customFormat="1" x14ac:dyDescent="0.3"/>
    <row r="56593" s="160" customFormat="1" x14ac:dyDescent="0.3"/>
    <row r="56594" s="160" customFormat="1" x14ac:dyDescent="0.3"/>
    <row r="56595" s="160" customFormat="1" x14ac:dyDescent="0.3"/>
    <row r="56596" s="160" customFormat="1" x14ac:dyDescent="0.3"/>
    <row r="56597" s="160" customFormat="1" x14ac:dyDescent="0.3"/>
    <row r="56598" s="160" customFormat="1" x14ac:dyDescent="0.3"/>
    <row r="56599" s="160" customFormat="1" x14ac:dyDescent="0.3"/>
    <row r="56600" s="160" customFormat="1" x14ac:dyDescent="0.3"/>
    <row r="56601" s="160" customFormat="1" x14ac:dyDescent="0.3"/>
    <row r="56602" s="160" customFormat="1" x14ac:dyDescent="0.3"/>
    <row r="56603" s="160" customFormat="1" x14ac:dyDescent="0.3"/>
    <row r="56604" s="160" customFormat="1" x14ac:dyDescent="0.3"/>
    <row r="56605" s="160" customFormat="1" x14ac:dyDescent="0.3"/>
    <row r="56606" s="160" customFormat="1" x14ac:dyDescent="0.3"/>
    <row r="56607" s="160" customFormat="1" x14ac:dyDescent="0.3"/>
    <row r="56608" s="160" customFormat="1" x14ac:dyDescent="0.3"/>
    <row r="56609" s="160" customFormat="1" x14ac:dyDescent="0.3"/>
    <row r="56610" s="160" customFormat="1" x14ac:dyDescent="0.3"/>
    <row r="56611" s="160" customFormat="1" x14ac:dyDescent="0.3"/>
    <row r="56612" s="160" customFormat="1" x14ac:dyDescent="0.3"/>
    <row r="56613" s="160" customFormat="1" x14ac:dyDescent="0.3"/>
    <row r="56614" s="160" customFormat="1" x14ac:dyDescent="0.3"/>
    <row r="56615" s="160" customFormat="1" x14ac:dyDescent="0.3"/>
    <row r="56616" s="160" customFormat="1" x14ac:dyDescent="0.3"/>
    <row r="56617" s="160" customFormat="1" x14ac:dyDescent="0.3"/>
    <row r="56618" s="160" customFormat="1" x14ac:dyDescent="0.3"/>
    <row r="56619" s="160" customFormat="1" x14ac:dyDescent="0.3"/>
    <row r="56620" s="160" customFormat="1" x14ac:dyDescent="0.3"/>
    <row r="56621" s="160" customFormat="1" x14ac:dyDescent="0.3"/>
    <row r="56622" s="160" customFormat="1" x14ac:dyDescent="0.3"/>
    <row r="56623" s="160" customFormat="1" x14ac:dyDescent="0.3"/>
    <row r="56624" s="160" customFormat="1" x14ac:dyDescent="0.3"/>
    <row r="56625" s="160" customFormat="1" x14ac:dyDescent="0.3"/>
    <row r="56626" s="160" customFormat="1" x14ac:dyDescent="0.3"/>
    <row r="56627" s="160" customFormat="1" x14ac:dyDescent="0.3"/>
    <row r="56628" s="160" customFormat="1" x14ac:dyDescent="0.3"/>
    <row r="56629" s="160" customFormat="1" x14ac:dyDescent="0.3"/>
    <row r="56630" s="160" customFormat="1" x14ac:dyDescent="0.3"/>
    <row r="56631" s="160" customFormat="1" x14ac:dyDescent="0.3"/>
    <row r="56632" s="160" customFormat="1" x14ac:dyDescent="0.3"/>
    <row r="56633" s="160" customFormat="1" x14ac:dyDescent="0.3"/>
    <row r="56634" s="160" customFormat="1" x14ac:dyDescent="0.3"/>
    <row r="56635" s="160" customFormat="1" x14ac:dyDescent="0.3"/>
    <row r="56636" s="160" customFormat="1" x14ac:dyDescent="0.3"/>
    <row r="56637" s="160" customFormat="1" x14ac:dyDescent="0.3"/>
    <row r="56638" s="160" customFormat="1" x14ac:dyDescent="0.3"/>
    <row r="56639" s="160" customFormat="1" x14ac:dyDescent="0.3"/>
    <row r="56640" s="160" customFormat="1" x14ac:dyDescent="0.3"/>
    <row r="56641" s="160" customFormat="1" x14ac:dyDescent="0.3"/>
    <row r="56642" s="160" customFormat="1" x14ac:dyDescent="0.3"/>
    <row r="56643" s="160" customFormat="1" x14ac:dyDescent="0.3"/>
    <row r="56644" s="160" customFormat="1" x14ac:dyDescent="0.3"/>
    <row r="56645" s="160" customFormat="1" x14ac:dyDescent="0.3"/>
    <row r="56646" s="160" customFormat="1" x14ac:dyDescent="0.3"/>
    <row r="56647" s="160" customFormat="1" x14ac:dyDescent="0.3"/>
    <row r="56648" s="160" customFormat="1" x14ac:dyDescent="0.3"/>
    <row r="56649" s="160" customFormat="1" x14ac:dyDescent="0.3"/>
    <row r="56650" s="160" customFormat="1" x14ac:dyDescent="0.3"/>
    <row r="56651" s="160" customFormat="1" x14ac:dyDescent="0.3"/>
    <row r="56652" s="160" customFormat="1" x14ac:dyDescent="0.3"/>
    <row r="56653" s="160" customFormat="1" x14ac:dyDescent="0.3"/>
    <row r="56654" s="160" customFormat="1" x14ac:dyDescent="0.3"/>
    <row r="56655" s="160" customFormat="1" x14ac:dyDescent="0.3"/>
    <row r="56656" s="160" customFormat="1" x14ac:dyDescent="0.3"/>
    <row r="56657" s="160" customFormat="1" x14ac:dyDescent="0.3"/>
    <row r="56658" s="160" customFormat="1" x14ac:dyDescent="0.3"/>
    <row r="56659" s="160" customFormat="1" x14ac:dyDescent="0.3"/>
    <row r="56660" s="160" customFormat="1" x14ac:dyDescent="0.3"/>
    <row r="56661" s="160" customFormat="1" x14ac:dyDescent="0.3"/>
    <row r="56662" s="160" customFormat="1" x14ac:dyDescent="0.3"/>
    <row r="56663" s="160" customFormat="1" x14ac:dyDescent="0.3"/>
    <row r="56664" s="160" customFormat="1" x14ac:dyDescent="0.3"/>
    <row r="56665" s="160" customFormat="1" x14ac:dyDescent="0.3"/>
    <row r="56666" s="160" customFormat="1" x14ac:dyDescent="0.3"/>
    <row r="56667" s="160" customFormat="1" x14ac:dyDescent="0.3"/>
    <row r="56668" s="160" customFormat="1" x14ac:dyDescent="0.3"/>
    <row r="56669" s="160" customFormat="1" x14ac:dyDescent="0.3"/>
    <row r="56670" s="160" customFormat="1" x14ac:dyDescent="0.3"/>
    <row r="56671" s="160" customFormat="1" x14ac:dyDescent="0.3"/>
    <row r="56672" s="160" customFormat="1" x14ac:dyDescent="0.3"/>
    <row r="56673" s="160" customFormat="1" x14ac:dyDescent="0.3"/>
    <row r="56674" s="160" customFormat="1" x14ac:dyDescent="0.3"/>
    <row r="56675" s="160" customFormat="1" x14ac:dyDescent="0.3"/>
    <row r="56676" s="160" customFormat="1" x14ac:dyDescent="0.3"/>
    <row r="56677" s="160" customFormat="1" x14ac:dyDescent="0.3"/>
    <row r="56678" s="160" customFormat="1" x14ac:dyDescent="0.3"/>
    <row r="56679" s="160" customFormat="1" x14ac:dyDescent="0.3"/>
    <row r="56680" s="160" customFormat="1" x14ac:dyDescent="0.3"/>
    <row r="56681" s="160" customFormat="1" x14ac:dyDescent="0.3"/>
    <row r="56682" s="160" customFormat="1" x14ac:dyDescent="0.3"/>
    <row r="56683" s="160" customFormat="1" x14ac:dyDescent="0.3"/>
    <row r="56684" s="160" customFormat="1" x14ac:dyDescent="0.3"/>
    <row r="56685" s="160" customFormat="1" x14ac:dyDescent="0.3"/>
    <row r="56686" s="160" customFormat="1" x14ac:dyDescent="0.3"/>
    <row r="56687" s="160" customFormat="1" x14ac:dyDescent="0.3"/>
    <row r="56688" s="160" customFormat="1" x14ac:dyDescent="0.3"/>
    <row r="56689" s="160" customFormat="1" x14ac:dyDescent="0.3"/>
    <row r="56690" s="160" customFormat="1" x14ac:dyDescent="0.3"/>
    <row r="56691" s="160" customFormat="1" x14ac:dyDescent="0.3"/>
    <row r="56692" s="160" customFormat="1" x14ac:dyDescent="0.3"/>
    <row r="56693" s="160" customFormat="1" x14ac:dyDescent="0.3"/>
    <row r="56694" s="160" customFormat="1" x14ac:dyDescent="0.3"/>
    <row r="56695" s="160" customFormat="1" x14ac:dyDescent="0.3"/>
    <row r="56696" s="160" customFormat="1" x14ac:dyDescent="0.3"/>
    <row r="56697" s="160" customFormat="1" x14ac:dyDescent="0.3"/>
    <row r="56698" s="160" customFormat="1" x14ac:dyDescent="0.3"/>
    <row r="56699" s="160" customFormat="1" x14ac:dyDescent="0.3"/>
    <row r="56700" s="160" customFormat="1" x14ac:dyDescent="0.3"/>
    <row r="56701" s="160" customFormat="1" x14ac:dyDescent="0.3"/>
    <row r="56702" s="160" customFormat="1" x14ac:dyDescent="0.3"/>
    <row r="56703" s="160" customFormat="1" x14ac:dyDescent="0.3"/>
    <row r="56704" s="160" customFormat="1" x14ac:dyDescent="0.3"/>
    <row r="56705" s="160" customFormat="1" x14ac:dyDescent="0.3"/>
    <row r="56706" s="160" customFormat="1" x14ac:dyDescent="0.3"/>
    <row r="56707" s="160" customFormat="1" x14ac:dyDescent="0.3"/>
    <row r="56708" s="160" customFormat="1" x14ac:dyDescent="0.3"/>
    <row r="56709" s="160" customFormat="1" x14ac:dyDescent="0.3"/>
    <row r="56710" s="160" customFormat="1" x14ac:dyDescent="0.3"/>
    <row r="56711" s="160" customFormat="1" x14ac:dyDescent="0.3"/>
    <row r="56712" s="160" customFormat="1" x14ac:dyDescent="0.3"/>
    <row r="56713" s="160" customFormat="1" x14ac:dyDescent="0.3"/>
    <row r="56714" s="160" customFormat="1" x14ac:dyDescent="0.3"/>
    <row r="56715" s="160" customFormat="1" x14ac:dyDescent="0.3"/>
    <row r="56716" s="160" customFormat="1" x14ac:dyDescent="0.3"/>
    <row r="56717" s="160" customFormat="1" x14ac:dyDescent="0.3"/>
    <row r="56718" s="160" customFormat="1" x14ac:dyDescent="0.3"/>
    <row r="56719" s="160" customFormat="1" x14ac:dyDescent="0.3"/>
    <row r="56720" s="160" customFormat="1" x14ac:dyDescent="0.3"/>
    <row r="56721" s="160" customFormat="1" x14ac:dyDescent="0.3"/>
    <row r="56722" s="160" customFormat="1" x14ac:dyDescent="0.3"/>
    <row r="56723" s="160" customFormat="1" x14ac:dyDescent="0.3"/>
    <row r="56724" s="160" customFormat="1" x14ac:dyDescent="0.3"/>
    <row r="56725" s="160" customFormat="1" x14ac:dyDescent="0.3"/>
    <row r="56726" s="160" customFormat="1" x14ac:dyDescent="0.3"/>
    <row r="56727" s="160" customFormat="1" x14ac:dyDescent="0.3"/>
    <row r="56728" s="160" customFormat="1" x14ac:dyDescent="0.3"/>
    <row r="56729" s="160" customFormat="1" x14ac:dyDescent="0.3"/>
    <row r="56730" s="160" customFormat="1" x14ac:dyDescent="0.3"/>
    <row r="56731" s="160" customFormat="1" x14ac:dyDescent="0.3"/>
    <row r="56732" s="160" customFormat="1" x14ac:dyDescent="0.3"/>
    <row r="56733" s="160" customFormat="1" x14ac:dyDescent="0.3"/>
    <row r="56734" s="160" customFormat="1" x14ac:dyDescent="0.3"/>
    <row r="56735" s="160" customFormat="1" x14ac:dyDescent="0.3"/>
    <row r="56736" s="160" customFormat="1" x14ac:dyDescent="0.3"/>
    <row r="56737" s="160" customFormat="1" x14ac:dyDescent="0.3"/>
    <row r="56738" s="160" customFormat="1" x14ac:dyDescent="0.3"/>
    <row r="56739" s="160" customFormat="1" x14ac:dyDescent="0.3"/>
    <row r="56740" s="160" customFormat="1" x14ac:dyDescent="0.3"/>
    <row r="56741" s="160" customFormat="1" x14ac:dyDescent="0.3"/>
    <row r="56742" s="160" customFormat="1" x14ac:dyDescent="0.3"/>
    <row r="56743" s="160" customFormat="1" x14ac:dyDescent="0.3"/>
    <row r="56744" s="160" customFormat="1" x14ac:dyDescent="0.3"/>
    <row r="56745" s="160" customFormat="1" x14ac:dyDescent="0.3"/>
    <row r="56746" s="160" customFormat="1" x14ac:dyDescent="0.3"/>
    <row r="56747" s="160" customFormat="1" x14ac:dyDescent="0.3"/>
    <row r="56748" s="160" customFormat="1" x14ac:dyDescent="0.3"/>
    <row r="56749" s="160" customFormat="1" x14ac:dyDescent="0.3"/>
    <row r="56750" s="160" customFormat="1" x14ac:dyDescent="0.3"/>
    <row r="56751" s="160" customFormat="1" x14ac:dyDescent="0.3"/>
    <row r="56752" s="160" customFormat="1" x14ac:dyDescent="0.3"/>
    <row r="56753" s="160" customFormat="1" x14ac:dyDescent="0.3"/>
    <row r="56754" s="160" customFormat="1" x14ac:dyDescent="0.3"/>
    <row r="56755" s="160" customFormat="1" x14ac:dyDescent="0.3"/>
    <row r="56756" s="160" customFormat="1" x14ac:dyDescent="0.3"/>
    <row r="56757" s="160" customFormat="1" x14ac:dyDescent="0.3"/>
    <row r="56758" s="160" customFormat="1" x14ac:dyDescent="0.3"/>
    <row r="56759" s="160" customFormat="1" x14ac:dyDescent="0.3"/>
    <row r="56760" s="160" customFormat="1" x14ac:dyDescent="0.3"/>
    <row r="56761" s="160" customFormat="1" x14ac:dyDescent="0.3"/>
    <row r="56762" s="160" customFormat="1" x14ac:dyDescent="0.3"/>
    <row r="56763" s="160" customFormat="1" x14ac:dyDescent="0.3"/>
    <row r="56764" s="160" customFormat="1" x14ac:dyDescent="0.3"/>
    <row r="56765" s="160" customFormat="1" x14ac:dyDescent="0.3"/>
    <row r="56766" s="160" customFormat="1" x14ac:dyDescent="0.3"/>
    <row r="56767" s="160" customFormat="1" x14ac:dyDescent="0.3"/>
    <row r="56768" s="160" customFormat="1" x14ac:dyDescent="0.3"/>
    <row r="56769" s="160" customFormat="1" x14ac:dyDescent="0.3"/>
    <row r="56770" s="160" customFormat="1" x14ac:dyDescent="0.3"/>
    <row r="56771" s="160" customFormat="1" x14ac:dyDescent="0.3"/>
    <row r="56772" s="160" customFormat="1" x14ac:dyDescent="0.3"/>
    <row r="56773" s="160" customFormat="1" x14ac:dyDescent="0.3"/>
    <row r="56774" s="160" customFormat="1" x14ac:dyDescent="0.3"/>
    <row r="56775" s="160" customFormat="1" x14ac:dyDescent="0.3"/>
    <row r="56776" s="160" customFormat="1" x14ac:dyDescent="0.3"/>
    <row r="56777" s="160" customFormat="1" x14ac:dyDescent="0.3"/>
    <row r="56778" s="160" customFormat="1" x14ac:dyDescent="0.3"/>
    <row r="56779" s="160" customFormat="1" x14ac:dyDescent="0.3"/>
    <row r="56780" s="160" customFormat="1" x14ac:dyDescent="0.3"/>
    <row r="56781" s="160" customFormat="1" x14ac:dyDescent="0.3"/>
    <row r="56782" s="160" customFormat="1" x14ac:dyDescent="0.3"/>
    <row r="56783" s="160" customFormat="1" x14ac:dyDescent="0.3"/>
    <row r="56784" s="160" customFormat="1" x14ac:dyDescent="0.3"/>
    <row r="56785" s="160" customFormat="1" x14ac:dyDescent="0.3"/>
    <row r="56786" s="160" customFormat="1" x14ac:dyDescent="0.3"/>
    <row r="56787" s="160" customFormat="1" x14ac:dyDescent="0.3"/>
    <row r="56788" s="160" customFormat="1" x14ac:dyDescent="0.3"/>
    <row r="56789" s="160" customFormat="1" x14ac:dyDescent="0.3"/>
    <row r="56790" s="160" customFormat="1" x14ac:dyDescent="0.3"/>
    <row r="56791" s="160" customFormat="1" x14ac:dyDescent="0.3"/>
    <row r="56792" s="160" customFormat="1" x14ac:dyDescent="0.3"/>
    <row r="56793" s="160" customFormat="1" x14ac:dyDescent="0.3"/>
    <row r="56794" s="160" customFormat="1" x14ac:dyDescent="0.3"/>
    <row r="56795" s="160" customFormat="1" x14ac:dyDescent="0.3"/>
    <row r="56796" s="160" customFormat="1" x14ac:dyDescent="0.3"/>
    <row r="56797" s="160" customFormat="1" x14ac:dyDescent="0.3"/>
    <row r="56798" s="160" customFormat="1" x14ac:dyDescent="0.3"/>
    <row r="56799" s="160" customFormat="1" x14ac:dyDescent="0.3"/>
    <row r="56800" s="160" customFormat="1" x14ac:dyDescent="0.3"/>
    <row r="56801" s="160" customFormat="1" x14ac:dyDescent="0.3"/>
    <row r="56802" s="160" customFormat="1" x14ac:dyDescent="0.3"/>
    <row r="56803" s="160" customFormat="1" x14ac:dyDescent="0.3"/>
    <row r="56804" s="160" customFormat="1" x14ac:dyDescent="0.3"/>
    <row r="56805" s="160" customFormat="1" x14ac:dyDescent="0.3"/>
    <row r="56806" s="160" customFormat="1" x14ac:dyDescent="0.3"/>
    <row r="56807" s="160" customFormat="1" x14ac:dyDescent="0.3"/>
    <row r="56808" s="160" customFormat="1" x14ac:dyDescent="0.3"/>
    <row r="56809" s="160" customFormat="1" x14ac:dyDescent="0.3"/>
    <row r="56810" s="160" customFormat="1" x14ac:dyDescent="0.3"/>
    <row r="56811" s="160" customFormat="1" x14ac:dyDescent="0.3"/>
    <row r="56812" s="160" customFormat="1" x14ac:dyDescent="0.3"/>
    <row r="56813" s="160" customFormat="1" x14ac:dyDescent="0.3"/>
    <row r="56814" s="160" customFormat="1" x14ac:dyDescent="0.3"/>
    <row r="56815" s="160" customFormat="1" x14ac:dyDescent="0.3"/>
    <row r="56816" s="160" customFormat="1" x14ac:dyDescent="0.3"/>
    <row r="56817" s="160" customFormat="1" x14ac:dyDescent="0.3"/>
    <row r="56818" s="160" customFormat="1" x14ac:dyDescent="0.3"/>
    <row r="56819" s="160" customFormat="1" x14ac:dyDescent="0.3"/>
    <row r="56820" s="160" customFormat="1" x14ac:dyDescent="0.3"/>
    <row r="56821" s="160" customFormat="1" x14ac:dyDescent="0.3"/>
    <row r="56822" s="160" customFormat="1" x14ac:dyDescent="0.3"/>
    <row r="56823" s="160" customFormat="1" x14ac:dyDescent="0.3"/>
    <row r="56824" s="160" customFormat="1" x14ac:dyDescent="0.3"/>
    <row r="56825" s="160" customFormat="1" x14ac:dyDescent="0.3"/>
    <row r="56826" s="160" customFormat="1" x14ac:dyDescent="0.3"/>
    <row r="56827" s="160" customFormat="1" x14ac:dyDescent="0.3"/>
    <row r="56828" s="160" customFormat="1" x14ac:dyDescent="0.3"/>
    <row r="56829" s="160" customFormat="1" x14ac:dyDescent="0.3"/>
    <row r="56830" s="160" customFormat="1" x14ac:dyDescent="0.3"/>
    <row r="56831" s="160" customFormat="1" x14ac:dyDescent="0.3"/>
    <row r="56832" s="160" customFormat="1" x14ac:dyDescent="0.3"/>
    <row r="56833" s="160" customFormat="1" x14ac:dyDescent="0.3"/>
    <row r="56834" s="160" customFormat="1" x14ac:dyDescent="0.3"/>
    <row r="56835" s="160" customFormat="1" x14ac:dyDescent="0.3"/>
    <row r="56836" s="160" customFormat="1" x14ac:dyDescent="0.3"/>
    <row r="56837" s="160" customFormat="1" x14ac:dyDescent="0.3"/>
    <row r="56838" s="160" customFormat="1" x14ac:dyDescent="0.3"/>
    <row r="56839" s="160" customFormat="1" x14ac:dyDescent="0.3"/>
    <row r="56840" s="160" customFormat="1" x14ac:dyDescent="0.3"/>
    <row r="56841" s="160" customFormat="1" x14ac:dyDescent="0.3"/>
    <row r="56842" s="160" customFormat="1" x14ac:dyDescent="0.3"/>
    <row r="56843" s="160" customFormat="1" x14ac:dyDescent="0.3"/>
    <row r="56844" s="160" customFormat="1" x14ac:dyDescent="0.3"/>
    <row r="56845" s="160" customFormat="1" x14ac:dyDescent="0.3"/>
    <row r="56846" s="160" customFormat="1" x14ac:dyDescent="0.3"/>
    <row r="56847" s="160" customFormat="1" x14ac:dyDescent="0.3"/>
    <row r="56848" s="160" customFormat="1" x14ac:dyDescent="0.3"/>
    <row r="56849" s="160" customFormat="1" x14ac:dyDescent="0.3"/>
    <row r="56850" s="160" customFormat="1" x14ac:dyDescent="0.3"/>
    <row r="56851" s="160" customFormat="1" x14ac:dyDescent="0.3"/>
    <row r="56852" s="160" customFormat="1" x14ac:dyDescent="0.3"/>
    <row r="56853" s="160" customFormat="1" x14ac:dyDescent="0.3"/>
    <row r="56854" s="160" customFormat="1" x14ac:dyDescent="0.3"/>
    <row r="56855" s="160" customFormat="1" x14ac:dyDescent="0.3"/>
    <row r="56856" s="160" customFormat="1" x14ac:dyDescent="0.3"/>
    <row r="56857" s="160" customFormat="1" x14ac:dyDescent="0.3"/>
    <row r="56858" s="160" customFormat="1" x14ac:dyDescent="0.3"/>
    <row r="56859" s="160" customFormat="1" x14ac:dyDescent="0.3"/>
    <row r="56860" s="160" customFormat="1" x14ac:dyDescent="0.3"/>
    <row r="56861" s="160" customFormat="1" x14ac:dyDescent="0.3"/>
    <row r="56862" s="160" customFormat="1" x14ac:dyDescent="0.3"/>
    <row r="56863" s="160" customFormat="1" x14ac:dyDescent="0.3"/>
    <row r="56864" s="160" customFormat="1" x14ac:dyDescent="0.3"/>
    <row r="56865" s="160" customFormat="1" x14ac:dyDescent="0.3"/>
    <row r="56866" s="160" customFormat="1" x14ac:dyDescent="0.3"/>
    <row r="56867" s="160" customFormat="1" x14ac:dyDescent="0.3"/>
    <row r="56868" s="160" customFormat="1" x14ac:dyDescent="0.3"/>
    <row r="56869" s="160" customFormat="1" x14ac:dyDescent="0.3"/>
    <row r="56870" s="160" customFormat="1" x14ac:dyDescent="0.3"/>
    <row r="56871" s="160" customFormat="1" x14ac:dyDescent="0.3"/>
    <row r="56872" s="160" customFormat="1" x14ac:dyDescent="0.3"/>
    <row r="56873" s="160" customFormat="1" x14ac:dyDescent="0.3"/>
    <row r="56874" s="160" customFormat="1" x14ac:dyDescent="0.3"/>
    <row r="56875" s="160" customFormat="1" x14ac:dyDescent="0.3"/>
    <row r="56876" s="160" customFormat="1" x14ac:dyDescent="0.3"/>
    <row r="56877" s="160" customFormat="1" x14ac:dyDescent="0.3"/>
    <row r="56878" s="160" customFormat="1" x14ac:dyDescent="0.3"/>
    <row r="56879" s="160" customFormat="1" x14ac:dyDescent="0.3"/>
    <row r="56880" s="160" customFormat="1" x14ac:dyDescent="0.3"/>
    <row r="56881" s="160" customFormat="1" x14ac:dyDescent="0.3"/>
    <row r="56882" s="160" customFormat="1" x14ac:dyDescent="0.3"/>
    <row r="56883" s="160" customFormat="1" x14ac:dyDescent="0.3"/>
    <row r="56884" s="160" customFormat="1" x14ac:dyDescent="0.3"/>
    <row r="56885" s="160" customFormat="1" x14ac:dyDescent="0.3"/>
    <row r="56886" s="160" customFormat="1" x14ac:dyDescent="0.3"/>
    <row r="56887" s="160" customFormat="1" x14ac:dyDescent="0.3"/>
    <row r="56888" s="160" customFormat="1" x14ac:dyDescent="0.3"/>
    <row r="56889" s="160" customFormat="1" x14ac:dyDescent="0.3"/>
    <row r="56890" s="160" customFormat="1" x14ac:dyDescent="0.3"/>
    <row r="56891" s="160" customFormat="1" x14ac:dyDescent="0.3"/>
    <row r="56892" s="160" customFormat="1" x14ac:dyDescent="0.3"/>
    <row r="56893" s="160" customFormat="1" x14ac:dyDescent="0.3"/>
    <row r="56894" s="160" customFormat="1" x14ac:dyDescent="0.3"/>
    <row r="56895" s="160" customFormat="1" x14ac:dyDescent="0.3"/>
    <row r="56896" s="160" customFormat="1" x14ac:dyDescent="0.3"/>
    <row r="56897" s="160" customFormat="1" x14ac:dyDescent="0.3"/>
    <row r="56898" s="160" customFormat="1" x14ac:dyDescent="0.3"/>
    <row r="56899" s="160" customFormat="1" x14ac:dyDescent="0.3"/>
    <row r="56900" s="160" customFormat="1" x14ac:dyDescent="0.3"/>
    <row r="56901" s="160" customFormat="1" x14ac:dyDescent="0.3"/>
    <row r="56902" s="160" customFormat="1" x14ac:dyDescent="0.3"/>
    <row r="56903" s="160" customFormat="1" x14ac:dyDescent="0.3"/>
    <row r="56904" s="160" customFormat="1" x14ac:dyDescent="0.3"/>
    <row r="56905" s="160" customFormat="1" x14ac:dyDescent="0.3"/>
    <row r="56906" s="160" customFormat="1" x14ac:dyDescent="0.3"/>
    <row r="56907" s="160" customFormat="1" x14ac:dyDescent="0.3"/>
    <row r="56908" s="160" customFormat="1" x14ac:dyDescent="0.3"/>
    <row r="56909" s="160" customFormat="1" x14ac:dyDescent="0.3"/>
    <row r="56910" s="160" customFormat="1" x14ac:dyDescent="0.3"/>
    <row r="56911" s="160" customFormat="1" x14ac:dyDescent="0.3"/>
    <row r="56912" s="160" customFormat="1" x14ac:dyDescent="0.3"/>
    <row r="56913" s="160" customFormat="1" x14ac:dyDescent="0.3"/>
    <row r="56914" s="160" customFormat="1" x14ac:dyDescent="0.3"/>
    <row r="56915" s="160" customFormat="1" x14ac:dyDescent="0.3"/>
    <row r="56916" s="160" customFormat="1" x14ac:dyDescent="0.3"/>
    <row r="56917" s="160" customFormat="1" x14ac:dyDescent="0.3"/>
    <row r="56918" s="160" customFormat="1" x14ac:dyDescent="0.3"/>
    <row r="56919" s="160" customFormat="1" x14ac:dyDescent="0.3"/>
    <row r="56920" s="160" customFormat="1" x14ac:dyDescent="0.3"/>
    <row r="56921" s="160" customFormat="1" x14ac:dyDescent="0.3"/>
    <row r="56922" s="160" customFormat="1" x14ac:dyDescent="0.3"/>
    <row r="56923" s="160" customFormat="1" x14ac:dyDescent="0.3"/>
    <row r="56924" s="160" customFormat="1" x14ac:dyDescent="0.3"/>
    <row r="56925" s="160" customFormat="1" x14ac:dyDescent="0.3"/>
    <row r="56926" s="160" customFormat="1" x14ac:dyDescent="0.3"/>
    <row r="56927" s="160" customFormat="1" x14ac:dyDescent="0.3"/>
    <row r="56928" s="160" customFormat="1" x14ac:dyDescent="0.3"/>
    <row r="56929" s="160" customFormat="1" x14ac:dyDescent="0.3"/>
    <row r="56930" s="160" customFormat="1" x14ac:dyDescent="0.3"/>
    <row r="56931" s="160" customFormat="1" x14ac:dyDescent="0.3"/>
    <row r="56932" s="160" customFormat="1" x14ac:dyDescent="0.3"/>
    <row r="56933" s="160" customFormat="1" x14ac:dyDescent="0.3"/>
    <row r="56934" s="160" customFormat="1" x14ac:dyDescent="0.3"/>
    <row r="56935" s="160" customFormat="1" x14ac:dyDescent="0.3"/>
    <row r="56936" s="160" customFormat="1" x14ac:dyDescent="0.3"/>
    <row r="56937" s="160" customFormat="1" x14ac:dyDescent="0.3"/>
    <row r="56938" s="160" customFormat="1" x14ac:dyDescent="0.3"/>
    <row r="56939" s="160" customFormat="1" x14ac:dyDescent="0.3"/>
    <row r="56940" s="160" customFormat="1" x14ac:dyDescent="0.3"/>
    <row r="56941" s="160" customFormat="1" x14ac:dyDescent="0.3"/>
    <row r="56942" s="160" customFormat="1" x14ac:dyDescent="0.3"/>
    <row r="56943" s="160" customFormat="1" x14ac:dyDescent="0.3"/>
    <row r="56944" s="160" customFormat="1" x14ac:dyDescent="0.3"/>
    <row r="56945" s="160" customFormat="1" x14ac:dyDescent="0.3"/>
    <row r="56946" s="160" customFormat="1" x14ac:dyDescent="0.3"/>
    <row r="56947" s="160" customFormat="1" x14ac:dyDescent="0.3"/>
    <row r="56948" s="160" customFormat="1" x14ac:dyDescent="0.3"/>
    <row r="56949" s="160" customFormat="1" x14ac:dyDescent="0.3"/>
    <row r="56950" s="160" customFormat="1" x14ac:dyDescent="0.3"/>
    <row r="56951" s="160" customFormat="1" x14ac:dyDescent="0.3"/>
    <row r="56952" s="160" customFormat="1" x14ac:dyDescent="0.3"/>
    <row r="56953" s="160" customFormat="1" x14ac:dyDescent="0.3"/>
    <row r="56954" s="160" customFormat="1" x14ac:dyDescent="0.3"/>
    <row r="56955" s="160" customFormat="1" x14ac:dyDescent="0.3"/>
    <row r="56956" s="160" customFormat="1" x14ac:dyDescent="0.3"/>
    <row r="56957" s="160" customFormat="1" x14ac:dyDescent="0.3"/>
    <row r="56958" s="160" customFormat="1" x14ac:dyDescent="0.3"/>
    <row r="56959" s="160" customFormat="1" x14ac:dyDescent="0.3"/>
    <row r="56960" s="160" customFormat="1" x14ac:dyDescent="0.3"/>
    <row r="56961" s="160" customFormat="1" x14ac:dyDescent="0.3"/>
    <row r="56962" s="160" customFormat="1" x14ac:dyDescent="0.3"/>
    <row r="56963" s="160" customFormat="1" x14ac:dyDescent="0.3"/>
    <row r="56964" s="160" customFormat="1" x14ac:dyDescent="0.3"/>
    <row r="56965" s="160" customFormat="1" x14ac:dyDescent="0.3"/>
    <row r="56966" s="160" customFormat="1" x14ac:dyDescent="0.3"/>
    <row r="56967" s="160" customFormat="1" x14ac:dyDescent="0.3"/>
    <row r="56968" s="160" customFormat="1" x14ac:dyDescent="0.3"/>
    <row r="56969" s="160" customFormat="1" x14ac:dyDescent="0.3"/>
    <row r="56970" s="160" customFormat="1" x14ac:dyDescent="0.3"/>
    <row r="56971" s="160" customFormat="1" x14ac:dyDescent="0.3"/>
    <row r="56972" s="160" customFormat="1" x14ac:dyDescent="0.3"/>
    <row r="56973" s="160" customFormat="1" x14ac:dyDescent="0.3"/>
    <row r="56974" s="160" customFormat="1" x14ac:dyDescent="0.3"/>
    <row r="56975" s="160" customFormat="1" x14ac:dyDescent="0.3"/>
    <row r="56976" s="160" customFormat="1" x14ac:dyDescent="0.3"/>
    <row r="56977" s="160" customFormat="1" x14ac:dyDescent="0.3"/>
    <row r="56978" s="160" customFormat="1" x14ac:dyDescent="0.3"/>
    <row r="56979" s="160" customFormat="1" x14ac:dyDescent="0.3"/>
    <row r="56980" s="160" customFormat="1" x14ac:dyDescent="0.3"/>
    <row r="56981" s="160" customFormat="1" x14ac:dyDescent="0.3"/>
    <row r="56982" s="160" customFormat="1" x14ac:dyDescent="0.3"/>
    <row r="56983" s="160" customFormat="1" x14ac:dyDescent="0.3"/>
    <row r="56984" s="160" customFormat="1" x14ac:dyDescent="0.3"/>
    <row r="56985" s="160" customFormat="1" x14ac:dyDescent="0.3"/>
    <row r="56986" s="160" customFormat="1" x14ac:dyDescent="0.3"/>
    <row r="56987" s="160" customFormat="1" x14ac:dyDescent="0.3"/>
    <row r="56988" s="160" customFormat="1" x14ac:dyDescent="0.3"/>
    <row r="56989" s="160" customFormat="1" x14ac:dyDescent="0.3"/>
    <row r="56990" s="160" customFormat="1" x14ac:dyDescent="0.3"/>
    <row r="56991" s="160" customFormat="1" x14ac:dyDescent="0.3"/>
    <row r="56992" s="160" customFormat="1" x14ac:dyDescent="0.3"/>
    <row r="56993" s="160" customFormat="1" x14ac:dyDescent="0.3"/>
    <row r="56994" s="160" customFormat="1" x14ac:dyDescent="0.3"/>
    <row r="56995" s="160" customFormat="1" x14ac:dyDescent="0.3"/>
    <row r="56996" s="160" customFormat="1" x14ac:dyDescent="0.3"/>
    <row r="56997" s="160" customFormat="1" x14ac:dyDescent="0.3"/>
    <row r="56998" s="160" customFormat="1" x14ac:dyDescent="0.3"/>
    <row r="56999" s="160" customFormat="1" x14ac:dyDescent="0.3"/>
    <row r="57000" s="160" customFormat="1" x14ac:dyDescent="0.3"/>
    <row r="57001" s="160" customFormat="1" x14ac:dyDescent="0.3"/>
    <row r="57002" s="160" customFormat="1" x14ac:dyDescent="0.3"/>
    <row r="57003" s="160" customFormat="1" x14ac:dyDescent="0.3"/>
    <row r="57004" s="160" customFormat="1" x14ac:dyDescent="0.3"/>
    <row r="57005" s="160" customFormat="1" x14ac:dyDescent="0.3"/>
    <row r="57006" s="160" customFormat="1" x14ac:dyDescent="0.3"/>
    <row r="57007" s="160" customFormat="1" x14ac:dyDescent="0.3"/>
    <row r="57008" s="160" customFormat="1" x14ac:dyDescent="0.3"/>
    <row r="57009" s="160" customFormat="1" x14ac:dyDescent="0.3"/>
    <row r="57010" s="160" customFormat="1" x14ac:dyDescent="0.3"/>
    <row r="57011" s="160" customFormat="1" x14ac:dyDescent="0.3"/>
    <row r="57012" s="160" customFormat="1" x14ac:dyDescent="0.3"/>
    <row r="57013" s="160" customFormat="1" x14ac:dyDescent="0.3"/>
    <row r="57014" s="160" customFormat="1" x14ac:dyDescent="0.3"/>
    <row r="57015" s="160" customFormat="1" x14ac:dyDescent="0.3"/>
    <row r="57016" s="160" customFormat="1" x14ac:dyDescent="0.3"/>
    <row r="57017" s="160" customFormat="1" x14ac:dyDescent="0.3"/>
    <row r="57018" s="160" customFormat="1" x14ac:dyDescent="0.3"/>
    <row r="57019" s="160" customFormat="1" x14ac:dyDescent="0.3"/>
    <row r="57020" s="160" customFormat="1" x14ac:dyDescent="0.3"/>
    <row r="57021" s="160" customFormat="1" x14ac:dyDescent="0.3"/>
    <row r="57022" s="160" customFormat="1" x14ac:dyDescent="0.3"/>
    <row r="57023" s="160" customFormat="1" x14ac:dyDescent="0.3"/>
    <row r="57024" s="160" customFormat="1" x14ac:dyDescent="0.3"/>
    <row r="57025" s="160" customFormat="1" x14ac:dyDescent="0.3"/>
    <row r="57026" s="160" customFormat="1" x14ac:dyDescent="0.3"/>
    <row r="57027" s="160" customFormat="1" x14ac:dyDescent="0.3"/>
    <row r="57028" s="160" customFormat="1" x14ac:dyDescent="0.3"/>
    <row r="57029" s="160" customFormat="1" x14ac:dyDescent="0.3"/>
    <row r="57030" s="160" customFormat="1" x14ac:dyDescent="0.3"/>
    <row r="57031" s="160" customFormat="1" x14ac:dyDescent="0.3"/>
    <row r="57032" s="160" customFormat="1" x14ac:dyDescent="0.3"/>
    <row r="57033" s="160" customFormat="1" x14ac:dyDescent="0.3"/>
    <row r="57034" s="160" customFormat="1" x14ac:dyDescent="0.3"/>
    <row r="57035" s="160" customFormat="1" x14ac:dyDescent="0.3"/>
    <row r="57036" s="160" customFormat="1" x14ac:dyDescent="0.3"/>
    <row r="57037" s="160" customFormat="1" x14ac:dyDescent="0.3"/>
    <row r="57038" s="160" customFormat="1" x14ac:dyDescent="0.3"/>
    <row r="57039" s="160" customFormat="1" x14ac:dyDescent="0.3"/>
    <row r="57040" s="160" customFormat="1" x14ac:dyDescent="0.3"/>
    <row r="57041" s="160" customFormat="1" x14ac:dyDescent="0.3"/>
    <row r="57042" s="160" customFormat="1" x14ac:dyDescent="0.3"/>
    <row r="57043" s="160" customFormat="1" x14ac:dyDescent="0.3"/>
    <row r="57044" s="160" customFormat="1" x14ac:dyDescent="0.3"/>
    <row r="57045" s="160" customFormat="1" x14ac:dyDescent="0.3"/>
    <row r="57046" s="160" customFormat="1" x14ac:dyDescent="0.3"/>
    <row r="57047" s="160" customFormat="1" x14ac:dyDescent="0.3"/>
    <row r="57048" s="160" customFormat="1" x14ac:dyDescent="0.3"/>
    <row r="57049" s="160" customFormat="1" x14ac:dyDescent="0.3"/>
    <row r="57050" s="160" customFormat="1" x14ac:dyDescent="0.3"/>
    <row r="57051" s="160" customFormat="1" x14ac:dyDescent="0.3"/>
    <row r="57052" s="160" customFormat="1" x14ac:dyDescent="0.3"/>
    <row r="57053" s="160" customFormat="1" x14ac:dyDescent="0.3"/>
    <row r="57054" s="160" customFormat="1" x14ac:dyDescent="0.3"/>
    <row r="57055" s="160" customFormat="1" x14ac:dyDescent="0.3"/>
    <row r="57056" s="160" customFormat="1" x14ac:dyDescent="0.3"/>
    <row r="57057" s="160" customFormat="1" x14ac:dyDescent="0.3"/>
    <row r="57058" s="160" customFormat="1" x14ac:dyDescent="0.3"/>
    <row r="57059" s="160" customFormat="1" x14ac:dyDescent="0.3"/>
    <row r="57060" s="160" customFormat="1" x14ac:dyDescent="0.3"/>
    <row r="57061" s="160" customFormat="1" x14ac:dyDescent="0.3"/>
    <row r="57062" s="160" customFormat="1" x14ac:dyDescent="0.3"/>
    <row r="57063" s="160" customFormat="1" x14ac:dyDescent="0.3"/>
    <row r="57064" s="160" customFormat="1" x14ac:dyDescent="0.3"/>
    <row r="57065" s="160" customFormat="1" x14ac:dyDescent="0.3"/>
    <row r="57066" s="160" customFormat="1" x14ac:dyDescent="0.3"/>
    <row r="57067" s="160" customFormat="1" x14ac:dyDescent="0.3"/>
    <row r="57068" s="160" customFormat="1" x14ac:dyDescent="0.3"/>
    <row r="57069" s="160" customFormat="1" x14ac:dyDescent="0.3"/>
    <row r="57070" s="160" customFormat="1" x14ac:dyDescent="0.3"/>
    <row r="57071" s="160" customFormat="1" x14ac:dyDescent="0.3"/>
    <row r="57072" s="160" customFormat="1" x14ac:dyDescent="0.3"/>
    <row r="57073" s="160" customFormat="1" x14ac:dyDescent="0.3"/>
    <row r="57074" s="160" customFormat="1" x14ac:dyDescent="0.3"/>
    <row r="57075" s="160" customFormat="1" x14ac:dyDescent="0.3"/>
    <row r="57076" s="160" customFormat="1" x14ac:dyDescent="0.3"/>
    <row r="57077" s="160" customFormat="1" x14ac:dyDescent="0.3"/>
    <row r="57078" s="160" customFormat="1" x14ac:dyDescent="0.3"/>
    <row r="57079" s="160" customFormat="1" x14ac:dyDescent="0.3"/>
    <row r="57080" s="160" customFormat="1" x14ac:dyDescent="0.3"/>
    <row r="57081" s="160" customFormat="1" x14ac:dyDescent="0.3"/>
    <row r="57082" s="160" customFormat="1" x14ac:dyDescent="0.3"/>
    <row r="57083" s="160" customFormat="1" x14ac:dyDescent="0.3"/>
    <row r="57084" s="160" customFormat="1" x14ac:dyDescent="0.3"/>
    <row r="57085" s="160" customFormat="1" x14ac:dyDescent="0.3"/>
    <row r="57086" s="160" customFormat="1" x14ac:dyDescent="0.3"/>
    <row r="57087" s="160" customFormat="1" x14ac:dyDescent="0.3"/>
    <row r="57088" s="160" customFormat="1" x14ac:dyDescent="0.3"/>
    <row r="57089" s="160" customFormat="1" x14ac:dyDescent="0.3"/>
    <row r="57090" s="160" customFormat="1" x14ac:dyDescent="0.3"/>
    <row r="57091" s="160" customFormat="1" x14ac:dyDescent="0.3"/>
    <row r="57092" s="160" customFormat="1" x14ac:dyDescent="0.3"/>
    <row r="57093" s="160" customFormat="1" x14ac:dyDescent="0.3"/>
    <row r="57094" s="160" customFormat="1" x14ac:dyDescent="0.3"/>
    <row r="57095" s="160" customFormat="1" x14ac:dyDescent="0.3"/>
    <row r="57096" s="160" customFormat="1" x14ac:dyDescent="0.3"/>
    <row r="57097" s="160" customFormat="1" x14ac:dyDescent="0.3"/>
    <row r="57098" s="160" customFormat="1" x14ac:dyDescent="0.3"/>
    <row r="57099" s="160" customFormat="1" x14ac:dyDescent="0.3"/>
    <row r="57100" s="160" customFormat="1" x14ac:dyDescent="0.3"/>
    <row r="57101" s="160" customFormat="1" x14ac:dyDescent="0.3"/>
    <row r="57102" s="160" customFormat="1" x14ac:dyDescent="0.3"/>
    <row r="57103" s="160" customFormat="1" x14ac:dyDescent="0.3"/>
    <row r="57104" s="160" customFormat="1" x14ac:dyDescent="0.3"/>
    <row r="57105" s="160" customFormat="1" x14ac:dyDescent="0.3"/>
    <row r="57106" s="160" customFormat="1" x14ac:dyDescent="0.3"/>
    <row r="57107" s="160" customFormat="1" x14ac:dyDescent="0.3"/>
    <row r="57108" s="160" customFormat="1" x14ac:dyDescent="0.3"/>
    <row r="57109" s="160" customFormat="1" x14ac:dyDescent="0.3"/>
    <row r="57110" s="160" customFormat="1" x14ac:dyDescent="0.3"/>
    <row r="57111" s="160" customFormat="1" x14ac:dyDescent="0.3"/>
    <row r="57112" s="160" customFormat="1" x14ac:dyDescent="0.3"/>
    <row r="57113" s="160" customFormat="1" x14ac:dyDescent="0.3"/>
    <row r="57114" s="160" customFormat="1" x14ac:dyDescent="0.3"/>
    <row r="57115" s="160" customFormat="1" x14ac:dyDescent="0.3"/>
    <row r="57116" s="160" customFormat="1" x14ac:dyDescent="0.3"/>
    <row r="57117" s="160" customFormat="1" x14ac:dyDescent="0.3"/>
    <row r="57118" s="160" customFormat="1" x14ac:dyDescent="0.3"/>
    <row r="57119" s="160" customFormat="1" x14ac:dyDescent="0.3"/>
    <row r="57120" s="160" customFormat="1" x14ac:dyDescent="0.3"/>
    <row r="57121" s="160" customFormat="1" x14ac:dyDescent="0.3"/>
    <row r="57122" s="160" customFormat="1" x14ac:dyDescent="0.3"/>
    <row r="57123" s="160" customFormat="1" x14ac:dyDescent="0.3"/>
    <row r="57124" s="160" customFormat="1" x14ac:dyDescent="0.3"/>
    <row r="57125" s="160" customFormat="1" x14ac:dyDescent="0.3"/>
    <row r="57126" s="160" customFormat="1" x14ac:dyDescent="0.3"/>
    <row r="57127" s="160" customFormat="1" x14ac:dyDescent="0.3"/>
    <row r="57128" s="160" customFormat="1" x14ac:dyDescent="0.3"/>
    <row r="57129" s="160" customFormat="1" x14ac:dyDescent="0.3"/>
    <row r="57130" s="160" customFormat="1" x14ac:dyDescent="0.3"/>
    <row r="57131" s="160" customFormat="1" x14ac:dyDescent="0.3"/>
    <row r="57132" s="160" customFormat="1" x14ac:dyDescent="0.3"/>
    <row r="57133" s="160" customFormat="1" x14ac:dyDescent="0.3"/>
    <row r="57134" s="160" customFormat="1" x14ac:dyDescent="0.3"/>
    <row r="57135" s="160" customFormat="1" x14ac:dyDescent="0.3"/>
    <row r="57136" s="160" customFormat="1" x14ac:dyDescent="0.3"/>
    <row r="57137" s="160" customFormat="1" x14ac:dyDescent="0.3"/>
    <row r="57138" s="160" customFormat="1" x14ac:dyDescent="0.3"/>
    <row r="57139" s="160" customFormat="1" x14ac:dyDescent="0.3"/>
    <row r="57140" s="160" customFormat="1" x14ac:dyDescent="0.3"/>
    <row r="57141" s="160" customFormat="1" x14ac:dyDescent="0.3"/>
    <row r="57142" s="160" customFormat="1" x14ac:dyDescent="0.3"/>
    <row r="57143" s="160" customFormat="1" x14ac:dyDescent="0.3"/>
    <row r="57144" s="160" customFormat="1" x14ac:dyDescent="0.3"/>
    <row r="57145" s="160" customFormat="1" x14ac:dyDescent="0.3"/>
    <row r="57146" s="160" customFormat="1" x14ac:dyDescent="0.3"/>
    <row r="57147" s="160" customFormat="1" x14ac:dyDescent="0.3"/>
    <row r="57148" s="160" customFormat="1" x14ac:dyDescent="0.3"/>
    <row r="57149" s="160" customFormat="1" x14ac:dyDescent="0.3"/>
    <row r="57150" s="160" customFormat="1" x14ac:dyDescent="0.3"/>
    <row r="57151" s="160" customFormat="1" x14ac:dyDescent="0.3"/>
    <row r="57152" s="160" customFormat="1" x14ac:dyDescent="0.3"/>
    <row r="57153" s="160" customFormat="1" x14ac:dyDescent="0.3"/>
    <row r="57154" s="160" customFormat="1" x14ac:dyDescent="0.3"/>
    <row r="57155" s="160" customFormat="1" x14ac:dyDescent="0.3"/>
    <row r="57156" s="160" customFormat="1" x14ac:dyDescent="0.3"/>
    <row r="57157" s="160" customFormat="1" x14ac:dyDescent="0.3"/>
    <row r="57158" s="160" customFormat="1" x14ac:dyDescent="0.3"/>
    <row r="57159" s="160" customFormat="1" x14ac:dyDescent="0.3"/>
    <row r="57160" s="160" customFormat="1" x14ac:dyDescent="0.3"/>
    <row r="57161" s="160" customFormat="1" x14ac:dyDescent="0.3"/>
    <row r="57162" s="160" customFormat="1" x14ac:dyDescent="0.3"/>
    <row r="57163" s="160" customFormat="1" x14ac:dyDescent="0.3"/>
    <row r="57164" s="160" customFormat="1" x14ac:dyDescent="0.3"/>
    <row r="57165" s="160" customFormat="1" x14ac:dyDescent="0.3"/>
    <row r="57166" s="160" customFormat="1" x14ac:dyDescent="0.3"/>
    <row r="57167" s="160" customFormat="1" x14ac:dyDescent="0.3"/>
    <row r="57168" s="160" customFormat="1" x14ac:dyDescent="0.3"/>
    <row r="57169" s="160" customFormat="1" x14ac:dyDescent="0.3"/>
    <row r="57170" s="160" customFormat="1" x14ac:dyDescent="0.3"/>
    <row r="57171" s="160" customFormat="1" x14ac:dyDescent="0.3"/>
    <row r="57172" s="160" customFormat="1" x14ac:dyDescent="0.3"/>
    <row r="57173" s="160" customFormat="1" x14ac:dyDescent="0.3"/>
    <row r="57174" s="160" customFormat="1" x14ac:dyDescent="0.3"/>
    <row r="57175" s="160" customFormat="1" x14ac:dyDescent="0.3"/>
    <row r="57176" s="160" customFormat="1" x14ac:dyDescent="0.3"/>
    <row r="57177" s="160" customFormat="1" x14ac:dyDescent="0.3"/>
    <row r="57178" s="160" customFormat="1" x14ac:dyDescent="0.3"/>
    <row r="57179" s="160" customFormat="1" x14ac:dyDescent="0.3"/>
    <row r="57180" s="160" customFormat="1" x14ac:dyDescent="0.3"/>
    <row r="57181" s="160" customFormat="1" x14ac:dyDescent="0.3"/>
    <row r="57182" s="160" customFormat="1" x14ac:dyDescent="0.3"/>
    <row r="57183" s="160" customFormat="1" x14ac:dyDescent="0.3"/>
    <row r="57184" s="160" customFormat="1" x14ac:dyDescent="0.3"/>
    <row r="57185" s="160" customFormat="1" x14ac:dyDescent="0.3"/>
    <row r="57186" s="160" customFormat="1" x14ac:dyDescent="0.3"/>
    <row r="57187" s="160" customFormat="1" x14ac:dyDescent="0.3"/>
    <row r="57188" s="160" customFormat="1" x14ac:dyDescent="0.3"/>
    <row r="57189" s="160" customFormat="1" x14ac:dyDescent="0.3"/>
    <row r="57190" s="160" customFormat="1" x14ac:dyDescent="0.3"/>
    <row r="57191" s="160" customFormat="1" x14ac:dyDescent="0.3"/>
    <row r="57192" s="160" customFormat="1" x14ac:dyDescent="0.3"/>
    <row r="57193" s="160" customFormat="1" x14ac:dyDescent="0.3"/>
    <row r="57194" s="160" customFormat="1" x14ac:dyDescent="0.3"/>
    <row r="57195" s="160" customFormat="1" x14ac:dyDescent="0.3"/>
    <row r="57196" s="160" customFormat="1" x14ac:dyDescent="0.3"/>
    <row r="57197" s="160" customFormat="1" x14ac:dyDescent="0.3"/>
    <row r="57198" s="160" customFormat="1" x14ac:dyDescent="0.3"/>
    <row r="57199" s="160" customFormat="1" x14ac:dyDescent="0.3"/>
    <row r="57200" s="160" customFormat="1" x14ac:dyDescent="0.3"/>
    <row r="57201" s="160" customFormat="1" x14ac:dyDescent="0.3"/>
    <row r="57202" s="160" customFormat="1" x14ac:dyDescent="0.3"/>
    <row r="57203" s="160" customFormat="1" x14ac:dyDescent="0.3"/>
    <row r="57204" s="160" customFormat="1" x14ac:dyDescent="0.3"/>
    <row r="57205" s="160" customFormat="1" x14ac:dyDescent="0.3"/>
    <row r="57206" s="160" customFormat="1" x14ac:dyDescent="0.3"/>
    <row r="57207" s="160" customFormat="1" x14ac:dyDescent="0.3"/>
    <row r="57208" s="160" customFormat="1" x14ac:dyDescent="0.3"/>
    <row r="57209" s="160" customFormat="1" x14ac:dyDescent="0.3"/>
    <row r="57210" s="160" customFormat="1" x14ac:dyDescent="0.3"/>
    <row r="57211" s="160" customFormat="1" x14ac:dyDescent="0.3"/>
    <row r="57212" s="160" customFormat="1" x14ac:dyDescent="0.3"/>
    <row r="57213" s="160" customFormat="1" x14ac:dyDescent="0.3"/>
    <row r="57214" s="160" customFormat="1" x14ac:dyDescent="0.3"/>
    <row r="57215" s="160" customFormat="1" x14ac:dyDescent="0.3"/>
    <row r="57216" s="160" customFormat="1" x14ac:dyDescent="0.3"/>
    <row r="57217" s="160" customFormat="1" x14ac:dyDescent="0.3"/>
    <row r="57218" s="160" customFormat="1" x14ac:dyDescent="0.3"/>
    <row r="57219" s="160" customFormat="1" x14ac:dyDescent="0.3"/>
    <row r="57220" s="160" customFormat="1" x14ac:dyDescent="0.3"/>
    <row r="57221" s="160" customFormat="1" x14ac:dyDescent="0.3"/>
    <row r="57222" s="160" customFormat="1" x14ac:dyDescent="0.3"/>
    <row r="57223" s="160" customFormat="1" x14ac:dyDescent="0.3"/>
    <row r="57224" s="160" customFormat="1" x14ac:dyDescent="0.3"/>
    <row r="57225" s="160" customFormat="1" x14ac:dyDescent="0.3"/>
    <row r="57226" s="160" customFormat="1" x14ac:dyDescent="0.3"/>
    <row r="57227" s="160" customFormat="1" x14ac:dyDescent="0.3"/>
    <row r="57228" s="160" customFormat="1" x14ac:dyDescent="0.3"/>
    <row r="57229" s="160" customFormat="1" x14ac:dyDescent="0.3"/>
    <row r="57230" s="160" customFormat="1" x14ac:dyDescent="0.3"/>
    <row r="57231" s="160" customFormat="1" x14ac:dyDescent="0.3"/>
    <row r="57232" s="160" customFormat="1" x14ac:dyDescent="0.3"/>
    <row r="57233" s="160" customFormat="1" x14ac:dyDescent="0.3"/>
    <row r="57234" s="160" customFormat="1" x14ac:dyDescent="0.3"/>
    <row r="57235" s="160" customFormat="1" x14ac:dyDescent="0.3"/>
    <row r="57236" s="160" customFormat="1" x14ac:dyDescent="0.3"/>
    <row r="57237" s="160" customFormat="1" x14ac:dyDescent="0.3"/>
    <row r="57238" s="160" customFormat="1" x14ac:dyDescent="0.3"/>
    <row r="57239" s="160" customFormat="1" x14ac:dyDescent="0.3"/>
    <row r="57240" s="160" customFormat="1" x14ac:dyDescent="0.3"/>
    <row r="57241" s="160" customFormat="1" x14ac:dyDescent="0.3"/>
    <row r="57242" s="160" customFormat="1" x14ac:dyDescent="0.3"/>
    <row r="57243" s="160" customFormat="1" x14ac:dyDescent="0.3"/>
    <row r="57244" s="160" customFormat="1" x14ac:dyDescent="0.3"/>
    <row r="57245" s="160" customFormat="1" x14ac:dyDescent="0.3"/>
    <row r="57246" s="160" customFormat="1" x14ac:dyDescent="0.3"/>
    <row r="57247" s="160" customFormat="1" x14ac:dyDescent="0.3"/>
    <row r="57248" s="160" customFormat="1" x14ac:dyDescent="0.3"/>
    <row r="57249" s="160" customFormat="1" x14ac:dyDescent="0.3"/>
    <row r="57250" s="160" customFormat="1" x14ac:dyDescent="0.3"/>
    <row r="57251" s="160" customFormat="1" x14ac:dyDescent="0.3"/>
    <row r="57252" s="160" customFormat="1" x14ac:dyDescent="0.3"/>
    <row r="57253" s="160" customFormat="1" x14ac:dyDescent="0.3"/>
    <row r="57254" s="160" customFormat="1" x14ac:dyDescent="0.3"/>
    <row r="57255" s="160" customFormat="1" x14ac:dyDescent="0.3"/>
    <row r="57256" s="160" customFormat="1" x14ac:dyDescent="0.3"/>
    <row r="57257" s="160" customFormat="1" x14ac:dyDescent="0.3"/>
    <row r="57258" s="160" customFormat="1" x14ac:dyDescent="0.3"/>
    <row r="57259" s="160" customFormat="1" x14ac:dyDescent="0.3"/>
    <row r="57260" s="160" customFormat="1" x14ac:dyDescent="0.3"/>
    <row r="57261" s="160" customFormat="1" x14ac:dyDescent="0.3"/>
    <row r="57262" s="160" customFormat="1" x14ac:dyDescent="0.3"/>
    <row r="57263" s="160" customFormat="1" x14ac:dyDescent="0.3"/>
    <row r="57264" s="160" customFormat="1" x14ac:dyDescent="0.3"/>
    <row r="57265" s="160" customFormat="1" x14ac:dyDescent="0.3"/>
    <row r="57266" s="160" customFormat="1" x14ac:dyDescent="0.3"/>
    <row r="57267" s="160" customFormat="1" x14ac:dyDescent="0.3"/>
    <row r="57268" s="160" customFormat="1" x14ac:dyDescent="0.3"/>
    <row r="57269" s="160" customFormat="1" x14ac:dyDescent="0.3"/>
    <row r="57270" s="160" customFormat="1" x14ac:dyDescent="0.3"/>
    <row r="57271" s="160" customFormat="1" x14ac:dyDescent="0.3"/>
    <row r="57272" s="160" customFormat="1" x14ac:dyDescent="0.3"/>
    <row r="57273" s="160" customFormat="1" x14ac:dyDescent="0.3"/>
    <row r="57274" s="160" customFormat="1" x14ac:dyDescent="0.3"/>
    <row r="57275" s="160" customFormat="1" x14ac:dyDescent="0.3"/>
    <row r="57276" s="160" customFormat="1" x14ac:dyDescent="0.3"/>
    <row r="57277" s="160" customFormat="1" x14ac:dyDescent="0.3"/>
    <row r="57278" s="160" customFormat="1" x14ac:dyDescent="0.3"/>
    <row r="57279" s="160" customFormat="1" x14ac:dyDescent="0.3"/>
    <row r="57280" s="160" customFormat="1" x14ac:dyDescent="0.3"/>
    <row r="57281" s="160" customFormat="1" x14ac:dyDescent="0.3"/>
    <row r="57282" s="160" customFormat="1" x14ac:dyDescent="0.3"/>
    <row r="57283" s="160" customFormat="1" x14ac:dyDescent="0.3"/>
    <row r="57284" s="160" customFormat="1" x14ac:dyDescent="0.3"/>
    <row r="57285" s="160" customFormat="1" x14ac:dyDescent="0.3"/>
    <row r="57286" s="160" customFormat="1" x14ac:dyDescent="0.3"/>
    <row r="57287" s="160" customFormat="1" x14ac:dyDescent="0.3"/>
    <row r="57288" s="160" customFormat="1" x14ac:dyDescent="0.3"/>
    <row r="57289" s="160" customFormat="1" x14ac:dyDescent="0.3"/>
    <row r="57290" s="160" customFormat="1" x14ac:dyDescent="0.3"/>
    <row r="57291" s="160" customFormat="1" x14ac:dyDescent="0.3"/>
    <row r="57292" s="160" customFormat="1" x14ac:dyDescent="0.3"/>
    <row r="57293" s="160" customFormat="1" x14ac:dyDescent="0.3"/>
    <row r="57294" s="160" customFormat="1" x14ac:dyDescent="0.3"/>
    <row r="57295" s="160" customFormat="1" x14ac:dyDescent="0.3"/>
    <row r="57296" s="160" customFormat="1" x14ac:dyDescent="0.3"/>
    <row r="57297" s="160" customFormat="1" x14ac:dyDescent="0.3"/>
    <row r="57298" s="160" customFormat="1" x14ac:dyDescent="0.3"/>
    <row r="57299" s="160" customFormat="1" x14ac:dyDescent="0.3"/>
    <row r="57300" s="160" customFormat="1" x14ac:dyDescent="0.3"/>
    <row r="57301" s="160" customFormat="1" x14ac:dyDescent="0.3"/>
    <row r="57302" s="160" customFormat="1" x14ac:dyDescent="0.3"/>
    <row r="57303" s="160" customFormat="1" x14ac:dyDescent="0.3"/>
    <row r="57304" s="160" customFormat="1" x14ac:dyDescent="0.3"/>
    <row r="57305" s="160" customFormat="1" x14ac:dyDescent="0.3"/>
    <row r="57306" s="160" customFormat="1" x14ac:dyDescent="0.3"/>
    <row r="57307" s="160" customFormat="1" x14ac:dyDescent="0.3"/>
    <row r="57308" s="160" customFormat="1" x14ac:dyDescent="0.3"/>
    <row r="57309" s="160" customFormat="1" x14ac:dyDescent="0.3"/>
    <row r="57310" s="160" customFormat="1" x14ac:dyDescent="0.3"/>
    <row r="57311" s="160" customFormat="1" x14ac:dyDescent="0.3"/>
    <row r="57312" s="160" customFormat="1" x14ac:dyDescent="0.3"/>
    <row r="57313" s="160" customFormat="1" x14ac:dyDescent="0.3"/>
    <row r="57314" s="160" customFormat="1" x14ac:dyDescent="0.3"/>
    <row r="57315" s="160" customFormat="1" x14ac:dyDescent="0.3"/>
    <row r="57316" s="160" customFormat="1" x14ac:dyDescent="0.3"/>
    <row r="57317" s="160" customFormat="1" x14ac:dyDescent="0.3"/>
    <row r="57318" s="160" customFormat="1" x14ac:dyDescent="0.3"/>
    <row r="57319" s="160" customFormat="1" x14ac:dyDescent="0.3"/>
    <row r="57320" s="160" customFormat="1" x14ac:dyDescent="0.3"/>
    <row r="57321" s="160" customFormat="1" x14ac:dyDescent="0.3"/>
    <row r="57322" s="160" customFormat="1" x14ac:dyDescent="0.3"/>
    <row r="57323" s="160" customFormat="1" x14ac:dyDescent="0.3"/>
    <row r="57324" s="160" customFormat="1" x14ac:dyDescent="0.3"/>
    <row r="57325" s="160" customFormat="1" x14ac:dyDescent="0.3"/>
    <row r="57326" s="160" customFormat="1" x14ac:dyDescent="0.3"/>
    <row r="57327" s="160" customFormat="1" x14ac:dyDescent="0.3"/>
    <row r="57328" s="160" customFormat="1" x14ac:dyDescent="0.3"/>
    <row r="57329" s="160" customFormat="1" x14ac:dyDescent="0.3"/>
    <row r="57330" s="160" customFormat="1" x14ac:dyDescent="0.3"/>
    <row r="57331" s="160" customFormat="1" x14ac:dyDescent="0.3"/>
    <row r="57332" s="160" customFormat="1" x14ac:dyDescent="0.3"/>
    <row r="57333" s="160" customFormat="1" x14ac:dyDescent="0.3"/>
    <row r="57334" s="160" customFormat="1" x14ac:dyDescent="0.3"/>
    <row r="57335" s="160" customFormat="1" x14ac:dyDescent="0.3"/>
    <row r="57336" s="160" customFormat="1" x14ac:dyDescent="0.3"/>
    <row r="57337" s="160" customFormat="1" x14ac:dyDescent="0.3"/>
    <row r="57338" s="160" customFormat="1" x14ac:dyDescent="0.3"/>
    <row r="57339" s="160" customFormat="1" x14ac:dyDescent="0.3"/>
    <row r="57340" s="160" customFormat="1" x14ac:dyDescent="0.3"/>
    <row r="57341" s="160" customFormat="1" x14ac:dyDescent="0.3"/>
    <row r="57342" s="160" customFormat="1" x14ac:dyDescent="0.3"/>
    <row r="57343" s="160" customFormat="1" x14ac:dyDescent="0.3"/>
    <row r="57344" s="160" customFormat="1" x14ac:dyDescent="0.3"/>
    <row r="57345" s="160" customFormat="1" x14ac:dyDescent="0.3"/>
    <row r="57346" s="160" customFormat="1" x14ac:dyDescent="0.3"/>
    <row r="57347" s="160" customFormat="1" x14ac:dyDescent="0.3"/>
    <row r="57348" s="160" customFormat="1" x14ac:dyDescent="0.3"/>
    <row r="57349" s="160" customFormat="1" x14ac:dyDescent="0.3"/>
    <row r="57350" s="160" customFormat="1" x14ac:dyDescent="0.3"/>
    <row r="57351" s="160" customFormat="1" x14ac:dyDescent="0.3"/>
    <row r="57352" s="160" customFormat="1" x14ac:dyDescent="0.3"/>
    <row r="57353" s="160" customFormat="1" x14ac:dyDescent="0.3"/>
    <row r="57354" s="160" customFormat="1" x14ac:dyDescent="0.3"/>
    <row r="57355" s="160" customFormat="1" x14ac:dyDescent="0.3"/>
    <row r="57356" s="160" customFormat="1" x14ac:dyDescent="0.3"/>
    <row r="57357" s="160" customFormat="1" x14ac:dyDescent="0.3"/>
    <row r="57358" s="160" customFormat="1" x14ac:dyDescent="0.3"/>
    <row r="57359" s="160" customFormat="1" x14ac:dyDescent="0.3"/>
    <row r="57360" s="160" customFormat="1" x14ac:dyDescent="0.3"/>
    <row r="57361" s="160" customFormat="1" x14ac:dyDescent="0.3"/>
    <row r="57362" s="160" customFormat="1" x14ac:dyDescent="0.3"/>
    <row r="57363" s="160" customFormat="1" x14ac:dyDescent="0.3"/>
    <row r="57364" s="160" customFormat="1" x14ac:dyDescent="0.3"/>
    <row r="57365" s="160" customFormat="1" x14ac:dyDescent="0.3"/>
    <row r="57366" s="160" customFormat="1" x14ac:dyDescent="0.3"/>
    <row r="57367" s="160" customFormat="1" x14ac:dyDescent="0.3"/>
    <row r="57368" s="160" customFormat="1" x14ac:dyDescent="0.3"/>
    <row r="57369" s="160" customFormat="1" x14ac:dyDescent="0.3"/>
    <row r="57370" s="160" customFormat="1" x14ac:dyDescent="0.3"/>
    <row r="57371" s="160" customFormat="1" x14ac:dyDescent="0.3"/>
    <row r="57372" s="160" customFormat="1" x14ac:dyDescent="0.3"/>
    <row r="57373" s="160" customFormat="1" x14ac:dyDescent="0.3"/>
    <row r="57374" s="160" customFormat="1" x14ac:dyDescent="0.3"/>
    <row r="57375" s="160" customFormat="1" x14ac:dyDescent="0.3"/>
    <row r="57376" s="160" customFormat="1" x14ac:dyDescent="0.3"/>
    <row r="57377" s="160" customFormat="1" x14ac:dyDescent="0.3"/>
    <row r="57378" s="160" customFormat="1" x14ac:dyDescent="0.3"/>
    <row r="57379" s="160" customFormat="1" x14ac:dyDescent="0.3"/>
    <row r="57380" s="160" customFormat="1" x14ac:dyDescent="0.3"/>
    <row r="57381" s="160" customFormat="1" x14ac:dyDescent="0.3"/>
    <row r="57382" s="160" customFormat="1" x14ac:dyDescent="0.3"/>
    <row r="57383" s="160" customFormat="1" x14ac:dyDescent="0.3"/>
    <row r="57384" s="160" customFormat="1" x14ac:dyDescent="0.3"/>
    <row r="57385" s="160" customFormat="1" x14ac:dyDescent="0.3"/>
    <row r="57386" s="160" customFormat="1" x14ac:dyDescent="0.3"/>
    <row r="57387" s="160" customFormat="1" x14ac:dyDescent="0.3"/>
    <row r="57388" s="160" customFormat="1" x14ac:dyDescent="0.3"/>
    <row r="57389" s="160" customFormat="1" x14ac:dyDescent="0.3"/>
    <row r="57390" s="160" customFormat="1" x14ac:dyDescent="0.3"/>
    <row r="57391" s="160" customFormat="1" x14ac:dyDescent="0.3"/>
    <row r="57392" s="160" customFormat="1" x14ac:dyDescent="0.3"/>
    <row r="57393" s="160" customFormat="1" x14ac:dyDescent="0.3"/>
    <row r="57394" s="160" customFormat="1" x14ac:dyDescent="0.3"/>
    <row r="57395" s="160" customFormat="1" x14ac:dyDescent="0.3"/>
    <row r="57396" s="160" customFormat="1" x14ac:dyDescent="0.3"/>
    <row r="57397" s="160" customFormat="1" x14ac:dyDescent="0.3"/>
    <row r="57398" s="160" customFormat="1" x14ac:dyDescent="0.3"/>
    <row r="57399" s="160" customFormat="1" x14ac:dyDescent="0.3"/>
    <row r="57400" s="160" customFormat="1" x14ac:dyDescent="0.3"/>
    <row r="57401" s="160" customFormat="1" x14ac:dyDescent="0.3"/>
    <row r="57402" s="160" customFormat="1" x14ac:dyDescent="0.3"/>
    <row r="57403" s="160" customFormat="1" x14ac:dyDescent="0.3"/>
    <row r="57404" s="160" customFormat="1" x14ac:dyDescent="0.3"/>
    <row r="57405" s="160" customFormat="1" x14ac:dyDescent="0.3"/>
    <row r="57406" s="160" customFormat="1" x14ac:dyDescent="0.3"/>
    <row r="57407" s="160" customFormat="1" x14ac:dyDescent="0.3"/>
    <row r="57408" s="160" customFormat="1" x14ac:dyDescent="0.3"/>
    <row r="57409" s="160" customFormat="1" x14ac:dyDescent="0.3"/>
    <row r="57410" s="160" customFormat="1" x14ac:dyDescent="0.3"/>
    <row r="57411" s="160" customFormat="1" x14ac:dyDescent="0.3"/>
    <row r="57412" s="160" customFormat="1" x14ac:dyDescent="0.3"/>
    <row r="57413" s="160" customFormat="1" x14ac:dyDescent="0.3"/>
    <row r="57414" s="160" customFormat="1" x14ac:dyDescent="0.3"/>
    <row r="57415" s="160" customFormat="1" x14ac:dyDescent="0.3"/>
    <row r="57416" s="160" customFormat="1" x14ac:dyDescent="0.3"/>
    <row r="57417" s="160" customFormat="1" x14ac:dyDescent="0.3"/>
    <row r="57418" s="160" customFormat="1" x14ac:dyDescent="0.3"/>
    <row r="57419" s="160" customFormat="1" x14ac:dyDescent="0.3"/>
    <row r="57420" s="160" customFormat="1" x14ac:dyDescent="0.3"/>
    <row r="57421" s="160" customFormat="1" x14ac:dyDescent="0.3"/>
    <row r="57422" s="160" customFormat="1" x14ac:dyDescent="0.3"/>
    <row r="57423" s="160" customFormat="1" x14ac:dyDescent="0.3"/>
    <row r="57424" s="160" customFormat="1" x14ac:dyDescent="0.3"/>
    <row r="57425" s="160" customFormat="1" x14ac:dyDescent="0.3"/>
    <row r="57426" s="160" customFormat="1" x14ac:dyDescent="0.3"/>
    <row r="57427" s="160" customFormat="1" x14ac:dyDescent="0.3"/>
    <row r="57428" s="160" customFormat="1" x14ac:dyDescent="0.3"/>
    <row r="57429" s="160" customFormat="1" x14ac:dyDescent="0.3"/>
    <row r="57430" s="160" customFormat="1" x14ac:dyDescent="0.3"/>
    <row r="57431" s="160" customFormat="1" x14ac:dyDescent="0.3"/>
    <row r="57432" s="160" customFormat="1" x14ac:dyDescent="0.3"/>
    <row r="57433" s="160" customFormat="1" x14ac:dyDescent="0.3"/>
    <row r="57434" s="160" customFormat="1" x14ac:dyDescent="0.3"/>
    <row r="57435" s="160" customFormat="1" x14ac:dyDescent="0.3"/>
    <row r="57436" s="160" customFormat="1" x14ac:dyDescent="0.3"/>
    <row r="57437" s="160" customFormat="1" x14ac:dyDescent="0.3"/>
    <row r="57438" s="160" customFormat="1" x14ac:dyDescent="0.3"/>
    <row r="57439" s="160" customFormat="1" x14ac:dyDescent="0.3"/>
    <row r="57440" s="160" customFormat="1" x14ac:dyDescent="0.3"/>
    <row r="57441" s="160" customFormat="1" x14ac:dyDescent="0.3"/>
    <row r="57442" s="160" customFormat="1" x14ac:dyDescent="0.3"/>
    <row r="57443" s="160" customFormat="1" x14ac:dyDescent="0.3"/>
    <row r="57444" s="160" customFormat="1" x14ac:dyDescent="0.3"/>
    <row r="57445" s="160" customFormat="1" x14ac:dyDescent="0.3"/>
    <row r="57446" s="160" customFormat="1" x14ac:dyDescent="0.3"/>
    <row r="57447" s="160" customFormat="1" x14ac:dyDescent="0.3"/>
    <row r="57448" s="160" customFormat="1" x14ac:dyDescent="0.3"/>
    <row r="57449" s="160" customFormat="1" x14ac:dyDescent="0.3"/>
    <row r="57450" s="160" customFormat="1" x14ac:dyDescent="0.3"/>
    <row r="57451" s="160" customFormat="1" x14ac:dyDescent="0.3"/>
    <row r="57452" s="160" customFormat="1" x14ac:dyDescent="0.3"/>
    <row r="57453" s="160" customFormat="1" x14ac:dyDescent="0.3"/>
    <row r="57454" s="160" customFormat="1" x14ac:dyDescent="0.3"/>
    <row r="57455" s="160" customFormat="1" x14ac:dyDescent="0.3"/>
    <row r="57456" s="160" customFormat="1" x14ac:dyDescent="0.3"/>
    <row r="57457" s="160" customFormat="1" x14ac:dyDescent="0.3"/>
    <row r="57458" s="160" customFormat="1" x14ac:dyDescent="0.3"/>
    <row r="57459" s="160" customFormat="1" x14ac:dyDescent="0.3"/>
    <row r="57460" s="160" customFormat="1" x14ac:dyDescent="0.3"/>
    <row r="57461" s="160" customFormat="1" x14ac:dyDescent="0.3"/>
    <row r="57462" s="160" customFormat="1" x14ac:dyDescent="0.3"/>
    <row r="57463" s="160" customFormat="1" x14ac:dyDescent="0.3"/>
    <row r="57464" s="160" customFormat="1" x14ac:dyDescent="0.3"/>
    <row r="57465" s="160" customFormat="1" x14ac:dyDescent="0.3"/>
    <row r="57466" s="160" customFormat="1" x14ac:dyDescent="0.3"/>
    <row r="57467" s="160" customFormat="1" x14ac:dyDescent="0.3"/>
    <row r="57468" s="160" customFormat="1" x14ac:dyDescent="0.3"/>
    <row r="57469" s="160" customFormat="1" x14ac:dyDescent="0.3"/>
    <row r="57470" s="160" customFormat="1" x14ac:dyDescent="0.3"/>
    <row r="57471" s="160" customFormat="1" x14ac:dyDescent="0.3"/>
    <row r="57472" s="160" customFormat="1" x14ac:dyDescent="0.3"/>
    <row r="57473" s="160" customFormat="1" x14ac:dyDescent="0.3"/>
    <row r="57474" s="160" customFormat="1" x14ac:dyDescent="0.3"/>
    <row r="57475" s="160" customFormat="1" x14ac:dyDescent="0.3"/>
    <row r="57476" s="160" customFormat="1" x14ac:dyDescent="0.3"/>
    <row r="57477" s="160" customFormat="1" x14ac:dyDescent="0.3"/>
    <row r="57478" s="160" customFormat="1" x14ac:dyDescent="0.3"/>
    <row r="57479" s="160" customFormat="1" x14ac:dyDescent="0.3"/>
    <row r="57480" s="160" customFormat="1" x14ac:dyDescent="0.3"/>
    <row r="57481" s="160" customFormat="1" x14ac:dyDescent="0.3"/>
    <row r="57482" s="160" customFormat="1" x14ac:dyDescent="0.3"/>
    <row r="57483" s="160" customFormat="1" x14ac:dyDescent="0.3"/>
    <row r="57484" s="160" customFormat="1" x14ac:dyDescent="0.3"/>
    <row r="57485" s="160" customFormat="1" x14ac:dyDescent="0.3"/>
    <row r="57486" s="160" customFormat="1" x14ac:dyDescent="0.3"/>
    <row r="57487" s="160" customFormat="1" x14ac:dyDescent="0.3"/>
    <row r="57488" s="160" customFormat="1" x14ac:dyDescent="0.3"/>
    <row r="57489" s="160" customFormat="1" x14ac:dyDescent="0.3"/>
    <row r="57490" s="160" customFormat="1" x14ac:dyDescent="0.3"/>
    <row r="57491" s="160" customFormat="1" x14ac:dyDescent="0.3"/>
    <row r="57492" s="160" customFormat="1" x14ac:dyDescent="0.3"/>
    <row r="57493" s="160" customFormat="1" x14ac:dyDescent="0.3"/>
    <row r="57494" s="160" customFormat="1" x14ac:dyDescent="0.3"/>
    <row r="57495" s="160" customFormat="1" x14ac:dyDescent="0.3"/>
    <row r="57496" s="160" customFormat="1" x14ac:dyDescent="0.3"/>
    <row r="57497" s="160" customFormat="1" x14ac:dyDescent="0.3"/>
    <row r="57498" s="160" customFormat="1" x14ac:dyDescent="0.3"/>
    <row r="57499" s="160" customFormat="1" x14ac:dyDescent="0.3"/>
    <row r="57500" s="160" customFormat="1" x14ac:dyDescent="0.3"/>
    <row r="57501" s="160" customFormat="1" x14ac:dyDescent="0.3"/>
    <row r="57502" s="160" customFormat="1" x14ac:dyDescent="0.3"/>
    <row r="57503" s="160" customFormat="1" x14ac:dyDescent="0.3"/>
    <row r="57504" s="160" customFormat="1" x14ac:dyDescent="0.3"/>
    <row r="57505" s="160" customFormat="1" x14ac:dyDescent="0.3"/>
    <row r="57506" s="160" customFormat="1" x14ac:dyDescent="0.3"/>
    <row r="57507" s="160" customFormat="1" x14ac:dyDescent="0.3"/>
    <row r="57508" s="160" customFormat="1" x14ac:dyDescent="0.3"/>
    <row r="57509" s="160" customFormat="1" x14ac:dyDescent="0.3"/>
    <row r="57510" s="160" customFormat="1" x14ac:dyDescent="0.3"/>
    <row r="57511" s="160" customFormat="1" x14ac:dyDescent="0.3"/>
    <row r="57512" s="160" customFormat="1" x14ac:dyDescent="0.3"/>
    <row r="57513" s="160" customFormat="1" x14ac:dyDescent="0.3"/>
    <row r="57514" s="160" customFormat="1" x14ac:dyDescent="0.3"/>
    <row r="57515" s="160" customFormat="1" x14ac:dyDescent="0.3"/>
    <row r="57516" s="160" customFormat="1" x14ac:dyDescent="0.3"/>
    <row r="57517" s="160" customFormat="1" x14ac:dyDescent="0.3"/>
    <row r="57518" s="160" customFormat="1" x14ac:dyDescent="0.3"/>
    <row r="57519" s="160" customFormat="1" x14ac:dyDescent="0.3"/>
    <row r="57520" s="160" customFormat="1" x14ac:dyDescent="0.3"/>
    <row r="57521" s="160" customFormat="1" x14ac:dyDescent="0.3"/>
    <row r="57522" s="160" customFormat="1" x14ac:dyDescent="0.3"/>
    <row r="57523" s="160" customFormat="1" x14ac:dyDescent="0.3"/>
    <row r="57524" s="160" customFormat="1" x14ac:dyDescent="0.3"/>
    <row r="57525" s="160" customFormat="1" x14ac:dyDescent="0.3"/>
    <row r="57526" s="160" customFormat="1" x14ac:dyDescent="0.3"/>
    <row r="57527" s="160" customFormat="1" x14ac:dyDescent="0.3"/>
    <row r="57528" s="160" customFormat="1" x14ac:dyDescent="0.3"/>
    <row r="57529" s="160" customFormat="1" x14ac:dyDescent="0.3"/>
    <row r="57530" s="160" customFormat="1" x14ac:dyDescent="0.3"/>
    <row r="57531" s="160" customFormat="1" x14ac:dyDescent="0.3"/>
    <row r="57532" s="160" customFormat="1" x14ac:dyDescent="0.3"/>
    <row r="57533" s="160" customFormat="1" x14ac:dyDescent="0.3"/>
    <row r="57534" s="160" customFormat="1" x14ac:dyDescent="0.3"/>
    <row r="57535" s="160" customFormat="1" x14ac:dyDescent="0.3"/>
    <row r="57536" s="160" customFormat="1" x14ac:dyDescent="0.3"/>
    <row r="57537" s="160" customFormat="1" x14ac:dyDescent="0.3"/>
    <row r="57538" s="160" customFormat="1" x14ac:dyDescent="0.3"/>
    <row r="57539" s="160" customFormat="1" x14ac:dyDescent="0.3"/>
    <row r="57540" s="160" customFormat="1" x14ac:dyDescent="0.3"/>
    <row r="57541" s="160" customFormat="1" x14ac:dyDescent="0.3"/>
    <row r="57542" s="160" customFormat="1" x14ac:dyDescent="0.3"/>
    <row r="57543" s="160" customFormat="1" x14ac:dyDescent="0.3"/>
    <row r="57544" s="160" customFormat="1" x14ac:dyDescent="0.3"/>
    <row r="57545" s="160" customFormat="1" x14ac:dyDescent="0.3"/>
    <row r="57546" s="160" customFormat="1" x14ac:dyDescent="0.3"/>
    <row r="57547" s="160" customFormat="1" x14ac:dyDescent="0.3"/>
    <row r="57548" s="160" customFormat="1" x14ac:dyDescent="0.3"/>
    <row r="57549" s="160" customFormat="1" x14ac:dyDescent="0.3"/>
    <row r="57550" s="160" customFormat="1" x14ac:dyDescent="0.3"/>
    <row r="57551" s="160" customFormat="1" x14ac:dyDescent="0.3"/>
    <row r="57552" s="160" customFormat="1" x14ac:dyDescent="0.3"/>
    <row r="57553" s="160" customFormat="1" x14ac:dyDescent="0.3"/>
    <row r="57554" s="160" customFormat="1" x14ac:dyDescent="0.3"/>
    <row r="57555" s="160" customFormat="1" x14ac:dyDescent="0.3"/>
    <row r="57556" s="160" customFormat="1" x14ac:dyDescent="0.3"/>
    <row r="57557" s="160" customFormat="1" x14ac:dyDescent="0.3"/>
    <row r="57558" s="160" customFormat="1" x14ac:dyDescent="0.3"/>
    <row r="57559" s="160" customFormat="1" x14ac:dyDescent="0.3"/>
    <row r="57560" s="160" customFormat="1" x14ac:dyDescent="0.3"/>
    <row r="57561" s="160" customFormat="1" x14ac:dyDescent="0.3"/>
    <row r="57562" s="160" customFormat="1" x14ac:dyDescent="0.3"/>
    <row r="57563" s="160" customFormat="1" x14ac:dyDescent="0.3"/>
    <row r="57564" s="160" customFormat="1" x14ac:dyDescent="0.3"/>
    <row r="57565" s="160" customFormat="1" x14ac:dyDescent="0.3"/>
    <row r="57566" s="160" customFormat="1" x14ac:dyDescent="0.3"/>
    <row r="57567" s="160" customFormat="1" x14ac:dyDescent="0.3"/>
    <row r="57568" s="160" customFormat="1" x14ac:dyDescent="0.3"/>
    <row r="57569" s="160" customFormat="1" x14ac:dyDescent="0.3"/>
    <row r="57570" s="160" customFormat="1" x14ac:dyDescent="0.3"/>
    <row r="57571" s="160" customFormat="1" x14ac:dyDescent="0.3"/>
    <row r="57572" s="160" customFormat="1" x14ac:dyDescent="0.3"/>
    <row r="57573" s="160" customFormat="1" x14ac:dyDescent="0.3"/>
    <row r="57574" s="160" customFormat="1" x14ac:dyDescent="0.3"/>
    <row r="57575" s="160" customFormat="1" x14ac:dyDescent="0.3"/>
    <row r="57576" s="160" customFormat="1" x14ac:dyDescent="0.3"/>
    <row r="57577" s="160" customFormat="1" x14ac:dyDescent="0.3"/>
    <row r="57578" s="160" customFormat="1" x14ac:dyDescent="0.3"/>
    <row r="57579" s="160" customFormat="1" x14ac:dyDescent="0.3"/>
    <row r="57580" s="160" customFormat="1" x14ac:dyDescent="0.3"/>
    <row r="57581" s="160" customFormat="1" x14ac:dyDescent="0.3"/>
    <row r="57582" s="160" customFormat="1" x14ac:dyDescent="0.3"/>
    <row r="57583" s="160" customFormat="1" x14ac:dyDescent="0.3"/>
    <row r="57584" s="160" customFormat="1" x14ac:dyDescent="0.3"/>
    <row r="57585" s="160" customFormat="1" x14ac:dyDescent="0.3"/>
    <row r="57586" s="160" customFormat="1" x14ac:dyDescent="0.3"/>
    <row r="57587" s="160" customFormat="1" x14ac:dyDescent="0.3"/>
    <row r="57588" s="160" customFormat="1" x14ac:dyDescent="0.3"/>
    <row r="57589" s="160" customFormat="1" x14ac:dyDescent="0.3"/>
    <row r="57590" s="160" customFormat="1" x14ac:dyDescent="0.3"/>
    <row r="57591" s="160" customFormat="1" x14ac:dyDescent="0.3"/>
    <row r="57592" s="160" customFormat="1" x14ac:dyDescent="0.3"/>
    <row r="57593" s="160" customFormat="1" x14ac:dyDescent="0.3"/>
    <row r="57594" s="160" customFormat="1" x14ac:dyDescent="0.3"/>
    <row r="57595" s="160" customFormat="1" x14ac:dyDescent="0.3"/>
    <row r="57596" s="160" customFormat="1" x14ac:dyDescent="0.3"/>
    <row r="57597" s="160" customFormat="1" x14ac:dyDescent="0.3"/>
    <row r="57598" s="160" customFormat="1" x14ac:dyDescent="0.3"/>
    <row r="57599" s="160" customFormat="1" x14ac:dyDescent="0.3"/>
    <row r="57600" s="160" customFormat="1" x14ac:dyDescent="0.3"/>
    <row r="57601" s="160" customFormat="1" x14ac:dyDescent="0.3"/>
    <row r="57602" s="160" customFormat="1" x14ac:dyDescent="0.3"/>
    <row r="57603" s="160" customFormat="1" x14ac:dyDescent="0.3"/>
    <row r="57604" s="160" customFormat="1" x14ac:dyDescent="0.3"/>
    <row r="57605" s="160" customFormat="1" x14ac:dyDescent="0.3"/>
    <row r="57606" s="160" customFormat="1" x14ac:dyDescent="0.3"/>
    <row r="57607" s="160" customFormat="1" x14ac:dyDescent="0.3"/>
    <row r="57608" s="160" customFormat="1" x14ac:dyDescent="0.3"/>
    <row r="57609" s="160" customFormat="1" x14ac:dyDescent="0.3"/>
    <row r="57610" s="160" customFormat="1" x14ac:dyDescent="0.3"/>
    <row r="57611" s="160" customFormat="1" x14ac:dyDescent="0.3"/>
    <row r="57612" s="160" customFormat="1" x14ac:dyDescent="0.3"/>
    <row r="57613" s="160" customFormat="1" x14ac:dyDescent="0.3"/>
    <row r="57614" s="160" customFormat="1" x14ac:dyDescent="0.3"/>
    <row r="57615" s="160" customFormat="1" x14ac:dyDescent="0.3"/>
    <row r="57616" s="160" customFormat="1" x14ac:dyDescent="0.3"/>
    <row r="57617" s="160" customFormat="1" x14ac:dyDescent="0.3"/>
    <row r="57618" s="160" customFormat="1" x14ac:dyDescent="0.3"/>
    <row r="57619" s="160" customFormat="1" x14ac:dyDescent="0.3"/>
    <row r="57620" s="160" customFormat="1" x14ac:dyDescent="0.3"/>
    <row r="57621" s="160" customFormat="1" x14ac:dyDescent="0.3"/>
    <row r="57622" s="160" customFormat="1" x14ac:dyDescent="0.3"/>
    <row r="57623" s="160" customFormat="1" x14ac:dyDescent="0.3"/>
    <row r="57624" s="160" customFormat="1" x14ac:dyDescent="0.3"/>
    <row r="57625" s="160" customFormat="1" x14ac:dyDescent="0.3"/>
    <row r="57626" s="160" customFormat="1" x14ac:dyDescent="0.3"/>
    <row r="57627" s="160" customFormat="1" x14ac:dyDescent="0.3"/>
    <row r="57628" s="160" customFormat="1" x14ac:dyDescent="0.3"/>
    <row r="57629" s="160" customFormat="1" x14ac:dyDescent="0.3"/>
    <row r="57630" s="160" customFormat="1" x14ac:dyDescent="0.3"/>
    <row r="57631" s="160" customFormat="1" x14ac:dyDescent="0.3"/>
    <row r="57632" s="160" customFormat="1" x14ac:dyDescent="0.3"/>
    <row r="57633" s="160" customFormat="1" x14ac:dyDescent="0.3"/>
    <row r="57634" s="160" customFormat="1" x14ac:dyDescent="0.3"/>
    <row r="57635" s="160" customFormat="1" x14ac:dyDescent="0.3"/>
    <row r="57636" s="160" customFormat="1" x14ac:dyDescent="0.3"/>
    <row r="57637" s="160" customFormat="1" x14ac:dyDescent="0.3"/>
    <row r="57638" s="160" customFormat="1" x14ac:dyDescent="0.3"/>
    <row r="57639" s="160" customFormat="1" x14ac:dyDescent="0.3"/>
    <row r="57640" s="160" customFormat="1" x14ac:dyDescent="0.3"/>
    <row r="57641" s="160" customFormat="1" x14ac:dyDescent="0.3"/>
    <row r="57642" s="160" customFormat="1" x14ac:dyDescent="0.3"/>
    <row r="57643" s="160" customFormat="1" x14ac:dyDescent="0.3"/>
    <row r="57644" s="160" customFormat="1" x14ac:dyDescent="0.3"/>
    <row r="57645" s="160" customFormat="1" x14ac:dyDescent="0.3"/>
    <row r="57646" s="160" customFormat="1" x14ac:dyDescent="0.3"/>
    <row r="57647" s="160" customFormat="1" x14ac:dyDescent="0.3"/>
    <row r="57648" s="160" customFormat="1" x14ac:dyDescent="0.3"/>
    <row r="57649" s="160" customFormat="1" x14ac:dyDescent="0.3"/>
    <row r="57650" s="160" customFormat="1" x14ac:dyDescent="0.3"/>
    <row r="57651" s="160" customFormat="1" x14ac:dyDescent="0.3"/>
    <row r="57652" s="160" customFormat="1" x14ac:dyDescent="0.3"/>
    <row r="57653" s="160" customFormat="1" x14ac:dyDescent="0.3"/>
    <row r="57654" s="160" customFormat="1" x14ac:dyDescent="0.3"/>
    <row r="57655" s="160" customFormat="1" x14ac:dyDescent="0.3"/>
    <row r="57656" s="160" customFormat="1" x14ac:dyDescent="0.3"/>
    <row r="57657" s="160" customFormat="1" x14ac:dyDescent="0.3"/>
    <row r="57658" s="160" customFormat="1" x14ac:dyDescent="0.3"/>
    <row r="57659" s="160" customFormat="1" x14ac:dyDescent="0.3"/>
    <row r="57660" s="160" customFormat="1" x14ac:dyDescent="0.3"/>
    <row r="57661" s="160" customFormat="1" x14ac:dyDescent="0.3"/>
    <row r="57662" s="160" customFormat="1" x14ac:dyDescent="0.3"/>
    <row r="57663" s="160" customFormat="1" x14ac:dyDescent="0.3"/>
    <row r="57664" s="160" customFormat="1" x14ac:dyDescent="0.3"/>
    <row r="57665" s="160" customFormat="1" x14ac:dyDescent="0.3"/>
    <row r="57666" s="160" customFormat="1" x14ac:dyDescent="0.3"/>
    <row r="57667" s="160" customFormat="1" x14ac:dyDescent="0.3"/>
    <row r="57668" s="160" customFormat="1" x14ac:dyDescent="0.3"/>
    <row r="57669" s="160" customFormat="1" x14ac:dyDescent="0.3"/>
    <row r="57670" s="160" customFormat="1" x14ac:dyDescent="0.3"/>
    <row r="57671" s="160" customFormat="1" x14ac:dyDescent="0.3"/>
    <row r="57672" s="160" customFormat="1" x14ac:dyDescent="0.3"/>
    <row r="57673" s="160" customFormat="1" x14ac:dyDescent="0.3"/>
    <row r="57674" s="160" customFormat="1" x14ac:dyDescent="0.3"/>
    <row r="57675" s="160" customFormat="1" x14ac:dyDescent="0.3"/>
    <row r="57676" s="160" customFormat="1" x14ac:dyDescent="0.3"/>
    <row r="57677" s="160" customFormat="1" x14ac:dyDescent="0.3"/>
    <row r="57678" s="160" customFormat="1" x14ac:dyDescent="0.3"/>
    <row r="57679" s="160" customFormat="1" x14ac:dyDescent="0.3"/>
    <row r="57680" s="160" customFormat="1" x14ac:dyDescent="0.3"/>
    <row r="57681" s="160" customFormat="1" x14ac:dyDescent="0.3"/>
    <row r="57682" s="160" customFormat="1" x14ac:dyDescent="0.3"/>
    <row r="57683" s="160" customFormat="1" x14ac:dyDescent="0.3"/>
    <row r="57684" s="160" customFormat="1" x14ac:dyDescent="0.3"/>
    <row r="57685" s="160" customFormat="1" x14ac:dyDescent="0.3"/>
    <row r="57686" s="160" customFormat="1" x14ac:dyDescent="0.3"/>
    <row r="57687" s="160" customFormat="1" x14ac:dyDescent="0.3"/>
    <row r="57688" s="160" customFormat="1" x14ac:dyDescent="0.3"/>
    <row r="57689" s="160" customFormat="1" x14ac:dyDescent="0.3"/>
    <row r="57690" s="160" customFormat="1" x14ac:dyDescent="0.3"/>
    <row r="57691" s="160" customFormat="1" x14ac:dyDescent="0.3"/>
    <row r="57692" s="160" customFormat="1" x14ac:dyDescent="0.3"/>
    <row r="57693" s="160" customFormat="1" x14ac:dyDescent="0.3"/>
    <row r="57694" s="160" customFormat="1" x14ac:dyDescent="0.3"/>
    <row r="57695" s="160" customFormat="1" x14ac:dyDescent="0.3"/>
    <row r="57696" s="160" customFormat="1" x14ac:dyDescent="0.3"/>
    <row r="57697" s="160" customFormat="1" x14ac:dyDescent="0.3"/>
    <row r="57698" s="160" customFormat="1" x14ac:dyDescent="0.3"/>
    <row r="57699" s="160" customFormat="1" x14ac:dyDescent="0.3"/>
    <row r="57700" s="160" customFormat="1" x14ac:dyDescent="0.3"/>
    <row r="57701" s="160" customFormat="1" x14ac:dyDescent="0.3"/>
    <row r="57702" s="160" customFormat="1" x14ac:dyDescent="0.3"/>
    <row r="57703" s="160" customFormat="1" x14ac:dyDescent="0.3"/>
    <row r="57704" s="160" customFormat="1" x14ac:dyDescent="0.3"/>
    <row r="57705" s="160" customFormat="1" x14ac:dyDescent="0.3"/>
    <row r="57706" s="160" customFormat="1" x14ac:dyDescent="0.3"/>
    <row r="57707" s="160" customFormat="1" x14ac:dyDescent="0.3"/>
    <row r="57708" s="160" customFormat="1" x14ac:dyDescent="0.3"/>
    <row r="57709" s="160" customFormat="1" x14ac:dyDescent="0.3"/>
    <row r="57710" s="160" customFormat="1" x14ac:dyDescent="0.3"/>
    <row r="57711" s="160" customFormat="1" x14ac:dyDescent="0.3"/>
    <row r="57712" s="160" customFormat="1" x14ac:dyDescent="0.3"/>
    <row r="57713" s="160" customFormat="1" x14ac:dyDescent="0.3"/>
    <row r="57714" s="160" customFormat="1" x14ac:dyDescent="0.3"/>
    <row r="57715" s="160" customFormat="1" x14ac:dyDescent="0.3"/>
    <row r="57716" s="160" customFormat="1" x14ac:dyDescent="0.3"/>
    <row r="57717" s="160" customFormat="1" x14ac:dyDescent="0.3"/>
    <row r="57718" s="160" customFormat="1" x14ac:dyDescent="0.3"/>
    <row r="57719" s="160" customFormat="1" x14ac:dyDescent="0.3"/>
    <row r="57720" s="160" customFormat="1" x14ac:dyDescent="0.3"/>
    <row r="57721" s="160" customFormat="1" x14ac:dyDescent="0.3"/>
    <row r="57722" s="160" customFormat="1" x14ac:dyDescent="0.3"/>
    <row r="57723" s="160" customFormat="1" x14ac:dyDescent="0.3"/>
    <row r="57724" s="160" customFormat="1" x14ac:dyDescent="0.3"/>
    <row r="57725" s="160" customFormat="1" x14ac:dyDescent="0.3"/>
    <row r="57726" s="160" customFormat="1" x14ac:dyDescent="0.3"/>
    <row r="57727" s="160" customFormat="1" x14ac:dyDescent="0.3"/>
    <row r="57728" s="160" customFormat="1" x14ac:dyDescent="0.3"/>
    <row r="57729" s="160" customFormat="1" x14ac:dyDescent="0.3"/>
    <row r="57730" s="160" customFormat="1" x14ac:dyDescent="0.3"/>
    <row r="57731" s="160" customFormat="1" x14ac:dyDescent="0.3"/>
    <row r="57732" s="160" customFormat="1" x14ac:dyDescent="0.3"/>
    <row r="57733" s="160" customFormat="1" x14ac:dyDescent="0.3"/>
    <row r="57734" s="160" customFormat="1" x14ac:dyDescent="0.3"/>
    <row r="57735" s="160" customFormat="1" x14ac:dyDescent="0.3"/>
    <row r="57736" s="160" customFormat="1" x14ac:dyDescent="0.3"/>
    <row r="57737" s="160" customFormat="1" x14ac:dyDescent="0.3"/>
    <row r="57738" s="160" customFormat="1" x14ac:dyDescent="0.3"/>
    <row r="57739" s="160" customFormat="1" x14ac:dyDescent="0.3"/>
    <row r="57740" s="160" customFormat="1" x14ac:dyDescent="0.3"/>
    <row r="57741" s="160" customFormat="1" x14ac:dyDescent="0.3"/>
    <row r="57742" s="160" customFormat="1" x14ac:dyDescent="0.3"/>
    <row r="57743" s="160" customFormat="1" x14ac:dyDescent="0.3"/>
    <row r="57744" s="160" customFormat="1" x14ac:dyDescent="0.3"/>
    <row r="57745" s="160" customFormat="1" x14ac:dyDescent="0.3"/>
    <row r="57746" s="160" customFormat="1" x14ac:dyDescent="0.3"/>
    <row r="57747" s="160" customFormat="1" x14ac:dyDescent="0.3"/>
    <row r="57748" s="160" customFormat="1" x14ac:dyDescent="0.3"/>
    <row r="57749" s="160" customFormat="1" x14ac:dyDescent="0.3"/>
    <row r="57750" s="160" customFormat="1" x14ac:dyDescent="0.3"/>
    <row r="57751" s="160" customFormat="1" x14ac:dyDescent="0.3"/>
    <row r="57752" s="160" customFormat="1" x14ac:dyDescent="0.3"/>
    <row r="57753" s="160" customFormat="1" x14ac:dyDescent="0.3"/>
    <row r="57754" s="160" customFormat="1" x14ac:dyDescent="0.3"/>
    <row r="57755" s="160" customFormat="1" x14ac:dyDescent="0.3"/>
    <row r="57756" s="160" customFormat="1" x14ac:dyDescent="0.3"/>
    <row r="57757" s="160" customFormat="1" x14ac:dyDescent="0.3"/>
    <row r="57758" s="160" customFormat="1" x14ac:dyDescent="0.3"/>
    <row r="57759" s="160" customFormat="1" x14ac:dyDescent="0.3"/>
    <row r="57760" s="160" customFormat="1" x14ac:dyDescent="0.3"/>
    <row r="57761" s="160" customFormat="1" x14ac:dyDescent="0.3"/>
    <row r="57762" s="160" customFormat="1" x14ac:dyDescent="0.3"/>
    <row r="57763" s="160" customFormat="1" x14ac:dyDescent="0.3"/>
    <row r="57764" s="160" customFormat="1" x14ac:dyDescent="0.3"/>
    <row r="57765" s="160" customFormat="1" x14ac:dyDescent="0.3"/>
    <row r="57766" s="160" customFormat="1" x14ac:dyDescent="0.3"/>
    <row r="57767" s="160" customFormat="1" x14ac:dyDescent="0.3"/>
    <row r="57768" s="160" customFormat="1" x14ac:dyDescent="0.3"/>
    <row r="57769" s="160" customFormat="1" x14ac:dyDescent="0.3"/>
    <row r="57770" s="160" customFormat="1" x14ac:dyDescent="0.3"/>
    <row r="57771" s="160" customFormat="1" x14ac:dyDescent="0.3"/>
    <row r="57772" s="160" customFormat="1" x14ac:dyDescent="0.3"/>
    <row r="57773" s="160" customFormat="1" x14ac:dyDescent="0.3"/>
    <row r="57774" s="160" customFormat="1" x14ac:dyDescent="0.3"/>
    <row r="57775" s="160" customFormat="1" x14ac:dyDescent="0.3"/>
    <row r="57776" s="160" customFormat="1" x14ac:dyDescent="0.3"/>
    <row r="57777" s="160" customFormat="1" x14ac:dyDescent="0.3"/>
    <row r="57778" s="160" customFormat="1" x14ac:dyDescent="0.3"/>
    <row r="57779" s="160" customFormat="1" x14ac:dyDescent="0.3"/>
    <row r="57780" s="160" customFormat="1" x14ac:dyDescent="0.3"/>
    <row r="57781" s="160" customFormat="1" x14ac:dyDescent="0.3"/>
    <row r="57782" s="160" customFormat="1" x14ac:dyDescent="0.3"/>
    <row r="57783" s="160" customFormat="1" x14ac:dyDescent="0.3"/>
    <row r="57784" s="160" customFormat="1" x14ac:dyDescent="0.3"/>
    <row r="57785" s="160" customFormat="1" x14ac:dyDescent="0.3"/>
    <row r="57786" s="160" customFormat="1" x14ac:dyDescent="0.3"/>
    <row r="57787" s="160" customFormat="1" x14ac:dyDescent="0.3"/>
    <row r="57788" s="160" customFormat="1" x14ac:dyDescent="0.3"/>
    <row r="57789" s="160" customFormat="1" x14ac:dyDescent="0.3"/>
    <row r="57790" s="160" customFormat="1" x14ac:dyDescent="0.3"/>
    <row r="57791" s="160" customFormat="1" x14ac:dyDescent="0.3"/>
    <row r="57792" s="160" customFormat="1" x14ac:dyDescent="0.3"/>
    <row r="57793" s="160" customFormat="1" x14ac:dyDescent="0.3"/>
    <row r="57794" s="160" customFormat="1" x14ac:dyDescent="0.3"/>
    <row r="57795" s="160" customFormat="1" x14ac:dyDescent="0.3"/>
    <row r="57796" s="160" customFormat="1" x14ac:dyDescent="0.3"/>
    <row r="57797" s="160" customFormat="1" x14ac:dyDescent="0.3"/>
    <row r="57798" s="160" customFormat="1" x14ac:dyDescent="0.3"/>
    <row r="57799" s="160" customFormat="1" x14ac:dyDescent="0.3"/>
    <row r="57800" s="160" customFormat="1" x14ac:dyDescent="0.3"/>
    <row r="57801" s="160" customFormat="1" x14ac:dyDescent="0.3"/>
    <row r="57802" s="160" customFormat="1" x14ac:dyDescent="0.3"/>
    <row r="57803" s="160" customFormat="1" x14ac:dyDescent="0.3"/>
    <row r="57804" s="160" customFormat="1" x14ac:dyDescent="0.3"/>
    <row r="57805" s="160" customFormat="1" x14ac:dyDescent="0.3"/>
    <row r="57806" s="160" customFormat="1" x14ac:dyDescent="0.3"/>
    <row r="57807" s="160" customFormat="1" x14ac:dyDescent="0.3"/>
    <row r="57808" s="160" customFormat="1" x14ac:dyDescent="0.3"/>
    <row r="57809" s="160" customFormat="1" x14ac:dyDescent="0.3"/>
    <row r="57810" s="160" customFormat="1" x14ac:dyDescent="0.3"/>
    <row r="57811" s="160" customFormat="1" x14ac:dyDescent="0.3"/>
    <row r="57812" s="160" customFormat="1" x14ac:dyDescent="0.3"/>
    <row r="57813" s="160" customFormat="1" x14ac:dyDescent="0.3"/>
    <row r="57814" s="160" customFormat="1" x14ac:dyDescent="0.3"/>
    <row r="57815" s="160" customFormat="1" x14ac:dyDescent="0.3"/>
    <row r="57816" s="160" customFormat="1" x14ac:dyDescent="0.3"/>
    <row r="57817" s="160" customFormat="1" x14ac:dyDescent="0.3"/>
    <row r="57818" s="160" customFormat="1" x14ac:dyDescent="0.3"/>
    <row r="57819" s="160" customFormat="1" x14ac:dyDescent="0.3"/>
    <row r="57820" s="160" customFormat="1" x14ac:dyDescent="0.3"/>
    <row r="57821" s="160" customFormat="1" x14ac:dyDescent="0.3"/>
    <row r="57822" s="160" customFormat="1" x14ac:dyDescent="0.3"/>
    <row r="57823" s="160" customFormat="1" x14ac:dyDescent="0.3"/>
    <row r="57824" s="160" customFormat="1" x14ac:dyDescent="0.3"/>
    <row r="57825" s="160" customFormat="1" x14ac:dyDescent="0.3"/>
    <row r="57826" s="160" customFormat="1" x14ac:dyDescent="0.3"/>
    <row r="57827" s="160" customFormat="1" x14ac:dyDescent="0.3"/>
    <row r="57828" s="160" customFormat="1" x14ac:dyDescent="0.3"/>
    <row r="57829" s="160" customFormat="1" x14ac:dyDescent="0.3"/>
    <row r="57830" s="160" customFormat="1" x14ac:dyDescent="0.3"/>
    <row r="57831" s="160" customFormat="1" x14ac:dyDescent="0.3"/>
    <row r="57832" s="160" customFormat="1" x14ac:dyDescent="0.3"/>
    <row r="57833" s="160" customFormat="1" x14ac:dyDescent="0.3"/>
    <row r="57834" s="160" customFormat="1" x14ac:dyDescent="0.3"/>
    <row r="57835" s="160" customFormat="1" x14ac:dyDescent="0.3"/>
    <row r="57836" s="160" customFormat="1" x14ac:dyDescent="0.3"/>
    <row r="57837" s="160" customFormat="1" x14ac:dyDescent="0.3"/>
    <row r="57838" s="160" customFormat="1" x14ac:dyDescent="0.3"/>
    <row r="57839" s="160" customFormat="1" x14ac:dyDescent="0.3"/>
    <row r="57840" s="160" customFormat="1" x14ac:dyDescent="0.3"/>
    <row r="57841" s="160" customFormat="1" x14ac:dyDescent="0.3"/>
    <row r="57842" s="160" customFormat="1" x14ac:dyDescent="0.3"/>
    <row r="57843" s="160" customFormat="1" x14ac:dyDescent="0.3"/>
    <row r="57844" s="160" customFormat="1" x14ac:dyDescent="0.3"/>
    <row r="57845" s="160" customFormat="1" x14ac:dyDescent="0.3"/>
    <row r="57846" s="160" customFormat="1" x14ac:dyDescent="0.3"/>
    <row r="57847" s="160" customFormat="1" x14ac:dyDescent="0.3"/>
    <row r="57848" s="160" customFormat="1" x14ac:dyDescent="0.3"/>
    <row r="57849" s="160" customFormat="1" x14ac:dyDescent="0.3"/>
    <row r="57850" s="160" customFormat="1" x14ac:dyDescent="0.3"/>
    <row r="57851" s="160" customFormat="1" x14ac:dyDescent="0.3"/>
    <row r="57852" s="160" customFormat="1" x14ac:dyDescent="0.3"/>
    <row r="57853" s="160" customFormat="1" x14ac:dyDescent="0.3"/>
    <row r="57854" s="160" customFormat="1" x14ac:dyDescent="0.3"/>
    <row r="57855" s="160" customFormat="1" x14ac:dyDescent="0.3"/>
    <row r="57856" s="160" customFormat="1" x14ac:dyDescent="0.3"/>
    <row r="57857" s="160" customFormat="1" x14ac:dyDescent="0.3"/>
    <row r="57858" s="160" customFormat="1" x14ac:dyDescent="0.3"/>
    <row r="57859" s="160" customFormat="1" x14ac:dyDescent="0.3"/>
    <row r="57860" s="160" customFormat="1" x14ac:dyDescent="0.3"/>
    <row r="57861" s="160" customFormat="1" x14ac:dyDescent="0.3"/>
    <row r="57862" s="160" customFormat="1" x14ac:dyDescent="0.3"/>
    <row r="57863" s="160" customFormat="1" x14ac:dyDescent="0.3"/>
    <row r="57864" s="160" customFormat="1" x14ac:dyDescent="0.3"/>
    <row r="57865" s="160" customFormat="1" x14ac:dyDescent="0.3"/>
    <row r="57866" s="160" customFormat="1" x14ac:dyDescent="0.3"/>
    <row r="57867" s="160" customFormat="1" x14ac:dyDescent="0.3"/>
    <row r="57868" s="160" customFormat="1" x14ac:dyDescent="0.3"/>
    <row r="57869" s="160" customFormat="1" x14ac:dyDescent="0.3"/>
    <row r="57870" s="160" customFormat="1" x14ac:dyDescent="0.3"/>
    <row r="57871" s="160" customFormat="1" x14ac:dyDescent="0.3"/>
    <row r="57872" s="160" customFormat="1" x14ac:dyDescent="0.3"/>
    <row r="57873" s="160" customFormat="1" x14ac:dyDescent="0.3"/>
    <row r="57874" s="160" customFormat="1" x14ac:dyDescent="0.3"/>
    <row r="57875" s="160" customFormat="1" x14ac:dyDescent="0.3"/>
    <row r="57876" s="160" customFormat="1" x14ac:dyDescent="0.3"/>
    <row r="57877" s="160" customFormat="1" x14ac:dyDescent="0.3"/>
    <row r="57878" s="160" customFormat="1" x14ac:dyDescent="0.3"/>
    <row r="57879" s="160" customFormat="1" x14ac:dyDescent="0.3"/>
    <row r="57880" s="160" customFormat="1" x14ac:dyDescent="0.3"/>
    <row r="57881" s="160" customFormat="1" x14ac:dyDescent="0.3"/>
    <row r="57882" s="160" customFormat="1" x14ac:dyDescent="0.3"/>
    <row r="57883" s="160" customFormat="1" x14ac:dyDescent="0.3"/>
    <row r="57884" s="160" customFormat="1" x14ac:dyDescent="0.3"/>
    <row r="57885" s="160" customFormat="1" x14ac:dyDescent="0.3"/>
    <row r="57886" s="160" customFormat="1" x14ac:dyDescent="0.3"/>
    <row r="57887" s="160" customFormat="1" x14ac:dyDescent="0.3"/>
    <row r="57888" s="160" customFormat="1" x14ac:dyDescent="0.3"/>
    <row r="57889" s="160" customFormat="1" x14ac:dyDescent="0.3"/>
    <row r="57890" s="160" customFormat="1" x14ac:dyDescent="0.3"/>
    <row r="57891" s="160" customFormat="1" x14ac:dyDescent="0.3"/>
    <row r="57892" s="160" customFormat="1" x14ac:dyDescent="0.3"/>
    <row r="57893" s="160" customFormat="1" x14ac:dyDescent="0.3"/>
    <row r="57894" s="160" customFormat="1" x14ac:dyDescent="0.3"/>
    <row r="57895" s="160" customFormat="1" x14ac:dyDescent="0.3"/>
    <row r="57896" s="160" customFormat="1" x14ac:dyDescent="0.3"/>
    <row r="57897" s="160" customFormat="1" x14ac:dyDescent="0.3"/>
    <row r="57898" s="160" customFormat="1" x14ac:dyDescent="0.3"/>
    <row r="57899" s="160" customFormat="1" x14ac:dyDescent="0.3"/>
    <row r="57900" s="160" customFormat="1" x14ac:dyDescent="0.3"/>
    <row r="57901" s="160" customFormat="1" x14ac:dyDescent="0.3"/>
    <row r="57902" s="160" customFormat="1" x14ac:dyDescent="0.3"/>
    <row r="57903" s="160" customFormat="1" x14ac:dyDescent="0.3"/>
    <row r="57904" s="160" customFormat="1" x14ac:dyDescent="0.3"/>
    <row r="57905" s="160" customFormat="1" x14ac:dyDescent="0.3"/>
    <row r="57906" s="160" customFormat="1" x14ac:dyDescent="0.3"/>
    <row r="57907" s="160" customFormat="1" x14ac:dyDescent="0.3"/>
    <row r="57908" s="160" customFormat="1" x14ac:dyDescent="0.3"/>
    <row r="57909" s="160" customFormat="1" x14ac:dyDescent="0.3"/>
    <row r="57910" s="160" customFormat="1" x14ac:dyDescent="0.3"/>
    <row r="57911" s="160" customFormat="1" x14ac:dyDescent="0.3"/>
    <row r="57912" s="160" customFormat="1" x14ac:dyDescent="0.3"/>
    <row r="57913" s="160" customFormat="1" x14ac:dyDescent="0.3"/>
    <row r="57914" s="160" customFormat="1" x14ac:dyDescent="0.3"/>
    <row r="57915" s="160" customFormat="1" x14ac:dyDescent="0.3"/>
    <row r="57916" s="160" customFormat="1" x14ac:dyDescent="0.3"/>
    <row r="57917" s="160" customFormat="1" x14ac:dyDescent="0.3"/>
    <row r="57918" s="160" customFormat="1" x14ac:dyDescent="0.3"/>
    <row r="57919" s="160" customFormat="1" x14ac:dyDescent="0.3"/>
    <row r="57920" s="160" customFormat="1" x14ac:dyDescent="0.3"/>
    <row r="57921" s="160" customFormat="1" x14ac:dyDescent="0.3"/>
    <row r="57922" s="160" customFormat="1" x14ac:dyDescent="0.3"/>
    <row r="57923" s="160" customFormat="1" x14ac:dyDescent="0.3"/>
    <row r="57924" s="160" customFormat="1" x14ac:dyDescent="0.3"/>
    <row r="57925" s="160" customFormat="1" x14ac:dyDescent="0.3"/>
    <row r="57926" s="160" customFormat="1" x14ac:dyDescent="0.3"/>
    <row r="57927" s="160" customFormat="1" x14ac:dyDescent="0.3"/>
    <row r="57928" s="160" customFormat="1" x14ac:dyDescent="0.3"/>
    <row r="57929" s="160" customFormat="1" x14ac:dyDescent="0.3"/>
    <row r="57930" s="160" customFormat="1" x14ac:dyDescent="0.3"/>
    <row r="57931" s="160" customFormat="1" x14ac:dyDescent="0.3"/>
    <row r="57932" s="160" customFormat="1" x14ac:dyDescent="0.3"/>
    <row r="57933" s="160" customFormat="1" x14ac:dyDescent="0.3"/>
    <row r="57934" s="160" customFormat="1" x14ac:dyDescent="0.3"/>
    <row r="57935" s="160" customFormat="1" x14ac:dyDescent="0.3"/>
    <row r="57936" s="160" customFormat="1" x14ac:dyDescent="0.3"/>
    <row r="57937" s="160" customFormat="1" x14ac:dyDescent="0.3"/>
    <row r="57938" s="160" customFormat="1" x14ac:dyDescent="0.3"/>
    <row r="57939" s="160" customFormat="1" x14ac:dyDescent="0.3"/>
    <row r="57940" s="160" customFormat="1" x14ac:dyDescent="0.3"/>
    <row r="57941" s="160" customFormat="1" x14ac:dyDescent="0.3"/>
    <row r="57942" s="160" customFormat="1" x14ac:dyDescent="0.3"/>
    <row r="57943" s="160" customFormat="1" x14ac:dyDescent="0.3"/>
    <row r="57944" s="160" customFormat="1" x14ac:dyDescent="0.3"/>
    <row r="57945" s="160" customFormat="1" x14ac:dyDescent="0.3"/>
    <row r="57946" s="160" customFormat="1" x14ac:dyDescent="0.3"/>
    <row r="57947" s="160" customFormat="1" x14ac:dyDescent="0.3"/>
    <row r="57948" s="160" customFormat="1" x14ac:dyDescent="0.3"/>
    <row r="57949" s="160" customFormat="1" x14ac:dyDescent="0.3"/>
    <row r="57950" s="160" customFormat="1" x14ac:dyDescent="0.3"/>
    <row r="57951" s="160" customFormat="1" x14ac:dyDescent="0.3"/>
    <row r="57952" s="160" customFormat="1" x14ac:dyDescent="0.3"/>
    <row r="57953" s="160" customFormat="1" x14ac:dyDescent="0.3"/>
    <row r="57954" s="160" customFormat="1" x14ac:dyDescent="0.3"/>
    <row r="57955" s="160" customFormat="1" x14ac:dyDescent="0.3"/>
    <row r="57956" s="160" customFormat="1" x14ac:dyDescent="0.3"/>
    <row r="57957" s="160" customFormat="1" x14ac:dyDescent="0.3"/>
    <row r="57958" s="160" customFormat="1" x14ac:dyDescent="0.3"/>
    <row r="57959" s="160" customFormat="1" x14ac:dyDescent="0.3"/>
    <row r="57960" s="160" customFormat="1" x14ac:dyDescent="0.3"/>
    <row r="57961" s="160" customFormat="1" x14ac:dyDescent="0.3"/>
    <row r="57962" s="160" customFormat="1" x14ac:dyDescent="0.3"/>
    <row r="57963" s="160" customFormat="1" x14ac:dyDescent="0.3"/>
    <row r="57964" s="160" customFormat="1" x14ac:dyDescent="0.3"/>
    <row r="57965" s="160" customFormat="1" x14ac:dyDescent="0.3"/>
    <row r="57966" s="160" customFormat="1" x14ac:dyDescent="0.3"/>
    <row r="57967" s="160" customFormat="1" x14ac:dyDescent="0.3"/>
    <row r="57968" s="160" customFormat="1" x14ac:dyDescent="0.3"/>
    <row r="57969" s="160" customFormat="1" x14ac:dyDescent="0.3"/>
    <row r="57970" s="160" customFormat="1" x14ac:dyDescent="0.3"/>
    <row r="57971" s="160" customFormat="1" x14ac:dyDescent="0.3"/>
    <row r="57972" s="160" customFormat="1" x14ac:dyDescent="0.3"/>
    <row r="57973" s="160" customFormat="1" x14ac:dyDescent="0.3"/>
    <row r="57974" s="160" customFormat="1" x14ac:dyDescent="0.3"/>
    <row r="57975" s="160" customFormat="1" x14ac:dyDescent="0.3"/>
    <row r="57976" s="160" customFormat="1" x14ac:dyDescent="0.3"/>
    <row r="57977" s="160" customFormat="1" x14ac:dyDescent="0.3"/>
    <row r="57978" s="160" customFormat="1" x14ac:dyDescent="0.3"/>
    <row r="57979" s="160" customFormat="1" x14ac:dyDescent="0.3"/>
    <row r="57980" s="160" customFormat="1" x14ac:dyDescent="0.3"/>
    <row r="57981" s="160" customFormat="1" x14ac:dyDescent="0.3"/>
    <row r="57982" s="160" customFormat="1" x14ac:dyDescent="0.3"/>
    <row r="57983" s="160" customFormat="1" x14ac:dyDescent="0.3"/>
    <row r="57984" s="160" customFormat="1" x14ac:dyDescent="0.3"/>
    <row r="57985" s="160" customFormat="1" x14ac:dyDescent="0.3"/>
    <row r="57986" s="160" customFormat="1" x14ac:dyDescent="0.3"/>
    <row r="57987" s="160" customFormat="1" x14ac:dyDescent="0.3"/>
    <row r="57988" s="160" customFormat="1" x14ac:dyDescent="0.3"/>
    <row r="57989" s="160" customFormat="1" x14ac:dyDescent="0.3"/>
    <row r="57990" s="160" customFormat="1" x14ac:dyDescent="0.3"/>
    <row r="57991" s="160" customFormat="1" x14ac:dyDescent="0.3"/>
    <row r="57992" s="160" customFormat="1" x14ac:dyDescent="0.3"/>
    <row r="57993" s="160" customFormat="1" x14ac:dyDescent="0.3"/>
    <row r="57994" s="160" customFormat="1" x14ac:dyDescent="0.3"/>
    <row r="57995" s="160" customFormat="1" x14ac:dyDescent="0.3"/>
    <row r="57996" s="160" customFormat="1" x14ac:dyDescent="0.3"/>
    <row r="57997" s="160" customFormat="1" x14ac:dyDescent="0.3"/>
    <row r="57998" s="160" customFormat="1" x14ac:dyDescent="0.3"/>
    <row r="57999" s="160" customFormat="1" x14ac:dyDescent="0.3"/>
    <row r="58000" s="160" customFormat="1" x14ac:dyDescent="0.3"/>
    <row r="58001" s="160" customFormat="1" x14ac:dyDescent="0.3"/>
    <row r="58002" s="160" customFormat="1" x14ac:dyDescent="0.3"/>
    <row r="58003" s="160" customFormat="1" x14ac:dyDescent="0.3"/>
    <row r="58004" s="160" customFormat="1" x14ac:dyDescent="0.3"/>
    <row r="58005" s="160" customFormat="1" x14ac:dyDescent="0.3"/>
    <row r="58006" s="160" customFormat="1" x14ac:dyDescent="0.3"/>
    <row r="58007" s="160" customFormat="1" x14ac:dyDescent="0.3"/>
    <row r="58008" s="160" customFormat="1" x14ac:dyDescent="0.3"/>
    <row r="58009" s="160" customFormat="1" x14ac:dyDescent="0.3"/>
    <row r="58010" s="160" customFormat="1" x14ac:dyDescent="0.3"/>
    <row r="58011" s="160" customFormat="1" x14ac:dyDescent="0.3"/>
    <row r="58012" s="160" customFormat="1" x14ac:dyDescent="0.3"/>
    <row r="58013" s="160" customFormat="1" x14ac:dyDescent="0.3"/>
    <row r="58014" s="160" customFormat="1" x14ac:dyDescent="0.3"/>
    <row r="58015" s="160" customFormat="1" x14ac:dyDescent="0.3"/>
    <row r="58016" s="160" customFormat="1" x14ac:dyDescent="0.3"/>
    <row r="58017" s="160" customFormat="1" x14ac:dyDescent="0.3"/>
    <row r="58018" s="160" customFormat="1" x14ac:dyDescent="0.3"/>
    <row r="58019" s="160" customFormat="1" x14ac:dyDescent="0.3"/>
    <row r="58020" s="160" customFormat="1" x14ac:dyDescent="0.3"/>
    <row r="58021" s="160" customFormat="1" x14ac:dyDescent="0.3"/>
    <row r="58022" s="160" customFormat="1" x14ac:dyDescent="0.3"/>
    <row r="58023" s="160" customFormat="1" x14ac:dyDescent="0.3"/>
    <row r="58024" s="160" customFormat="1" x14ac:dyDescent="0.3"/>
    <row r="58025" s="160" customFormat="1" x14ac:dyDescent="0.3"/>
    <row r="58026" s="160" customFormat="1" x14ac:dyDescent="0.3"/>
    <row r="58027" s="160" customFormat="1" x14ac:dyDescent="0.3"/>
    <row r="58028" s="160" customFormat="1" x14ac:dyDescent="0.3"/>
    <row r="58029" s="160" customFormat="1" x14ac:dyDescent="0.3"/>
    <row r="58030" s="160" customFormat="1" x14ac:dyDescent="0.3"/>
    <row r="58031" s="160" customFormat="1" x14ac:dyDescent="0.3"/>
    <row r="58032" s="160" customFormat="1" x14ac:dyDescent="0.3"/>
    <row r="58033" s="160" customFormat="1" x14ac:dyDescent="0.3"/>
    <row r="58034" s="160" customFormat="1" x14ac:dyDescent="0.3"/>
    <row r="58035" s="160" customFormat="1" x14ac:dyDescent="0.3"/>
    <row r="58036" s="160" customFormat="1" x14ac:dyDescent="0.3"/>
    <row r="58037" s="160" customFormat="1" x14ac:dyDescent="0.3"/>
    <row r="58038" s="160" customFormat="1" x14ac:dyDescent="0.3"/>
    <row r="58039" s="160" customFormat="1" x14ac:dyDescent="0.3"/>
    <row r="58040" s="160" customFormat="1" x14ac:dyDescent="0.3"/>
    <row r="58041" s="160" customFormat="1" x14ac:dyDescent="0.3"/>
    <row r="58042" s="160" customFormat="1" x14ac:dyDescent="0.3"/>
    <row r="58043" s="160" customFormat="1" x14ac:dyDescent="0.3"/>
    <row r="58044" s="160" customFormat="1" x14ac:dyDescent="0.3"/>
    <row r="58045" s="160" customFormat="1" x14ac:dyDescent="0.3"/>
    <row r="58046" s="160" customFormat="1" x14ac:dyDescent="0.3"/>
    <row r="58047" s="160" customFormat="1" x14ac:dyDescent="0.3"/>
    <row r="58048" s="160" customFormat="1" x14ac:dyDescent="0.3"/>
    <row r="58049" s="160" customFormat="1" x14ac:dyDescent="0.3"/>
    <row r="58050" s="160" customFormat="1" x14ac:dyDescent="0.3"/>
    <row r="58051" s="160" customFormat="1" x14ac:dyDescent="0.3"/>
    <row r="58052" s="160" customFormat="1" x14ac:dyDescent="0.3"/>
    <row r="58053" s="160" customFormat="1" x14ac:dyDescent="0.3"/>
    <row r="58054" s="160" customFormat="1" x14ac:dyDescent="0.3"/>
    <row r="58055" s="160" customFormat="1" x14ac:dyDescent="0.3"/>
    <row r="58056" s="160" customFormat="1" x14ac:dyDescent="0.3"/>
    <row r="58057" s="160" customFormat="1" x14ac:dyDescent="0.3"/>
    <row r="58058" s="160" customFormat="1" x14ac:dyDescent="0.3"/>
    <row r="58059" s="160" customFormat="1" x14ac:dyDescent="0.3"/>
    <row r="58060" s="160" customFormat="1" x14ac:dyDescent="0.3"/>
    <row r="58061" s="160" customFormat="1" x14ac:dyDescent="0.3"/>
    <row r="58062" s="160" customFormat="1" x14ac:dyDescent="0.3"/>
    <row r="58063" s="160" customFormat="1" x14ac:dyDescent="0.3"/>
    <row r="58064" s="160" customFormat="1" x14ac:dyDescent="0.3"/>
    <row r="58065" s="160" customFormat="1" x14ac:dyDescent="0.3"/>
    <row r="58066" s="160" customFormat="1" x14ac:dyDescent="0.3"/>
    <row r="58067" s="160" customFormat="1" x14ac:dyDescent="0.3"/>
    <row r="58068" s="160" customFormat="1" x14ac:dyDescent="0.3"/>
    <row r="58069" s="160" customFormat="1" x14ac:dyDescent="0.3"/>
    <row r="58070" s="160" customFormat="1" x14ac:dyDescent="0.3"/>
    <row r="58071" s="160" customFormat="1" x14ac:dyDescent="0.3"/>
    <row r="58072" s="160" customFormat="1" x14ac:dyDescent="0.3"/>
    <row r="58073" s="160" customFormat="1" x14ac:dyDescent="0.3"/>
    <row r="58074" s="160" customFormat="1" x14ac:dyDescent="0.3"/>
    <row r="58075" s="160" customFormat="1" x14ac:dyDescent="0.3"/>
    <row r="58076" s="160" customFormat="1" x14ac:dyDescent="0.3"/>
    <row r="58077" s="160" customFormat="1" x14ac:dyDescent="0.3"/>
    <row r="58078" s="160" customFormat="1" x14ac:dyDescent="0.3"/>
    <row r="58079" s="160" customFormat="1" x14ac:dyDescent="0.3"/>
    <row r="58080" s="160" customFormat="1" x14ac:dyDescent="0.3"/>
    <row r="58081" s="160" customFormat="1" x14ac:dyDescent="0.3"/>
    <row r="58082" s="160" customFormat="1" x14ac:dyDescent="0.3"/>
    <row r="58083" s="160" customFormat="1" x14ac:dyDescent="0.3"/>
    <row r="58084" s="160" customFormat="1" x14ac:dyDescent="0.3"/>
    <row r="58085" s="160" customFormat="1" x14ac:dyDescent="0.3"/>
    <row r="58086" s="160" customFormat="1" x14ac:dyDescent="0.3"/>
    <row r="58087" s="160" customFormat="1" x14ac:dyDescent="0.3"/>
    <row r="58088" s="160" customFormat="1" x14ac:dyDescent="0.3"/>
    <row r="58089" s="160" customFormat="1" x14ac:dyDescent="0.3"/>
    <row r="58090" s="160" customFormat="1" x14ac:dyDescent="0.3"/>
    <row r="58091" s="160" customFormat="1" x14ac:dyDescent="0.3"/>
    <row r="58092" s="160" customFormat="1" x14ac:dyDescent="0.3"/>
    <row r="58093" s="160" customFormat="1" x14ac:dyDescent="0.3"/>
    <row r="58094" s="160" customFormat="1" x14ac:dyDescent="0.3"/>
    <row r="58095" s="160" customFormat="1" x14ac:dyDescent="0.3"/>
    <row r="58096" s="160" customFormat="1" x14ac:dyDescent="0.3"/>
    <row r="58097" s="160" customFormat="1" x14ac:dyDescent="0.3"/>
    <row r="58098" s="160" customFormat="1" x14ac:dyDescent="0.3"/>
    <row r="58099" s="160" customFormat="1" x14ac:dyDescent="0.3"/>
    <row r="58100" s="160" customFormat="1" x14ac:dyDescent="0.3"/>
    <row r="58101" s="160" customFormat="1" x14ac:dyDescent="0.3"/>
    <row r="58102" s="160" customFormat="1" x14ac:dyDescent="0.3"/>
    <row r="58103" s="160" customFormat="1" x14ac:dyDescent="0.3"/>
    <row r="58104" s="160" customFormat="1" x14ac:dyDescent="0.3"/>
    <row r="58105" s="160" customFormat="1" x14ac:dyDescent="0.3"/>
    <row r="58106" s="160" customFormat="1" x14ac:dyDescent="0.3"/>
    <row r="58107" s="160" customFormat="1" x14ac:dyDescent="0.3"/>
    <row r="58108" s="160" customFormat="1" x14ac:dyDescent="0.3"/>
    <row r="58109" s="160" customFormat="1" x14ac:dyDescent="0.3"/>
    <row r="58110" s="160" customFormat="1" x14ac:dyDescent="0.3"/>
    <row r="58111" s="160" customFormat="1" x14ac:dyDescent="0.3"/>
    <row r="58112" s="160" customFormat="1" x14ac:dyDescent="0.3"/>
    <row r="58113" s="160" customFormat="1" x14ac:dyDescent="0.3"/>
    <row r="58114" s="160" customFormat="1" x14ac:dyDescent="0.3"/>
    <row r="58115" s="160" customFormat="1" x14ac:dyDescent="0.3"/>
    <row r="58116" s="160" customFormat="1" x14ac:dyDescent="0.3"/>
    <row r="58117" s="160" customFormat="1" x14ac:dyDescent="0.3"/>
    <row r="58118" s="160" customFormat="1" x14ac:dyDescent="0.3"/>
    <row r="58119" s="160" customFormat="1" x14ac:dyDescent="0.3"/>
    <row r="58120" s="160" customFormat="1" x14ac:dyDescent="0.3"/>
    <row r="58121" s="160" customFormat="1" x14ac:dyDescent="0.3"/>
    <row r="58122" s="160" customFormat="1" x14ac:dyDescent="0.3"/>
    <row r="58123" s="160" customFormat="1" x14ac:dyDescent="0.3"/>
    <row r="58124" s="160" customFormat="1" x14ac:dyDescent="0.3"/>
    <row r="58125" s="160" customFormat="1" x14ac:dyDescent="0.3"/>
    <row r="58126" s="160" customFormat="1" x14ac:dyDescent="0.3"/>
    <row r="58127" s="160" customFormat="1" x14ac:dyDescent="0.3"/>
    <row r="58128" s="160" customFormat="1" x14ac:dyDescent="0.3"/>
    <row r="58129" s="160" customFormat="1" x14ac:dyDescent="0.3"/>
    <row r="58130" s="160" customFormat="1" x14ac:dyDescent="0.3"/>
    <row r="58131" s="160" customFormat="1" x14ac:dyDescent="0.3"/>
    <row r="58132" s="160" customFormat="1" x14ac:dyDescent="0.3"/>
    <row r="58133" s="160" customFormat="1" x14ac:dyDescent="0.3"/>
    <row r="58134" s="160" customFormat="1" x14ac:dyDescent="0.3"/>
    <row r="58135" s="160" customFormat="1" x14ac:dyDescent="0.3"/>
    <row r="58136" s="160" customFormat="1" x14ac:dyDescent="0.3"/>
    <row r="58137" s="160" customFormat="1" x14ac:dyDescent="0.3"/>
    <row r="58138" s="160" customFormat="1" x14ac:dyDescent="0.3"/>
    <row r="58139" s="160" customFormat="1" x14ac:dyDescent="0.3"/>
    <row r="58140" s="160" customFormat="1" x14ac:dyDescent="0.3"/>
    <row r="58141" s="160" customFormat="1" x14ac:dyDescent="0.3"/>
    <row r="58142" s="160" customFormat="1" x14ac:dyDescent="0.3"/>
    <row r="58143" s="160" customFormat="1" x14ac:dyDescent="0.3"/>
    <row r="58144" s="160" customFormat="1" x14ac:dyDescent="0.3"/>
    <row r="58145" s="160" customFormat="1" x14ac:dyDescent="0.3"/>
    <row r="58146" s="160" customFormat="1" x14ac:dyDescent="0.3"/>
    <row r="58147" s="160" customFormat="1" x14ac:dyDescent="0.3"/>
    <row r="58148" s="160" customFormat="1" x14ac:dyDescent="0.3"/>
    <row r="58149" s="160" customFormat="1" x14ac:dyDescent="0.3"/>
    <row r="58150" s="160" customFormat="1" x14ac:dyDescent="0.3"/>
    <row r="58151" s="160" customFormat="1" x14ac:dyDescent="0.3"/>
    <row r="58152" s="160" customFormat="1" x14ac:dyDescent="0.3"/>
    <row r="58153" s="160" customFormat="1" x14ac:dyDescent="0.3"/>
    <row r="58154" s="160" customFormat="1" x14ac:dyDescent="0.3"/>
    <row r="58155" s="160" customFormat="1" x14ac:dyDescent="0.3"/>
    <row r="58156" s="160" customFormat="1" x14ac:dyDescent="0.3"/>
    <row r="58157" s="160" customFormat="1" x14ac:dyDescent="0.3"/>
    <row r="58158" s="160" customFormat="1" x14ac:dyDescent="0.3"/>
    <row r="58159" s="160" customFormat="1" x14ac:dyDescent="0.3"/>
    <row r="58160" s="160" customFormat="1" x14ac:dyDescent="0.3"/>
    <row r="58161" s="160" customFormat="1" x14ac:dyDescent="0.3"/>
    <row r="58162" s="160" customFormat="1" x14ac:dyDescent="0.3"/>
    <row r="58163" s="160" customFormat="1" x14ac:dyDescent="0.3"/>
    <row r="58164" s="160" customFormat="1" x14ac:dyDescent="0.3"/>
    <row r="58165" s="160" customFormat="1" x14ac:dyDescent="0.3"/>
    <row r="58166" s="160" customFormat="1" x14ac:dyDescent="0.3"/>
    <row r="58167" s="160" customFormat="1" x14ac:dyDescent="0.3"/>
    <row r="58168" s="160" customFormat="1" x14ac:dyDescent="0.3"/>
    <row r="58169" s="160" customFormat="1" x14ac:dyDescent="0.3"/>
    <row r="58170" s="160" customFormat="1" x14ac:dyDescent="0.3"/>
    <row r="58171" s="160" customFormat="1" x14ac:dyDescent="0.3"/>
    <row r="58172" s="160" customFormat="1" x14ac:dyDescent="0.3"/>
    <row r="58173" s="160" customFormat="1" x14ac:dyDescent="0.3"/>
    <row r="58174" s="160" customFormat="1" x14ac:dyDescent="0.3"/>
    <row r="58175" s="160" customFormat="1" x14ac:dyDescent="0.3"/>
    <row r="58176" s="160" customFormat="1" x14ac:dyDescent="0.3"/>
    <row r="58177" s="160" customFormat="1" x14ac:dyDescent="0.3"/>
    <row r="58178" s="160" customFormat="1" x14ac:dyDescent="0.3"/>
    <row r="58179" s="160" customFormat="1" x14ac:dyDescent="0.3"/>
    <row r="58180" s="160" customFormat="1" x14ac:dyDescent="0.3"/>
    <row r="58181" s="160" customFormat="1" x14ac:dyDescent="0.3"/>
    <row r="58182" s="160" customFormat="1" x14ac:dyDescent="0.3"/>
    <row r="58183" s="160" customFormat="1" x14ac:dyDescent="0.3"/>
    <row r="58184" s="160" customFormat="1" x14ac:dyDescent="0.3"/>
    <row r="58185" s="160" customFormat="1" x14ac:dyDescent="0.3"/>
    <row r="58186" s="160" customFormat="1" x14ac:dyDescent="0.3"/>
    <row r="58187" s="160" customFormat="1" x14ac:dyDescent="0.3"/>
    <row r="58188" s="160" customFormat="1" x14ac:dyDescent="0.3"/>
    <row r="58189" s="160" customFormat="1" x14ac:dyDescent="0.3"/>
    <row r="58190" s="160" customFormat="1" x14ac:dyDescent="0.3"/>
    <row r="58191" s="160" customFormat="1" x14ac:dyDescent="0.3"/>
    <row r="58192" s="160" customFormat="1" x14ac:dyDescent="0.3"/>
    <row r="58193" s="160" customFormat="1" x14ac:dyDescent="0.3"/>
    <row r="58194" s="160" customFormat="1" x14ac:dyDescent="0.3"/>
    <row r="58195" s="160" customFormat="1" x14ac:dyDescent="0.3"/>
    <row r="58196" s="160" customFormat="1" x14ac:dyDescent="0.3"/>
    <row r="58197" s="160" customFormat="1" x14ac:dyDescent="0.3"/>
    <row r="58198" s="160" customFormat="1" x14ac:dyDescent="0.3"/>
    <row r="58199" s="160" customFormat="1" x14ac:dyDescent="0.3"/>
    <row r="58200" s="160" customFormat="1" x14ac:dyDescent="0.3"/>
    <row r="58201" s="160" customFormat="1" x14ac:dyDescent="0.3"/>
    <row r="58202" s="160" customFormat="1" x14ac:dyDescent="0.3"/>
    <row r="58203" s="160" customFormat="1" x14ac:dyDescent="0.3"/>
    <row r="58204" s="160" customFormat="1" x14ac:dyDescent="0.3"/>
    <row r="58205" s="160" customFormat="1" x14ac:dyDescent="0.3"/>
    <row r="58206" s="160" customFormat="1" x14ac:dyDescent="0.3"/>
    <row r="58207" s="160" customFormat="1" x14ac:dyDescent="0.3"/>
    <row r="58208" s="160" customFormat="1" x14ac:dyDescent="0.3"/>
    <row r="58209" s="160" customFormat="1" x14ac:dyDescent="0.3"/>
    <row r="58210" s="160" customFormat="1" x14ac:dyDescent="0.3"/>
    <row r="58211" s="160" customFormat="1" x14ac:dyDescent="0.3"/>
    <row r="58212" s="160" customFormat="1" x14ac:dyDescent="0.3"/>
    <row r="58213" s="160" customFormat="1" x14ac:dyDescent="0.3"/>
    <row r="58214" s="160" customFormat="1" x14ac:dyDescent="0.3"/>
    <row r="58215" s="160" customFormat="1" x14ac:dyDescent="0.3"/>
    <row r="58216" s="160" customFormat="1" x14ac:dyDescent="0.3"/>
    <row r="58217" s="160" customFormat="1" x14ac:dyDescent="0.3"/>
    <row r="58218" s="160" customFormat="1" x14ac:dyDescent="0.3"/>
    <row r="58219" s="160" customFormat="1" x14ac:dyDescent="0.3"/>
    <row r="58220" s="160" customFormat="1" x14ac:dyDescent="0.3"/>
    <row r="58221" s="160" customFormat="1" x14ac:dyDescent="0.3"/>
    <row r="58222" s="160" customFormat="1" x14ac:dyDescent="0.3"/>
    <row r="58223" s="160" customFormat="1" x14ac:dyDescent="0.3"/>
    <row r="58224" s="160" customFormat="1" x14ac:dyDescent="0.3"/>
    <row r="58225" s="160" customFormat="1" x14ac:dyDescent="0.3"/>
    <row r="58226" s="160" customFormat="1" x14ac:dyDescent="0.3"/>
    <row r="58227" s="160" customFormat="1" x14ac:dyDescent="0.3"/>
    <row r="58228" s="160" customFormat="1" x14ac:dyDescent="0.3"/>
    <row r="58229" s="160" customFormat="1" x14ac:dyDescent="0.3"/>
    <row r="58230" s="160" customFormat="1" x14ac:dyDescent="0.3"/>
    <row r="58231" s="160" customFormat="1" x14ac:dyDescent="0.3"/>
    <row r="58232" s="160" customFormat="1" x14ac:dyDescent="0.3"/>
    <row r="58233" s="160" customFormat="1" x14ac:dyDescent="0.3"/>
    <row r="58234" s="160" customFormat="1" x14ac:dyDescent="0.3"/>
    <row r="58235" s="160" customFormat="1" x14ac:dyDescent="0.3"/>
    <row r="58236" s="160" customFormat="1" x14ac:dyDescent="0.3"/>
    <row r="58237" s="160" customFormat="1" x14ac:dyDescent="0.3"/>
    <row r="58238" s="160" customFormat="1" x14ac:dyDescent="0.3"/>
    <row r="58239" s="160" customFormat="1" x14ac:dyDescent="0.3"/>
    <row r="58240" s="160" customFormat="1" x14ac:dyDescent="0.3"/>
    <row r="58241" s="160" customFormat="1" x14ac:dyDescent="0.3"/>
    <row r="58242" s="160" customFormat="1" x14ac:dyDescent="0.3"/>
    <row r="58243" s="160" customFormat="1" x14ac:dyDescent="0.3"/>
    <row r="58244" s="160" customFormat="1" x14ac:dyDescent="0.3"/>
    <row r="58245" s="160" customFormat="1" x14ac:dyDescent="0.3"/>
    <row r="58246" s="160" customFormat="1" x14ac:dyDescent="0.3"/>
    <row r="58247" s="160" customFormat="1" x14ac:dyDescent="0.3"/>
    <row r="58248" s="160" customFormat="1" x14ac:dyDescent="0.3"/>
    <row r="58249" s="160" customFormat="1" x14ac:dyDescent="0.3"/>
    <row r="58250" s="160" customFormat="1" x14ac:dyDescent="0.3"/>
    <row r="58251" s="160" customFormat="1" x14ac:dyDescent="0.3"/>
    <row r="58252" s="160" customFormat="1" x14ac:dyDescent="0.3"/>
    <row r="58253" s="160" customFormat="1" x14ac:dyDescent="0.3"/>
    <row r="58254" s="160" customFormat="1" x14ac:dyDescent="0.3"/>
    <row r="58255" s="160" customFormat="1" x14ac:dyDescent="0.3"/>
    <row r="58256" s="160" customFormat="1" x14ac:dyDescent="0.3"/>
    <row r="58257" s="160" customFormat="1" x14ac:dyDescent="0.3"/>
    <row r="58258" s="160" customFormat="1" x14ac:dyDescent="0.3"/>
    <row r="58259" s="160" customFormat="1" x14ac:dyDescent="0.3"/>
    <row r="58260" s="160" customFormat="1" x14ac:dyDescent="0.3"/>
    <row r="58261" s="160" customFormat="1" x14ac:dyDescent="0.3"/>
    <row r="58262" s="160" customFormat="1" x14ac:dyDescent="0.3"/>
    <row r="58263" s="160" customFormat="1" x14ac:dyDescent="0.3"/>
    <row r="58264" s="160" customFormat="1" x14ac:dyDescent="0.3"/>
    <row r="58265" s="160" customFormat="1" x14ac:dyDescent="0.3"/>
    <row r="58266" s="160" customFormat="1" x14ac:dyDescent="0.3"/>
    <row r="58267" s="160" customFormat="1" x14ac:dyDescent="0.3"/>
    <row r="58268" s="160" customFormat="1" x14ac:dyDescent="0.3"/>
    <row r="58269" s="160" customFormat="1" x14ac:dyDescent="0.3"/>
    <row r="58270" s="160" customFormat="1" x14ac:dyDescent="0.3"/>
    <row r="58271" s="160" customFormat="1" x14ac:dyDescent="0.3"/>
    <row r="58272" s="160" customFormat="1" x14ac:dyDescent="0.3"/>
    <row r="58273" s="160" customFormat="1" x14ac:dyDescent="0.3"/>
    <row r="58274" s="160" customFormat="1" x14ac:dyDescent="0.3"/>
    <row r="58275" s="160" customFormat="1" x14ac:dyDescent="0.3"/>
    <row r="58276" s="160" customFormat="1" x14ac:dyDescent="0.3"/>
    <row r="58277" s="160" customFormat="1" x14ac:dyDescent="0.3"/>
    <row r="58278" s="160" customFormat="1" x14ac:dyDescent="0.3"/>
    <row r="58279" s="160" customFormat="1" x14ac:dyDescent="0.3"/>
    <row r="58280" s="160" customFormat="1" x14ac:dyDescent="0.3"/>
    <row r="58281" s="160" customFormat="1" x14ac:dyDescent="0.3"/>
    <row r="58282" s="160" customFormat="1" x14ac:dyDescent="0.3"/>
    <row r="58283" s="160" customFormat="1" x14ac:dyDescent="0.3"/>
    <row r="58284" s="160" customFormat="1" x14ac:dyDescent="0.3"/>
    <row r="58285" s="160" customFormat="1" x14ac:dyDescent="0.3"/>
    <row r="58286" s="160" customFormat="1" x14ac:dyDescent="0.3"/>
    <row r="58287" s="160" customFormat="1" x14ac:dyDescent="0.3"/>
    <row r="58288" s="160" customFormat="1" x14ac:dyDescent="0.3"/>
    <row r="58289" s="160" customFormat="1" x14ac:dyDescent="0.3"/>
    <row r="58290" s="160" customFormat="1" x14ac:dyDescent="0.3"/>
    <row r="58291" s="160" customFormat="1" x14ac:dyDescent="0.3"/>
    <row r="58292" s="160" customFormat="1" x14ac:dyDescent="0.3"/>
    <row r="58293" s="160" customFormat="1" x14ac:dyDescent="0.3"/>
    <row r="58294" s="160" customFormat="1" x14ac:dyDescent="0.3"/>
    <row r="58295" s="160" customFormat="1" x14ac:dyDescent="0.3"/>
    <row r="58296" s="160" customFormat="1" x14ac:dyDescent="0.3"/>
    <row r="58297" s="160" customFormat="1" x14ac:dyDescent="0.3"/>
    <row r="58298" s="160" customFormat="1" x14ac:dyDescent="0.3"/>
    <row r="58299" s="160" customFormat="1" x14ac:dyDescent="0.3"/>
    <row r="58300" s="160" customFormat="1" x14ac:dyDescent="0.3"/>
    <row r="58301" s="160" customFormat="1" x14ac:dyDescent="0.3"/>
    <row r="58302" s="160" customFormat="1" x14ac:dyDescent="0.3"/>
    <row r="58303" s="160" customFormat="1" x14ac:dyDescent="0.3"/>
    <row r="58304" s="160" customFormat="1" x14ac:dyDescent="0.3"/>
    <row r="58305" s="160" customFormat="1" x14ac:dyDescent="0.3"/>
    <row r="58306" s="160" customFormat="1" x14ac:dyDescent="0.3"/>
    <row r="58307" s="160" customFormat="1" x14ac:dyDescent="0.3"/>
    <row r="58308" s="160" customFormat="1" x14ac:dyDescent="0.3"/>
    <row r="58309" s="160" customFormat="1" x14ac:dyDescent="0.3"/>
    <row r="58310" s="160" customFormat="1" x14ac:dyDescent="0.3"/>
    <row r="58311" s="160" customFormat="1" x14ac:dyDescent="0.3"/>
    <row r="58312" s="160" customFormat="1" x14ac:dyDescent="0.3"/>
    <row r="58313" s="160" customFormat="1" x14ac:dyDescent="0.3"/>
    <row r="58314" s="160" customFormat="1" x14ac:dyDescent="0.3"/>
    <row r="58315" s="160" customFormat="1" x14ac:dyDescent="0.3"/>
    <row r="58316" s="160" customFormat="1" x14ac:dyDescent="0.3"/>
    <row r="58317" s="160" customFormat="1" x14ac:dyDescent="0.3"/>
    <row r="58318" s="160" customFormat="1" x14ac:dyDescent="0.3"/>
    <row r="58319" s="160" customFormat="1" x14ac:dyDescent="0.3"/>
    <row r="58320" s="160" customFormat="1" x14ac:dyDescent="0.3"/>
    <row r="58321" s="160" customFormat="1" x14ac:dyDescent="0.3"/>
    <row r="58322" s="160" customFormat="1" x14ac:dyDescent="0.3"/>
    <row r="58323" s="160" customFormat="1" x14ac:dyDescent="0.3"/>
    <row r="58324" s="160" customFormat="1" x14ac:dyDescent="0.3"/>
    <row r="58325" s="160" customFormat="1" x14ac:dyDescent="0.3"/>
    <row r="58326" s="160" customFormat="1" x14ac:dyDescent="0.3"/>
    <row r="58327" s="160" customFormat="1" x14ac:dyDescent="0.3"/>
    <row r="58328" s="160" customFormat="1" x14ac:dyDescent="0.3"/>
    <row r="58329" s="160" customFormat="1" x14ac:dyDescent="0.3"/>
    <row r="58330" s="160" customFormat="1" x14ac:dyDescent="0.3"/>
    <row r="58331" s="160" customFormat="1" x14ac:dyDescent="0.3"/>
    <row r="58332" s="160" customFormat="1" x14ac:dyDescent="0.3"/>
    <row r="58333" s="160" customFormat="1" x14ac:dyDescent="0.3"/>
    <row r="58334" s="160" customFormat="1" x14ac:dyDescent="0.3"/>
    <row r="58335" s="160" customFormat="1" x14ac:dyDescent="0.3"/>
    <row r="58336" s="160" customFormat="1" x14ac:dyDescent="0.3"/>
    <row r="58337" s="160" customFormat="1" x14ac:dyDescent="0.3"/>
    <row r="58338" s="160" customFormat="1" x14ac:dyDescent="0.3"/>
    <row r="58339" s="160" customFormat="1" x14ac:dyDescent="0.3"/>
    <row r="58340" s="160" customFormat="1" x14ac:dyDescent="0.3"/>
    <row r="58341" s="160" customFormat="1" x14ac:dyDescent="0.3"/>
    <row r="58342" s="160" customFormat="1" x14ac:dyDescent="0.3"/>
    <row r="58343" s="160" customFormat="1" x14ac:dyDescent="0.3"/>
    <row r="58344" s="160" customFormat="1" x14ac:dyDescent="0.3"/>
    <row r="58345" s="160" customFormat="1" x14ac:dyDescent="0.3"/>
    <row r="58346" s="160" customFormat="1" x14ac:dyDescent="0.3"/>
    <row r="58347" s="160" customFormat="1" x14ac:dyDescent="0.3"/>
    <row r="58348" s="160" customFormat="1" x14ac:dyDescent="0.3"/>
    <row r="58349" s="160" customFormat="1" x14ac:dyDescent="0.3"/>
    <row r="58350" s="160" customFormat="1" x14ac:dyDescent="0.3"/>
    <row r="58351" s="160" customFormat="1" x14ac:dyDescent="0.3"/>
    <row r="58352" s="160" customFormat="1" x14ac:dyDescent="0.3"/>
    <row r="58353" s="160" customFormat="1" x14ac:dyDescent="0.3"/>
    <row r="58354" s="160" customFormat="1" x14ac:dyDescent="0.3"/>
    <row r="58355" s="160" customFormat="1" x14ac:dyDescent="0.3"/>
    <row r="58356" s="160" customFormat="1" x14ac:dyDescent="0.3"/>
    <row r="58357" s="160" customFormat="1" x14ac:dyDescent="0.3"/>
    <row r="58358" s="160" customFormat="1" x14ac:dyDescent="0.3"/>
    <row r="58359" s="160" customFormat="1" x14ac:dyDescent="0.3"/>
    <row r="58360" s="160" customFormat="1" x14ac:dyDescent="0.3"/>
    <row r="58361" s="160" customFormat="1" x14ac:dyDescent="0.3"/>
    <row r="58362" s="160" customFormat="1" x14ac:dyDescent="0.3"/>
    <row r="58363" s="160" customFormat="1" x14ac:dyDescent="0.3"/>
    <row r="58364" s="160" customFormat="1" x14ac:dyDescent="0.3"/>
    <row r="58365" s="160" customFormat="1" x14ac:dyDescent="0.3"/>
    <row r="58366" s="160" customFormat="1" x14ac:dyDescent="0.3"/>
    <row r="58367" s="160" customFormat="1" x14ac:dyDescent="0.3"/>
    <row r="58368" s="160" customFormat="1" x14ac:dyDescent="0.3"/>
    <row r="58369" s="160" customFormat="1" x14ac:dyDescent="0.3"/>
    <row r="58370" s="160" customFormat="1" x14ac:dyDescent="0.3"/>
    <row r="58371" s="160" customFormat="1" x14ac:dyDescent="0.3"/>
    <row r="58372" s="160" customFormat="1" x14ac:dyDescent="0.3"/>
    <row r="58373" s="160" customFormat="1" x14ac:dyDescent="0.3"/>
    <row r="58374" s="160" customFormat="1" x14ac:dyDescent="0.3"/>
    <row r="58375" s="160" customFormat="1" x14ac:dyDescent="0.3"/>
    <row r="58376" s="160" customFormat="1" x14ac:dyDescent="0.3"/>
    <row r="58377" s="160" customFormat="1" x14ac:dyDescent="0.3"/>
    <row r="58378" s="160" customFormat="1" x14ac:dyDescent="0.3"/>
    <row r="58379" s="160" customFormat="1" x14ac:dyDescent="0.3"/>
    <row r="58380" s="160" customFormat="1" x14ac:dyDescent="0.3"/>
    <row r="58381" s="160" customFormat="1" x14ac:dyDescent="0.3"/>
    <row r="58382" s="160" customFormat="1" x14ac:dyDescent="0.3"/>
    <row r="58383" s="160" customFormat="1" x14ac:dyDescent="0.3"/>
    <row r="58384" s="160" customFormat="1" x14ac:dyDescent="0.3"/>
    <row r="58385" s="160" customFormat="1" x14ac:dyDescent="0.3"/>
    <row r="58386" s="160" customFormat="1" x14ac:dyDescent="0.3"/>
    <row r="58387" s="160" customFormat="1" x14ac:dyDescent="0.3"/>
    <row r="58388" s="160" customFormat="1" x14ac:dyDescent="0.3"/>
    <row r="58389" s="160" customFormat="1" x14ac:dyDescent="0.3"/>
    <row r="58390" s="160" customFormat="1" x14ac:dyDescent="0.3"/>
    <row r="58391" s="160" customFormat="1" x14ac:dyDescent="0.3"/>
    <row r="58392" s="160" customFormat="1" x14ac:dyDescent="0.3"/>
    <row r="58393" s="160" customFormat="1" x14ac:dyDescent="0.3"/>
    <row r="58394" s="160" customFormat="1" x14ac:dyDescent="0.3"/>
    <row r="58395" s="160" customFormat="1" x14ac:dyDescent="0.3"/>
    <row r="58396" s="160" customFormat="1" x14ac:dyDescent="0.3"/>
    <row r="58397" s="160" customFormat="1" x14ac:dyDescent="0.3"/>
    <row r="58398" s="160" customFormat="1" x14ac:dyDescent="0.3"/>
    <row r="58399" s="160" customFormat="1" x14ac:dyDescent="0.3"/>
    <row r="58400" s="160" customFormat="1" x14ac:dyDescent="0.3"/>
    <row r="58401" s="160" customFormat="1" x14ac:dyDescent="0.3"/>
    <row r="58402" s="160" customFormat="1" x14ac:dyDescent="0.3"/>
    <row r="58403" s="160" customFormat="1" x14ac:dyDescent="0.3"/>
    <row r="58404" s="160" customFormat="1" x14ac:dyDescent="0.3"/>
    <row r="58405" s="160" customFormat="1" x14ac:dyDescent="0.3"/>
    <row r="58406" s="160" customFormat="1" x14ac:dyDescent="0.3"/>
    <row r="58407" s="160" customFormat="1" x14ac:dyDescent="0.3"/>
    <row r="58408" s="160" customFormat="1" x14ac:dyDescent="0.3"/>
    <row r="58409" s="160" customFormat="1" x14ac:dyDescent="0.3"/>
    <row r="58410" s="160" customFormat="1" x14ac:dyDescent="0.3"/>
    <row r="58411" s="160" customFormat="1" x14ac:dyDescent="0.3"/>
    <row r="58412" s="160" customFormat="1" x14ac:dyDescent="0.3"/>
    <row r="58413" s="160" customFormat="1" x14ac:dyDescent="0.3"/>
    <row r="58414" s="160" customFormat="1" x14ac:dyDescent="0.3"/>
    <row r="58415" s="160" customFormat="1" x14ac:dyDescent="0.3"/>
    <row r="58416" s="160" customFormat="1" x14ac:dyDescent="0.3"/>
    <row r="58417" s="160" customFormat="1" x14ac:dyDescent="0.3"/>
    <row r="58418" s="160" customFormat="1" x14ac:dyDescent="0.3"/>
    <row r="58419" s="160" customFormat="1" x14ac:dyDescent="0.3"/>
    <row r="58420" s="160" customFormat="1" x14ac:dyDescent="0.3"/>
    <row r="58421" s="160" customFormat="1" x14ac:dyDescent="0.3"/>
    <row r="58422" s="160" customFormat="1" x14ac:dyDescent="0.3"/>
    <row r="58423" s="160" customFormat="1" x14ac:dyDescent="0.3"/>
    <row r="58424" s="160" customFormat="1" x14ac:dyDescent="0.3"/>
    <row r="58425" s="160" customFormat="1" x14ac:dyDescent="0.3"/>
    <row r="58426" s="160" customFormat="1" x14ac:dyDescent="0.3"/>
    <row r="58427" s="160" customFormat="1" x14ac:dyDescent="0.3"/>
    <row r="58428" s="160" customFormat="1" x14ac:dyDescent="0.3"/>
    <row r="58429" s="160" customFormat="1" x14ac:dyDescent="0.3"/>
    <row r="58430" s="160" customFormat="1" x14ac:dyDescent="0.3"/>
    <row r="58431" s="160" customFormat="1" x14ac:dyDescent="0.3"/>
    <row r="58432" s="160" customFormat="1" x14ac:dyDescent="0.3"/>
    <row r="58433" s="160" customFormat="1" x14ac:dyDescent="0.3"/>
    <row r="58434" s="160" customFormat="1" x14ac:dyDescent="0.3"/>
    <row r="58435" s="160" customFormat="1" x14ac:dyDescent="0.3"/>
    <row r="58436" s="160" customFormat="1" x14ac:dyDescent="0.3"/>
    <row r="58437" s="160" customFormat="1" x14ac:dyDescent="0.3"/>
    <row r="58438" s="160" customFormat="1" x14ac:dyDescent="0.3"/>
    <row r="58439" s="160" customFormat="1" x14ac:dyDescent="0.3"/>
    <row r="58440" s="160" customFormat="1" x14ac:dyDescent="0.3"/>
    <row r="58441" s="160" customFormat="1" x14ac:dyDescent="0.3"/>
    <row r="58442" s="160" customFormat="1" x14ac:dyDescent="0.3"/>
    <row r="58443" s="160" customFormat="1" x14ac:dyDescent="0.3"/>
    <row r="58444" s="160" customFormat="1" x14ac:dyDescent="0.3"/>
    <row r="58445" s="160" customFormat="1" x14ac:dyDescent="0.3"/>
    <row r="58446" s="160" customFormat="1" x14ac:dyDescent="0.3"/>
    <row r="58447" s="160" customFormat="1" x14ac:dyDescent="0.3"/>
    <row r="58448" s="160" customFormat="1" x14ac:dyDescent="0.3"/>
    <row r="58449" s="160" customFormat="1" x14ac:dyDescent="0.3"/>
    <row r="58450" s="160" customFormat="1" x14ac:dyDescent="0.3"/>
    <row r="58451" s="160" customFormat="1" x14ac:dyDescent="0.3"/>
    <row r="58452" s="160" customFormat="1" x14ac:dyDescent="0.3"/>
    <row r="58453" s="160" customFormat="1" x14ac:dyDescent="0.3"/>
    <row r="58454" s="160" customFormat="1" x14ac:dyDescent="0.3"/>
    <row r="58455" s="160" customFormat="1" x14ac:dyDescent="0.3"/>
    <row r="58456" s="160" customFormat="1" x14ac:dyDescent="0.3"/>
    <row r="58457" s="160" customFormat="1" x14ac:dyDescent="0.3"/>
    <row r="58458" s="160" customFormat="1" x14ac:dyDescent="0.3"/>
    <row r="58459" s="160" customFormat="1" x14ac:dyDescent="0.3"/>
    <row r="58460" s="160" customFormat="1" x14ac:dyDescent="0.3"/>
    <row r="58461" s="160" customFormat="1" x14ac:dyDescent="0.3"/>
    <row r="58462" s="160" customFormat="1" x14ac:dyDescent="0.3"/>
    <row r="58463" s="160" customFormat="1" x14ac:dyDescent="0.3"/>
    <row r="58464" s="160" customFormat="1" x14ac:dyDescent="0.3"/>
    <row r="58465" s="160" customFormat="1" x14ac:dyDescent="0.3"/>
    <row r="58466" s="160" customFormat="1" x14ac:dyDescent="0.3"/>
    <row r="58467" s="160" customFormat="1" x14ac:dyDescent="0.3"/>
    <row r="58468" s="160" customFormat="1" x14ac:dyDescent="0.3"/>
    <row r="58469" s="160" customFormat="1" x14ac:dyDescent="0.3"/>
    <row r="58470" s="160" customFormat="1" x14ac:dyDescent="0.3"/>
    <row r="58471" s="160" customFormat="1" x14ac:dyDescent="0.3"/>
    <row r="58472" s="160" customFormat="1" x14ac:dyDescent="0.3"/>
    <row r="58473" s="160" customFormat="1" x14ac:dyDescent="0.3"/>
    <row r="58474" s="160" customFormat="1" x14ac:dyDescent="0.3"/>
    <row r="58475" s="160" customFormat="1" x14ac:dyDescent="0.3"/>
    <row r="58476" s="160" customFormat="1" x14ac:dyDescent="0.3"/>
    <row r="58477" s="160" customFormat="1" x14ac:dyDescent="0.3"/>
    <row r="58478" s="160" customFormat="1" x14ac:dyDescent="0.3"/>
    <row r="58479" s="160" customFormat="1" x14ac:dyDescent="0.3"/>
    <row r="58480" s="160" customFormat="1" x14ac:dyDescent="0.3"/>
    <row r="58481" s="160" customFormat="1" x14ac:dyDescent="0.3"/>
    <row r="58482" s="160" customFormat="1" x14ac:dyDescent="0.3"/>
    <row r="58483" s="160" customFormat="1" x14ac:dyDescent="0.3"/>
    <row r="58484" s="160" customFormat="1" x14ac:dyDescent="0.3"/>
    <row r="58485" s="160" customFormat="1" x14ac:dyDescent="0.3"/>
    <row r="58486" s="160" customFormat="1" x14ac:dyDescent="0.3"/>
    <row r="58487" s="160" customFormat="1" x14ac:dyDescent="0.3"/>
    <row r="58488" s="160" customFormat="1" x14ac:dyDescent="0.3"/>
    <row r="58489" s="160" customFormat="1" x14ac:dyDescent="0.3"/>
    <row r="58490" s="160" customFormat="1" x14ac:dyDescent="0.3"/>
    <row r="58491" s="160" customFormat="1" x14ac:dyDescent="0.3"/>
    <row r="58492" s="160" customFormat="1" x14ac:dyDescent="0.3"/>
    <row r="58493" s="160" customFormat="1" x14ac:dyDescent="0.3"/>
    <row r="58494" s="160" customFormat="1" x14ac:dyDescent="0.3"/>
    <row r="58495" s="160" customFormat="1" x14ac:dyDescent="0.3"/>
    <row r="58496" s="160" customFormat="1" x14ac:dyDescent="0.3"/>
    <row r="58497" s="160" customFormat="1" x14ac:dyDescent="0.3"/>
    <row r="58498" s="160" customFormat="1" x14ac:dyDescent="0.3"/>
    <row r="58499" s="160" customFormat="1" x14ac:dyDescent="0.3"/>
    <row r="58500" s="160" customFormat="1" x14ac:dyDescent="0.3"/>
    <row r="58501" s="160" customFormat="1" x14ac:dyDescent="0.3"/>
    <row r="58502" s="160" customFormat="1" x14ac:dyDescent="0.3"/>
    <row r="58503" s="160" customFormat="1" x14ac:dyDescent="0.3"/>
    <row r="58504" s="160" customFormat="1" x14ac:dyDescent="0.3"/>
    <row r="58505" s="160" customFormat="1" x14ac:dyDescent="0.3"/>
    <row r="58506" s="160" customFormat="1" x14ac:dyDescent="0.3"/>
    <row r="58507" s="160" customFormat="1" x14ac:dyDescent="0.3"/>
    <row r="58508" s="160" customFormat="1" x14ac:dyDescent="0.3"/>
    <row r="58509" s="160" customFormat="1" x14ac:dyDescent="0.3"/>
    <row r="58510" s="160" customFormat="1" x14ac:dyDescent="0.3"/>
    <row r="58511" s="160" customFormat="1" x14ac:dyDescent="0.3"/>
    <row r="58512" s="160" customFormat="1" x14ac:dyDescent="0.3"/>
    <row r="58513" s="160" customFormat="1" x14ac:dyDescent="0.3"/>
    <row r="58514" s="160" customFormat="1" x14ac:dyDescent="0.3"/>
    <row r="58515" s="160" customFormat="1" x14ac:dyDescent="0.3"/>
    <row r="58516" s="160" customFormat="1" x14ac:dyDescent="0.3"/>
    <row r="58517" s="160" customFormat="1" x14ac:dyDescent="0.3"/>
    <row r="58518" s="160" customFormat="1" x14ac:dyDescent="0.3"/>
    <row r="58519" s="160" customFormat="1" x14ac:dyDescent="0.3"/>
    <row r="58520" s="160" customFormat="1" x14ac:dyDescent="0.3"/>
    <row r="58521" s="160" customFormat="1" x14ac:dyDescent="0.3"/>
    <row r="58522" s="160" customFormat="1" x14ac:dyDescent="0.3"/>
    <row r="58523" s="160" customFormat="1" x14ac:dyDescent="0.3"/>
    <row r="58524" s="160" customFormat="1" x14ac:dyDescent="0.3"/>
    <row r="58525" s="160" customFormat="1" x14ac:dyDescent="0.3"/>
    <row r="58526" s="160" customFormat="1" x14ac:dyDescent="0.3"/>
    <row r="58527" s="160" customFormat="1" x14ac:dyDescent="0.3"/>
    <row r="58528" s="160" customFormat="1" x14ac:dyDescent="0.3"/>
    <row r="58529" s="160" customFormat="1" x14ac:dyDescent="0.3"/>
    <row r="58530" s="160" customFormat="1" x14ac:dyDescent="0.3"/>
    <row r="58531" s="160" customFormat="1" x14ac:dyDescent="0.3"/>
    <row r="58532" s="160" customFormat="1" x14ac:dyDescent="0.3"/>
    <row r="58533" s="160" customFormat="1" x14ac:dyDescent="0.3"/>
    <row r="58534" s="160" customFormat="1" x14ac:dyDescent="0.3"/>
    <row r="58535" s="160" customFormat="1" x14ac:dyDescent="0.3"/>
    <row r="58536" s="160" customFormat="1" x14ac:dyDescent="0.3"/>
    <row r="58537" s="160" customFormat="1" x14ac:dyDescent="0.3"/>
    <row r="58538" s="160" customFormat="1" x14ac:dyDescent="0.3"/>
    <row r="58539" s="160" customFormat="1" x14ac:dyDescent="0.3"/>
    <row r="58540" s="160" customFormat="1" x14ac:dyDescent="0.3"/>
    <row r="58541" s="160" customFormat="1" x14ac:dyDescent="0.3"/>
    <row r="58542" s="160" customFormat="1" x14ac:dyDescent="0.3"/>
    <row r="58543" s="160" customFormat="1" x14ac:dyDescent="0.3"/>
    <row r="58544" s="160" customFormat="1" x14ac:dyDescent="0.3"/>
    <row r="58545" s="160" customFormat="1" x14ac:dyDescent="0.3"/>
    <row r="58546" s="160" customFormat="1" x14ac:dyDescent="0.3"/>
    <row r="58547" s="160" customFormat="1" x14ac:dyDescent="0.3"/>
    <row r="58548" s="160" customFormat="1" x14ac:dyDescent="0.3"/>
    <row r="58549" s="160" customFormat="1" x14ac:dyDescent="0.3"/>
    <row r="58550" s="160" customFormat="1" x14ac:dyDescent="0.3"/>
    <row r="58551" s="160" customFormat="1" x14ac:dyDescent="0.3"/>
    <row r="58552" s="160" customFormat="1" x14ac:dyDescent="0.3"/>
    <row r="58553" s="160" customFormat="1" x14ac:dyDescent="0.3"/>
    <row r="58554" s="160" customFormat="1" x14ac:dyDescent="0.3"/>
    <row r="58555" s="160" customFormat="1" x14ac:dyDescent="0.3"/>
    <row r="58556" s="160" customFormat="1" x14ac:dyDescent="0.3"/>
    <row r="58557" s="160" customFormat="1" x14ac:dyDescent="0.3"/>
    <row r="58558" s="160" customFormat="1" x14ac:dyDescent="0.3"/>
    <row r="58559" s="160" customFormat="1" x14ac:dyDescent="0.3"/>
    <row r="58560" s="160" customFormat="1" x14ac:dyDescent="0.3"/>
    <row r="58561" s="160" customFormat="1" x14ac:dyDescent="0.3"/>
    <row r="58562" s="160" customFormat="1" x14ac:dyDescent="0.3"/>
    <row r="58563" s="160" customFormat="1" x14ac:dyDescent="0.3"/>
    <row r="58564" s="160" customFormat="1" x14ac:dyDescent="0.3"/>
    <row r="58565" s="160" customFormat="1" x14ac:dyDescent="0.3"/>
    <row r="58566" s="160" customFormat="1" x14ac:dyDescent="0.3"/>
    <row r="58567" s="160" customFormat="1" x14ac:dyDescent="0.3"/>
    <row r="58568" s="160" customFormat="1" x14ac:dyDescent="0.3"/>
    <row r="58569" s="160" customFormat="1" x14ac:dyDescent="0.3"/>
    <row r="58570" s="160" customFormat="1" x14ac:dyDescent="0.3"/>
    <row r="58571" s="160" customFormat="1" x14ac:dyDescent="0.3"/>
    <row r="58572" s="160" customFormat="1" x14ac:dyDescent="0.3"/>
    <row r="58573" s="160" customFormat="1" x14ac:dyDescent="0.3"/>
    <row r="58574" s="160" customFormat="1" x14ac:dyDescent="0.3"/>
    <row r="58575" s="160" customFormat="1" x14ac:dyDescent="0.3"/>
    <row r="58576" s="160" customFormat="1" x14ac:dyDescent="0.3"/>
    <row r="58577" s="160" customFormat="1" x14ac:dyDescent="0.3"/>
    <row r="58578" s="160" customFormat="1" x14ac:dyDescent="0.3"/>
    <row r="58579" s="160" customFormat="1" x14ac:dyDescent="0.3"/>
    <row r="58580" s="160" customFormat="1" x14ac:dyDescent="0.3"/>
    <row r="58581" s="160" customFormat="1" x14ac:dyDescent="0.3"/>
    <row r="58582" s="160" customFormat="1" x14ac:dyDescent="0.3"/>
    <row r="58583" s="160" customFormat="1" x14ac:dyDescent="0.3"/>
    <row r="58584" s="160" customFormat="1" x14ac:dyDescent="0.3"/>
    <row r="58585" s="160" customFormat="1" x14ac:dyDescent="0.3"/>
    <row r="58586" s="160" customFormat="1" x14ac:dyDescent="0.3"/>
    <row r="58587" s="160" customFormat="1" x14ac:dyDescent="0.3"/>
    <row r="58588" s="160" customFormat="1" x14ac:dyDescent="0.3"/>
    <row r="58589" s="160" customFormat="1" x14ac:dyDescent="0.3"/>
    <row r="58590" s="160" customFormat="1" x14ac:dyDescent="0.3"/>
    <row r="58591" s="160" customFormat="1" x14ac:dyDescent="0.3"/>
    <row r="58592" s="160" customFormat="1" x14ac:dyDescent="0.3"/>
    <row r="58593" s="160" customFormat="1" x14ac:dyDescent="0.3"/>
    <row r="58594" s="160" customFormat="1" x14ac:dyDescent="0.3"/>
    <row r="58595" s="160" customFormat="1" x14ac:dyDescent="0.3"/>
    <row r="58596" s="160" customFormat="1" x14ac:dyDescent="0.3"/>
    <row r="58597" s="160" customFormat="1" x14ac:dyDescent="0.3"/>
    <row r="58598" s="160" customFormat="1" x14ac:dyDescent="0.3"/>
    <row r="58599" s="160" customFormat="1" x14ac:dyDescent="0.3"/>
    <row r="58600" s="160" customFormat="1" x14ac:dyDescent="0.3"/>
    <row r="58601" s="160" customFormat="1" x14ac:dyDescent="0.3"/>
    <row r="58602" s="160" customFormat="1" x14ac:dyDescent="0.3"/>
    <row r="58603" s="160" customFormat="1" x14ac:dyDescent="0.3"/>
    <row r="58604" s="160" customFormat="1" x14ac:dyDescent="0.3"/>
    <row r="58605" s="160" customFormat="1" x14ac:dyDescent="0.3"/>
    <row r="58606" s="160" customFormat="1" x14ac:dyDescent="0.3"/>
    <row r="58607" s="160" customFormat="1" x14ac:dyDescent="0.3"/>
    <row r="58608" s="160" customFormat="1" x14ac:dyDescent="0.3"/>
    <row r="58609" s="160" customFormat="1" x14ac:dyDescent="0.3"/>
    <row r="58610" s="160" customFormat="1" x14ac:dyDescent="0.3"/>
    <row r="58611" s="160" customFormat="1" x14ac:dyDescent="0.3"/>
    <row r="58612" s="160" customFormat="1" x14ac:dyDescent="0.3"/>
    <row r="58613" s="160" customFormat="1" x14ac:dyDescent="0.3"/>
    <row r="58614" s="160" customFormat="1" x14ac:dyDescent="0.3"/>
    <row r="58615" s="160" customFormat="1" x14ac:dyDescent="0.3"/>
    <row r="58616" s="160" customFormat="1" x14ac:dyDescent="0.3"/>
    <row r="58617" s="160" customFormat="1" x14ac:dyDescent="0.3"/>
    <row r="58618" s="160" customFormat="1" x14ac:dyDescent="0.3"/>
    <row r="58619" s="160" customFormat="1" x14ac:dyDescent="0.3"/>
    <row r="58620" s="160" customFormat="1" x14ac:dyDescent="0.3"/>
    <row r="58621" s="160" customFormat="1" x14ac:dyDescent="0.3"/>
    <row r="58622" s="160" customFormat="1" x14ac:dyDescent="0.3"/>
    <row r="58623" s="160" customFormat="1" x14ac:dyDescent="0.3"/>
    <row r="58624" s="160" customFormat="1" x14ac:dyDescent="0.3"/>
    <row r="58625" s="160" customFormat="1" x14ac:dyDescent="0.3"/>
    <row r="58626" s="160" customFormat="1" x14ac:dyDescent="0.3"/>
    <row r="58627" s="160" customFormat="1" x14ac:dyDescent="0.3"/>
    <row r="58628" s="160" customFormat="1" x14ac:dyDescent="0.3"/>
    <row r="58629" s="160" customFormat="1" x14ac:dyDescent="0.3"/>
    <row r="58630" s="160" customFormat="1" x14ac:dyDescent="0.3"/>
    <row r="58631" s="160" customFormat="1" x14ac:dyDescent="0.3"/>
    <row r="58632" s="160" customFormat="1" x14ac:dyDescent="0.3"/>
    <row r="58633" s="160" customFormat="1" x14ac:dyDescent="0.3"/>
    <row r="58634" s="160" customFormat="1" x14ac:dyDescent="0.3"/>
    <row r="58635" s="160" customFormat="1" x14ac:dyDescent="0.3"/>
    <row r="58636" s="160" customFormat="1" x14ac:dyDescent="0.3"/>
    <row r="58637" s="160" customFormat="1" x14ac:dyDescent="0.3"/>
    <row r="58638" s="160" customFormat="1" x14ac:dyDescent="0.3"/>
    <row r="58639" s="160" customFormat="1" x14ac:dyDescent="0.3"/>
    <row r="58640" s="160" customFormat="1" x14ac:dyDescent="0.3"/>
    <row r="58641" s="160" customFormat="1" x14ac:dyDescent="0.3"/>
    <row r="58642" s="160" customFormat="1" x14ac:dyDescent="0.3"/>
    <row r="58643" s="160" customFormat="1" x14ac:dyDescent="0.3"/>
    <row r="58644" s="160" customFormat="1" x14ac:dyDescent="0.3"/>
    <row r="58645" s="160" customFormat="1" x14ac:dyDescent="0.3"/>
    <row r="58646" s="160" customFormat="1" x14ac:dyDescent="0.3"/>
    <row r="58647" s="160" customFormat="1" x14ac:dyDescent="0.3"/>
    <row r="58648" s="160" customFormat="1" x14ac:dyDescent="0.3"/>
    <row r="58649" s="160" customFormat="1" x14ac:dyDescent="0.3"/>
    <row r="58650" s="160" customFormat="1" x14ac:dyDescent="0.3"/>
    <row r="58651" s="160" customFormat="1" x14ac:dyDescent="0.3"/>
    <row r="58652" s="160" customFormat="1" x14ac:dyDescent="0.3"/>
    <row r="58653" s="160" customFormat="1" x14ac:dyDescent="0.3"/>
    <row r="58654" s="160" customFormat="1" x14ac:dyDescent="0.3"/>
    <row r="58655" s="160" customFormat="1" x14ac:dyDescent="0.3"/>
    <row r="58656" s="160" customFormat="1" x14ac:dyDescent="0.3"/>
    <row r="58657" s="160" customFormat="1" x14ac:dyDescent="0.3"/>
    <row r="58658" s="160" customFormat="1" x14ac:dyDescent="0.3"/>
    <row r="58659" s="160" customFormat="1" x14ac:dyDescent="0.3"/>
    <row r="58660" s="160" customFormat="1" x14ac:dyDescent="0.3"/>
    <row r="58661" s="160" customFormat="1" x14ac:dyDescent="0.3"/>
    <row r="58662" s="160" customFormat="1" x14ac:dyDescent="0.3"/>
    <row r="58663" s="160" customFormat="1" x14ac:dyDescent="0.3"/>
    <row r="58664" s="160" customFormat="1" x14ac:dyDescent="0.3"/>
    <row r="58665" s="160" customFormat="1" x14ac:dyDescent="0.3"/>
    <row r="58666" s="160" customFormat="1" x14ac:dyDescent="0.3"/>
    <row r="58667" s="160" customFormat="1" x14ac:dyDescent="0.3"/>
    <row r="58668" s="160" customFormat="1" x14ac:dyDescent="0.3"/>
    <row r="58669" s="160" customFormat="1" x14ac:dyDescent="0.3"/>
    <row r="58670" s="160" customFormat="1" x14ac:dyDescent="0.3"/>
    <row r="58671" s="160" customFormat="1" x14ac:dyDescent="0.3"/>
    <row r="58672" s="160" customFormat="1" x14ac:dyDescent="0.3"/>
    <row r="58673" s="160" customFormat="1" x14ac:dyDescent="0.3"/>
    <row r="58674" s="160" customFormat="1" x14ac:dyDescent="0.3"/>
    <row r="58675" s="160" customFormat="1" x14ac:dyDescent="0.3"/>
    <row r="58676" s="160" customFormat="1" x14ac:dyDescent="0.3"/>
    <row r="58677" s="160" customFormat="1" x14ac:dyDescent="0.3"/>
    <row r="58678" s="160" customFormat="1" x14ac:dyDescent="0.3"/>
    <row r="58679" s="160" customFormat="1" x14ac:dyDescent="0.3"/>
    <row r="58680" s="160" customFormat="1" x14ac:dyDescent="0.3"/>
    <row r="58681" s="160" customFormat="1" x14ac:dyDescent="0.3"/>
    <row r="58682" s="160" customFormat="1" x14ac:dyDescent="0.3"/>
    <row r="58683" s="160" customFormat="1" x14ac:dyDescent="0.3"/>
    <row r="58684" s="160" customFormat="1" x14ac:dyDescent="0.3"/>
    <row r="58685" s="160" customFormat="1" x14ac:dyDescent="0.3"/>
    <row r="58686" s="160" customFormat="1" x14ac:dyDescent="0.3"/>
    <row r="58687" s="160" customFormat="1" x14ac:dyDescent="0.3"/>
    <row r="58688" s="160" customFormat="1" x14ac:dyDescent="0.3"/>
    <row r="58689" s="160" customFormat="1" x14ac:dyDescent="0.3"/>
    <row r="58690" s="160" customFormat="1" x14ac:dyDescent="0.3"/>
    <row r="58691" s="160" customFormat="1" x14ac:dyDescent="0.3"/>
    <row r="58692" s="160" customFormat="1" x14ac:dyDescent="0.3"/>
    <row r="58693" s="160" customFormat="1" x14ac:dyDescent="0.3"/>
    <row r="58694" s="160" customFormat="1" x14ac:dyDescent="0.3"/>
    <row r="58695" s="160" customFormat="1" x14ac:dyDescent="0.3"/>
    <row r="58696" s="160" customFormat="1" x14ac:dyDescent="0.3"/>
    <row r="58697" s="160" customFormat="1" x14ac:dyDescent="0.3"/>
    <row r="58698" s="160" customFormat="1" x14ac:dyDescent="0.3"/>
    <row r="58699" s="160" customFormat="1" x14ac:dyDescent="0.3"/>
    <row r="58700" s="160" customFormat="1" x14ac:dyDescent="0.3"/>
    <row r="58701" s="160" customFormat="1" x14ac:dyDescent="0.3"/>
    <row r="58702" s="160" customFormat="1" x14ac:dyDescent="0.3"/>
    <row r="58703" s="160" customFormat="1" x14ac:dyDescent="0.3"/>
    <row r="58704" s="160" customFormat="1" x14ac:dyDescent="0.3"/>
    <row r="58705" s="160" customFormat="1" x14ac:dyDescent="0.3"/>
    <row r="58706" s="160" customFormat="1" x14ac:dyDescent="0.3"/>
    <row r="58707" s="160" customFormat="1" x14ac:dyDescent="0.3"/>
    <row r="58708" s="160" customFormat="1" x14ac:dyDescent="0.3"/>
    <row r="58709" s="160" customFormat="1" x14ac:dyDescent="0.3"/>
    <row r="58710" s="160" customFormat="1" x14ac:dyDescent="0.3"/>
    <row r="58711" s="160" customFormat="1" x14ac:dyDescent="0.3"/>
    <row r="58712" s="160" customFormat="1" x14ac:dyDescent="0.3"/>
    <row r="58713" s="160" customFormat="1" x14ac:dyDescent="0.3"/>
    <row r="58714" s="160" customFormat="1" x14ac:dyDescent="0.3"/>
    <row r="58715" s="160" customFormat="1" x14ac:dyDescent="0.3"/>
    <row r="58716" s="160" customFormat="1" x14ac:dyDescent="0.3"/>
    <row r="58717" s="160" customFormat="1" x14ac:dyDescent="0.3"/>
    <row r="58718" s="160" customFormat="1" x14ac:dyDescent="0.3"/>
    <row r="58719" s="160" customFormat="1" x14ac:dyDescent="0.3"/>
    <row r="58720" s="160" customFormat="1" x14ac:dyDescent="0.3"/>
    <row r="58721" s="160" customFormat="1" x14ac:dyDescent="0.3"/>
    <row r="58722" s="160" customFormat="1" x14ac:dyDescent="0.3"/>
    <row r="58723" s="160" customFormat="1" x14ac:dyDescent="0.3"/>
    <row r="58724" s="160" customFormat="1" x14ac:dyDescent="0.3"/>
    <row r="58725" s="160" customFormat="1" x14ac:dyDescent="0.3"/>
    <row r="58726" s="160" customFormat="1" x14ac:dyDescent="0.3"/>
    <row r="58727" s="160" customFormat="1" x14ac:dyDescent="0.3"/>
    <row r="58728" s="160" customFormat="1" x14ac:dyDescent="0.3"/>
    <row r="58729" s="160" customFormat="1" x14ac:dyDescent="0.3"/>
    <row r="58730" s="160" customFormat="1" x14ac:dyDescent="0.3"/>
    <row r="58731" s="160" customFormat="1" x14ac:dyDescent="0.3"/>
    <row r="58732" s="160" customFormat="1" x14ac:dyDescent="0.3"/>
    <row r="58733" s="160" customFormat="1" x14ac:dyDescent="0.3"/>
    <row r="58734" s="160" customFormat="1" x14ac:dyDescent="0.3"/>
    <row r="58735" s="160" customFormat="1" x14ac:dyDescent="0.3"/>
    <row r="58736" s="160" customFormat="1" x14ac:dyDescent="0.3"/>
    <row r="58737" s="160" customFormat="1" x14ac:dyDescent="0.3"/>
    <row r="58738" s="160" customFormat="1" x14ac:dyDescent="0.3"/>
    <row r="58739" s="160" customFormat="1" x14ac:dyDescent="0.3"/>
    <row r="58740" s="160" customFormat="1" x14ac:dyDescent="0.3"/>
    <row r="58741" s="160" customFormat="1" x14ac:dyDescent="0.3"/>
    <row r="58742" s="160" customFormat="1" x14ac:dyDescent="0.3"/>
    <row r="58743" s="160" customFormat="1" x14ac:dyDescent="0.3"/>
    <row r="58744" s="160" customFormat="1" x14ac:dyDescent="0.3"/>
    <row r="58745" s="160" customFormat="1" x14ac:dyDescent="0.3"/>
    <row r="58746" s="160" customFormat="1" x14ac:dyDescent="0.3"/>
    <row r="58747" s="160" customFormat="1" x14ac:dyDescent="0.3"/>
    <row r="58748" s="160" customFormat="1" x14ac:dyDescent="0.3"/>
    <row r="58749" s="160" customFormat="1" x14ac:dyDescent="0.3"/>
    <row r="58750" s="160" customFormat="1" x14ac:dyDescent="0.3"/>
    <row r="58751" s="160" customFormat="1" x14ac:dyDescent="0.3"/>
    <row r="58752" s="160" customFormat="1" x14ac:dyDescent="0.3"/>
    <row r="58753" s="160" customFormat="1" x14ac:dyDescent="0.3"/>
    <row r="58754" s="160" customFormat="1" x14ac:dyDescent="0.3"/>
    <row r="58755" s="160" customFormat="1" x14ac:dyDescent="0.3"/>
    <row r="58756" s="160" customFormat="1" x14ac:dyDescent="0.3"/>
    <row r="58757" s="160" customFormat="1" x14ac:dyDescent="0.3"/>
    <row r="58758" s="160" customFormat="1" x14ac:dyDescent="0.3"/>
    <row r="58759" s="160" customFormat="1" x14ac:dyDescent="0.3"/>
    <row r="58760" s="160" customFormat="1" x14ac:dyDescent="0.3"/>
    <row r="58761" s="160" customFormat="1" x14ac:dyDescent="0.3"/>
    <row r="58762" s="160" customFormat="1" x14ac:dyDescent="0.3"/>
    <row r="58763" s="160" customFormat="1" x14ac:dyDescent="0.3"/>
    <row r="58764" s="160" customFormat="1" x14ac:dyDescent="0.3"/>
    <row r="58765" s="160" customFormat="1" x14ac:dyDescent="0.3"/>
    <row r="58766" s="160" customFormat="1" x14ac:dyDescent="0.3"/>
    <row r="58767" s="160" customFormat="1" x14ac:dyDescent="0.3"/>
    <row r="58768" s="160" customFormat="1" x14ac:dyDescent="0.3"/>
    <row r="58769" s="160" customFormat="1" x14ac:dyDescent="0.3"/>
    <row r="58770" s="160" customFormat="1" x14ac:dyDescent="0.3"/>
    <row r="58771" s="160" customFormat="1" x14ac:dyDescent="0.3"/>
    <row r="58772" s="160" customFormat="1" x14ac:dyDescent="0.3"/>
    <row r="58773" s="160" customFormat="1" x14ac:dyDescent="0.3"/>
    <row r="58774" s="160" customFormat="1" x14ac:dyDescent="0.3"/>
    <row r="58775" s="160" customFormat="1" x14ac:dyDescent="0.3"/>
    <row r="58776" s="160" customFormat="1" x14ac:dyDescent="0.3"/>
    <row r="58777" s="160" customFormat="1" x14ac:dyDescent="0.3"/>
    <row r="58778" s="160" customFormat="1" x14ac:dyDescent="0.3"/>
    <row r="58779" s="160" customFormat="1" x14ac:dyDescent="0.3"/>
    <row r="58780" s="160" customFormat="1" x14ac:dyDescent="0.3"/>
    <row r="58781" s="160" customFormat="1" x14ac:dyDescent="0.3"/>
    <row r="58782" s="160" customFormat="1" x14ac:dyDescent="0.3"/>
    <row r="58783" s="160" customFormat="1" x14ac:dyDescent="0.3"/>
    <row r="58784" s="160" customFormat="1" x14ac:dyDescent="0.3"/>
    <row r="58785" s="160" customFormat="1" x14ac:dyDescent="0.3"/>
    <row r="58786" s="160" customFormat="1" x14ac:dyDescent="0.3"/>
    <row r="58787" s="160" customFormat="1" x14ac:dyDescent="0.3"/>
    <row r="58788" s="160" customFormat="1" x14ac:dyDescent="0.3"/>
    <row r="58789" s="160" customFormat="1" x14ac:dyDescent="0.3"/>
    <row r="58790" s="160" customFormat="1" x14ac:dyDescent="0.3"/>
    <row r="58791" s="160" customFormat="1" x14ac:dyDescent="0.3"/>
    <row r="58792" s="160" customFormat="1" x14ac:dyDescent="0.3"/>
    <row r="58793" s="160" customFormat="1" x14ac:dyDescent="0.3"/>
    <row r="58794" s="160" customFormat="1" x14ac:dyDescent="0.3"/>
    <row r="58795" s="160" customFormat="1" x14ac:dyDescent="0.3"/>
    <row r="58796" s="160" customFormat="1" x14ac:dyDescent="0.3"/>
    <row r="58797" s="160" customFormat="1" x14ac:dyDescent="0.3"/>
    <row r="58798" s="160" customFormat="1" x14ac:dyDescent="0.3"/>
    <row r="58799" s="160" customFormat="1" x14ac:dyDescent="0.3"/>
    <row r="58800" s="160" customFormat="1" x14ac:dyDescent="0.3"/>
    <row r="58801" s="160" customFormat="1" x14ac:dyDescent="0.3"/>
    <row r="58802" s="160" customFormat="1" x14ac:dyDescent="0.3"/>
    <row r="58803" s="160" customFormat="1" x14ac:dyDescent="0.3"/>
    <row r="58804" s="160" customFormat="1" x14ac:dyDescent="0.3"/>
    <row r="58805" s="160" customFormat="1" x14ac:dyDescent="0.3"/>
    <row r="58806" s="160" customFormat="1" x14ac:dyDescent="0.3"/>
    <row r="58807" s="160" customFormat="1" x14ac:dyDescent="0.3"/>
    <row r="58808" s="160" customFormat="1" x14ac:dyDescent="0.3"/>
    <row r="58809" s="160" customFormat="1" x14ac:dyDescent="0.3"/>
    <row r="58810" s="160" customFormat="1" x14ac:dyDescent="0.3"/>
    <row r="58811" s="160" customFormat="1" x14ac:dyDescent="0.3"/>
    <row r="58812" s="160" customFormat="1" x14ac:dyDescent="0.3"/>
    <row r="58813" s="160" customFormat="1" x14ac:dyDescent="0.3"/>
    <row r="58814" s="160" customFormat="1" x14ac:dyDescent="0.3"/>
    <row r="58815" s="160" customFormat="1" x14ac:dyDescent="0.3"/>
    <row r="58816" s="160" customFormat="1" x14ac:dyDescent="0.3"/>
    <row r="58817" s="160" customFormat="1" x14ac:dyDescent="0.3"/>
    <row r="58818" s="160" customFormat="1" x14ac:dyDescent="0.3"/>
    <row r="58819" s="160" customFormat="1" x14ac:dyDescent="0.3"/>
    <row r="58820" s="160" customFormat="1" x14ac:dyDescent="0.3"/>
    <row r="58821" s="160" customFormat="1" x14ac:dyDescent="0.3"/>
    <row r="58822" s="160" customFormat="1" x14ac:dyDescent="0.3"/>
    <row r="58823" s="160" customFormat="1" x14ac:dyDescent="0.3"/>
    <row r="58824" s="160" customFormat="1" x14ac:dyDescent="0.3"/>
    <row r="58825" s="160" customFormat="1" x14ac:dyDescent="0.3"/>
    <row r="58826" s="160" customFormat="1" x14ac:dyDescent="0.3"/>
    <row r="58827" s="160" customFormat="1" x14ac:dyDescent="0.3"/>
    <row r="58828" s="160" customFormat="1" x14ac:dyDescent="0.3"/>
    <row r="58829" s="160" customFormat="1" x14ac:dyDescent="0.3"/>
    <row r="58830" s="160" customFormat="1" x14ac:dyDescent="0.3"/>
    <row r="58831" s="160" customFormat="1" x14ac:dyDescent="0.3"/>
    <row r="58832" s="160" customFormat="1" x14ac:dyDescent="0.3"/>
    <row r="58833" s="160" customFormat="1" x14ac:dyDescent="0.3"/>
    <row r="58834" s="160" customFormat="1" x14ac:dyDescent="0.3"/>
    <row r="58835" s="160" customFormat="1" x14ac:dyDescent="0.3"/>
    <row r="58836" s="160" customFormat="1" x14ac:dyDescent="0.3"/>
    <row r="58837" s="160" customFormat="1" x14ac:dyDescent="0.3"/>
    <row r="58838" s="160" customFormat="1" x14ac:dyDescent="0.3"/>
    <row r="58839" s="160" customFormat="1" x14ac:dyDescent="0.3"/>
    <row r="58840" s="160" customFormat="1" x14ac:dyDescent="0.3"/>
    <row r="58841" s="160" customFormat="1" x14ac:dyDescent="0.3"/>
    <row r="58842" s="160" customFormat="1" x14ac:dyDescent="0.3"/>
    <row r="58843" s="160" customFormat="1" x14ac:dyDescent="0.3"/>
    <row r="58844" s="160" customFormat="1" x14ac:dyDescent="0.3"/>
    <row r="58845" s="160" customFormat="1" x14ac:dyDescent="0.3"/>
    <row r="58846" s="160" customFormat="1" x14ac:dyDescent="0.3"/>
    <row r="58847" s="160" customFormat="1" x14ac:dyDescent="0.3"/>
    <row r="58848" s="160" customFormat="1" x14ac:dyDescent="0.3"/>
    <row r="58849" s="160" customFormat="1" x14ac:dyDescent="0.3"/>
    <row r="58850" s="160" customFormat="1" x14ac:dyDescent="0.3"/>
    <row r="58851" s="160" customFormat="1" x14ac:dyDescent="0.3"/>
    <row r="58852" s="160" customFormat="1" x14ac:dyDescent="0.3"/>
    <row r="58853" s="160" customFormat="1" x14ac:dyDescent="0.3"/>
    <row r="58854" s="160" customFormat="1" x14ac:dyDescent="0.3"/>
    <row r="58855" s="160" customFormat="1" x14ac:dyDescent="0.3"/>
    <row r="58856" s="160" customFormat="1" x14ac:dyDescent="0.3"/>
    <row r="58857" s="160" customFormat="1" x14ac:dyDescent="0.3"/>
    <row r="58858" s="160" customFormat="1" x14ac:dyDescent="0.3"/>
    <row r="58859" s="160" customFormat="1" x14ac:dyDescent="0.3"/>
    <row r="58860" s="160" customFormat="1" x14ac:dyDescent="0.3"/>
    <row r="58861" s="160" customFormat="1" x14ac:dyDescent="0.3"/>
    <row r="58862" s="160" customFormat="1" x14ac:dyDescent="0.3"/>
    <row r="58863" s="160" customFormat="1" x14ac:dyDescent="0.3"/>
    <row r="58864" s="160" customFormat="1" x14ac:dyDescent="0.3"/>
    <row r="58865" s="160" customFormat="1" x14ac:dyDescent="0.3"/>
    <row r="58866" s="160" customFormat="1" x14ac:dyDescent="0.3"/>
    <row r="58867" s="160" customFormat="1" x14ac:dyDescent="0.3"/>
    <row r="58868" s="160" customFormat="1" x14ac:dyDescent="0.3"/>
    <row r="58869" s="160" customFormat="1" x14ac:dyDescent="0.3"/>
    <row r="58870" s="160" customFormat="1" x14ac:dyDescent="0.3"/>
    <row r="58871" s="160" customFormat="1" x14ac:dyDescent="0.3"/>
    <row r="58872" s="160" customFormat="1" x14ac:dyDescent="0.3"/>
    <row r="58873" s="160" customFormat="1" x14ac:dyDescent="0.3"/>
    <row r="58874" s="160" customFormat="1" x14ac:dyDescent="0.3"/>
    <row r="58875" s="160" customFormat="1" x14ac:dyDescent="0.3"/>
    <row r="58876" s="160" customFormat="1" x14ac:dyDescent="0.3"/>
    <row r="58877" s="160" customFormat="1" x14ac:dyDescent="0.3"/>
    <row r="58878" s="160" customFormat="1" x14ac:dyDescent="0.3"/>
    <row r="58879" s="160" customFormat="1" x14ac:dyDescent="0.3"/>
    <row r="58880" s="160" customFormat="1" x14ac:dyDescent="0.3"/>
    <row r="58881" s="160" customFormat="1" x14ac:dyDescent="0.3"/>
    <row r="58882" s="160" customFormat="1" x14ac:dyDescent="0.3"/>
    <row r="58883" s="160" customFormat="1" x14ac:dyDescent="0.3"/>
    <row r="58884" s="160" customFormat="1" x14ac:dyDescent="0.3"/>
    <row r="58885" s="160" customFormat="1" x14ac:dyDescent="0.3"/>
    <row r="58886" s="160" customFormat="1" x14ac:dyDescent="0.3"/>
    <row r="58887" s="160" customFormat="1" x14ac:dyDescent="0.3"/>
    <row r="58888" s="160" customFormat="1" x14ac:dyDescent="0.3"/>
    <row r="58889" s="160" customFormat="1" x14ac:dyDescent="0.3"/>
    <row r="58890" s="160" customFormat="1" x14ac:dyDescent="0.3"/>
    <row r="58891" s="160" customFormat="1" x14ac:dyDescent="0.3"/>
    <row r="58892" s="160" customFormat="1" x14ac:dyDescent="0.3"/>
    <row r="58893" s="160" customFormat="1" x14ac:dyDescent="0.3"/>
    <row r="58894" s="160" customFormat="1" x14ac:dyDescent="0.3"/>
    <row r="58895" s="160" customFormat="1" x14ac:dyDescent="0.3"/>
    <row r="58896" s="160" customFormat="1" x14ac:dyDescent="0.3"/>
    <row r="58897" s="160" customFormat="1" x14ac:dyDescent="0.3"/>
    <row r="58898" s="160" customFormat="1" x14ac:dyDescent="0.3"/>
    <row r="58899" s="160" customFormat="1" x14ac:dyDescent="0.3"/>
    <row r="58900" s="160" customFormat="1" x14ac:dyDescent="0.3"/>
    <row r="58901" s="160" customFormat="1" x14ac:dyDescent="0.3"/>
    <row r="58902" s="160" customFormat="1" x14ac:dyDescent="0.3"/>
    <row r="58903" s="160" customFormat="1" x14ac:dyDescent="0.3"/>
    <row r="58904" s="160" customFormat="1" x14ac:dyDescent="0.3"/>
    <row r="58905" s="160" customFormat="1" x14ac:dyDescent="0.3"/>
    <row r="58906" s="160" customFormat="1" x14ac:dyDescent="0.3"/>
    <row r="58907" s="160" customFormat="1" x14ac:dyDescent="0.3"/>
    <row r="58908" s="160" customFormat="1" x14ac:dyDescent="0.3"/>
    <row r="58909" s="160" customFormat="1" x14ac:dyDescent="0.3"/>
    <row r="58910" s="160" customFormat="1" x14ac:dyDescent="0.3"/>
    <row r="58911" s="160" customFormat="1" x14ac:dyDescent="0.3"/>
    <row r="58912" s="160" customFormat="1" x14ac:dyDescent="0.3"/>
    <row r="58913" s="160" customFormat="1" x14ac:dyDescent="0.3"/>
    <row r="58914" s="160" customFormat="1" x14ac:dyDescent="0.3"/>
    <row r="58915" s="160" customFormat="1" x14ac:dyDescent="0.3"/>
    <row r="58916" s="160" customFormat="1" x14ac:dyDescent="0.3"/>
    <row r="58917" s="160" customFormat="1" x14ac:dyDescent="0.3"/>
    <row r="58918" s="160" customFormat="1" x14ac:dyDescent="0.3"/>
    <row r="58919" s="160" customFormat="1" x14ac:dyDescent="0.3"/>
    <row r="58920" s="160" customFormat="1" x14ac:dyDescent="0.3"/>
    <row r="58921" s="160" customFormat="1" x14ac:dyDescent="0.3"/>
    <row r="58922" s="160" customFormat="1" x14ac:dyDescent="0.3"/>
    <row r="58923" s="160" customFormat="1" x14ac:dyDescent="0.3"/>
    <row r="58924" s="160" customFormat="1" x14ac:dyDescent="0.3"/>
    <row r="58925" s="160" customFormat="1" x14ac:dyDescent="0.3"/>
    <row r="58926" s="160" customFormat="1" x14ac:dyDescent="0.3"/>
    <row r="58927" s="160" customFormat="1" x14ac:dyDescent="0.3"/>
    <row r="58928" s="160" customFormat="1" x14ac:dyDescent="0.3"/>
    <row r="58929" s="160" customFormat="1" x14ac:dyDescent="0.3"/>
    <row r="58930" s="160" customFormat="1" x14ac:dyDescent="0.3"/>
    <row r="58931" s="160" customFormat="1" x14ac:dyDescent="0.3"/>
    <row r="58932" s="160" customFormat="1" x14ac:dyDescent="0.3"/>
    <row r="58933" s="160" customFormat="1" x14ac:dyDescent="0.3"/>
    <row r="58934" s="160" customFormat="1" x14ac:dyDescent="0.3"/>
    <row r="58935" s="160" customFormat="1" x14ac:dyDescent="0.3"/>
    <row r="58936" s="160" customFormat="1" x14ac:dyDescent="0.3"/>
    <row r="58937" s="160" customFormat="1" x14ac:dyDescent="0.3"/>
    <row r="58938" s="160" customFormat="1" x14ac:dyDescent="0.3"/>
    <row r="58939" s="160" customFormat="1" x14ac:dyDescent="0.3"/>
    <row r="58940" s="160" customFormat="1" x14ac:dyDescent="0.3"/>
    <row r="58941" s="160" customFormat="1" x14ac:dyDescent="0.3"/>
    <row r="58942" s="160" customFormat="1" x14ac:dyDescent="0.3"/>
    <row r="58943" s="160" customFormat="1" x14ac:dyDescent="0.3"/>
    <row r="58944" s="160" customFormat="1" x14ac:dyDescent="0.3"/>
    <row r="58945" s="160" customFormat="1" x14ac:dyDescent="0.3"/>
    <row r="58946" s="160" customFormat="1" x14ac:dyDescent="0.3"/>
    <row r="58947" s="160" customFormat="1" x14ac:dyDescent="0.3"/>
    <row r="58948" s="160" customFormat="1" x14ac:dyDescent="0.3"/>
    <row r="58949" s="160" customFormat="1" x14ac:dyDescent="0.3"/>
    <row r="58950" s="160" customFormat="1" x14ac:dyDescent="0.3"/>
    <row r="58951" s="160" customFormat="1" x14ac:dyDescent="0.3"/>
    <row r="58952" s="160" customFormat="1" x14ac:dyDescent="0.3"/>
    <row r="58953" s="160" customFormat="1" x14ac:dyDescent="0.3"/>
    <row r="58954" s="160" customFormat="1" x14ac:dyDescent="0.3"/>
    <row r="58955" s="160" customFormat="1" x14ac:dyDescent="0.3"/>
    <row r="58956" s="160" customFormat="1" x14ac:dyDescent="0.3"/>
    <row r="58957" s="160" customFormat="1" x14ac:dyDescent="0.3"/>
    <row r="58958" s="160" customFormat="1" x14ac:dyDescent="0.3"/>
    <row r="58959" s="160" customFormat="1" x14ac:dyDescent="0.3"/>
    <row r="58960" s="160" customFormat="1" x14ac:dyDescent="0.3"/>
    <row r="58961" s="160" customFormat="1" x14ac:dyDescent="0.3"/>
    <row r="58962" s="160" customFormat="1" x14ac:dyDescent="0.3"/>
    <row r="58963" s="160" customFormat="1" x14ac:dyDescent="0.3"/>
    <row r="58964" s="160" customFormat="1" x14ac:dyDescent="0.3"/>
    <row r="58965" s="160" customFormat="1" x14ac:dyDescent="0.3"/>
    <row r="58966" s="160" customFormat="1" x14ac:dyDescent="0.3"/>
    <row r="58967" s="160" customFormat="1" x14ac:dyDescent="0.3"/>
    <row r="58968" s="160" customFormat="1" x14ac:dyDescent="0.3"/>
    <row r="58969" s="160" customFormat="1" x14ac:dyDescent="0.3"/>
    <row r="58970" s="160" customFormat="1" x14ac:dyDescent="0.3"/>
    <row r="58971" s="160" customFormat="1" x14ac:dyDescent="0.3"/>
    <row r="58972" s="160" customFormat="1" x14ac:dyDescent="0.3"/>
    <row r="58973" s="160" customFormat="1" x14ac:dyDescent="0.3"/>
    <row r="58974" s="160" customFormat="1" x14ac:dyDescent="0.3"/>
    <row r="58975" s="160" customFormat="1" x14ac:dyDescent="0.3"/>
    <row r="58976" s="160" customFormat="1" x14ac:dyDescent="0.3"/>
    <row r="58977" s="160" customFormat="1" x14ac:dyDescent="0.3"/>
    <row r="58978" s="160" customFormat="1" x14ac:dyDescent="0.3"/>
    <row r="58979" s="160" customFormat="1" x14ac:dyDescent="0.3"/>
    <row r="58980" s="160" customFormat="1" x14ac:dyDescent="0.3"/>
    <row r="58981" s="160" customFormat="1" x14ac:dyDescent="0.3"/>
    <row r="58982" s="160" customFormat="1" x14ac:dyDescent="0.3"/>
    <row r="58983" s="160" customFormat="1" x14ac:dyDescent="0.3"/>
    <row r="58984" s="160" customFormat="1" x14ac:dyDescent="0.3"/>
    <row r="58985" s="160" customFormat="1" x14ac:dyDescent="0.3"/>
    <row r="58986" s="160" customFormat="1" x14ac:dyDescent="0.3"/>
    <row r="58987" s="160" customFormat="1" x14ac:dyDescent="0.3"/>
    <row r="58988" s="160" customFormat="1" x14ac:dyDescent="0.3"/>
    <row r="58989" s="160" customFormat="1" x14ac:dyDescent="0.3"/>
    <row r="58990" s="160" customFormat="1" x14ac:dyDescent="0.3"/>
    <row r="58991" s="160" customFormat="1" x14ac:dyDescent="0.3"/>
    <row r="58992" s="160" customFormat="1" x14ac:dyDescent="0.3"/>
    <row r="58993" s="160" customFormat="1" x14ac:dyDescent="0.3"/>
    <row r="58994" s="160" customFormat="1" x14ac:dyDescent="0.3"/>
    <row r="58995" s="160" customFormat="1" x14ac:dyDescent="0.3"/>
    <row r="58996" s="160" customFormat="1" x14ac:dyDescent="0.3"/>
    <row r="58997" s="160" customFormat="1" x14ac:dyDescent="0.3"/>
    <row r="58998" s="160" customFormat="1" x14ac:dyDescent="0.3"/>
    <row r="58999" s="160" customFormat="1" x14ac:dyDescent="0.3"/>
    <row r="59000" s="160" customFormat="1" x14ac:dyDescent="0.3"/>
    <row r="59001" s="160" customFormat="1" x14ac:dyDescent="0.3"/>
    <row r="59002" s="160" customFormat="1" x14ac:dyDescent="0.3"/>
    <row r="59003" s="160" customFormat="1" x14ac:dyDescent="0.3"/>
    <row r="59004" s="160" customFormat="1" x14ac:dyDescent="0.3"/>
    <row r="59005" s="160" customFormat="1" x14ac:dyDescent="0.3"/>
    <row r="59006" s="160" customFormat="1" x14ac:dyDescent="0.3"/>
    <row r="59007" s="160" customFormat="1" x14ac:dyDescent="0.3"/>
    <row r="59008" s="160" customFormat="1" x14ac:dyDescent="0.3"/>
    <row r="59009" s="160" customFormat="1" x14ac:dyDescent="0.3"/>
    <row r="59010" s="160" customFormat="1" x14ac:dyDescent="0.3"/>
    <row r="59011" s="160" customFormat="1" x14ac:dyDescent="0.3"/>
    <row r="59012" s="160" customFormat="1" x14ac:dyDescent="0.3"/>
    <row r="59013" s="160" customFormat="1" x14ac:dyDescent="0.3"/>
    <row r="59014" s="160" customFormat="1" x14ac:dyDescent="0.3"/>
    <row r="59015" s="160" customFormat="1" x14ac:dyDescent="0.3"/>
    <row r="59016" s="160" customFormat="1" x14ac:dyDescent="0.3"/>
    <row r="59017" s="160" customFormat="1" x14ac:dyDescent="0.3"/>
    <row r="59018" s="160" customFormat="1" x14ac:dyDescent="0.3"/>
    <row r="59019" s="160" customFormat="1" x14ac:dyDescent="0.3"/>
    <row r="59020" s="160" customFormat="1" x14ac:dyDescent="0.3"/>
    <row r="59021" s="160" customFormat="1" x14ac:dyDescent="0.3"/>
    <row r="59022" s="160" customFormat="1" x14ac:dyDescent="0.3"/>
    <row r="59023" s="160" customFormat="1" x14ac:dyDescent="0.3"/>
    <row r="59024" s="160" customFormat="1" x14ac:dyDescent="0.3"/>
    <row r="59025" s="160" customFormat="1" x14ac:dyDescent="0.3"/>
    <row r="59026" s="160" customFormat="1" x14ac:dyDescent="0.3"/>
    <row r="59027" s="160" customFormat="1" x14ac:dyDescent="0.3"/>
    <row r="59028" s="160" customFormat="1" x14ac:dyDescent="0.3"/>
    <row r="59029" s="160" customFormat="1" x14ac:dyDescent="0.3"/>
    <row r="59030" s="160" customFormat="1" x14ac:dyDescent="0.3"/>
    <row r="59031" s="160" customFormat="1" x14ac:dyDescent="0.3"/>
    <row r="59032" s="160" customFormat="1" x14ac:dyDescent="0.3"/>
    <row r="59033" s="160" customFormat="1" x14ac:dyDescent="0.3"/>
    <row r="59034" s="160" customFormat="1" x14ac:dyDescent="0.3"/>
    <row r="59035" s="160" customFormat="1" x14ac:dyDescent="0.3"/>
    <row r="59036" s="160" customFormat="1" x14ac:dyDescent="0.3"/>
    <row r="59037" s="160" customFormat="1" x14ac:dyDescent="0.3"/>
    <row r="59038" s="160" customFormat="1" x14ac:dyDescent="0.3"/>
    <row r="59039" s="160" customFormat="1" x14ac:dyDescent="0.3"/>
    <row r="59040" s="160" customFormat="1" x14ac:dyDescent="0.3"/>
    <row r="59041" s="160" customFormat="1" x14ac:dyDescent="0.3"/>
    <row r="59042" s="160" customFormat="1" x14ac:dyDescent="0.3"/>
    <row r="59043" s="160" customFormat="1" x14ac:dyDescent="0.3"/>
    <row r="59044" s="160" customFormat="1" x14ac:dyDescent="0.3"/>
    <row r="59045" s="160" customFormat="1" x14ac:dyDescent="0.3"/>
    <row r="59046" s="160" customFormat="1" x14ac:dyDescent="0.3"/>
    <row r="59047" s="160" customFormat="1" x14ac:dyDescent="0.3"/>
    <row r="59048" s="160" customFormat="1" x14ac:dyDescent="0.3"/>
    <row r="59049" s="160" customFormat="1" x14ac:dyDescent="0.3"/>
    <row r="59050" s="160" customFormat="1" x14ac:dyDescent="0.3"/>
    <row r="59051" s="160" customFormat="1" x14ac:dyDescent="0.3"/>
    <row r="59052" s="160" customFormat="1" x14ac:dyDescent="0.3"/>
    <row r="59053" s="160" customFormat="1" x14ac:dyDescent="0.3"/>
    <row r="59054" s="160" customFormat="1" x14ac:dyDescent="0.3"/>
    <row r="59055" s="160" customFormat="1" x14ac:dyDescent="0.3"/>
    <row r="59056" s="160" customFormat="1" x14ac:dyDescent="0.3"/>
    <row r="59057" s="160" customFormat="1" x14ac:dyDescent="0.3"/>
    <row r="59058" s="160" customFormat="1" x14ac:dyDescent="0.3"/>
    <row r="59059" s="160" customFormat="1" x14ac:dyDescent="0.3"/>
    <row r="59060" s="160" customFormat="1" x14ac:dyDescent="0.3"/>
    <row r="59061" s="160" customFormat="1" x14ac:dyDescent="0.3"/>
    <row r="59062" s="160" customFormat="1" x14ac:dyDescent="0.3"/>
    <row r="59063" s="160" customFormat="1" x14ac:dyDescent="0.3"/>
    <row r="59064" s="160" customFormat="1" x14ac:dyDescent="0.3"/>
    <row r="59065" s="160" customFormat="1" x14ac:dyDescent="0.3"/>
    <row r="59066" s="160" customFormat="1" x14ac:dyDescent="0.3"/>
    <row r="59067" s="160" customFormat="1" x14ac:dyDescent="0.3"/>
    <row r="59068" s="160" customFormat="1" x14ac:dyDescent="0.3"/>
    <row r="59069" s="160" customFormat="1" x14ac:dyDescent="0.3"/>
    <row r="59070" s="160" customFormat="1" x14ac:dyDescent="0.3"/>
    <row r="59071" s="160" customFormat="1" x14ac:dyDescent="0.3"/>
    <row r="59072" s="160" customFormat="1" x14ac:dyDescent="0.3"/>
    <row r="59073" s="160" customFormat="1" x14ac:dyDescent="0.3"/>
    <row r="59074" s="160" customFormat="1" x14ac:dyDescent="0.3"/>
    <row r="59075" s="160" customFormat="1" x14ac:dyDescent="0.3"/>
    <row r="59076" s="160" customFormat="1" x14ac:dyDescent="0.3"/>
    <row r="59077" s="160" customFormat="1" x14ac:dyDescent="0.3"/>
    <row r="59078" s="160" customFormat="1" x14ac:dyDescent="0.3"/>
    <row r="59079" s="160" customFormat="1" x14ac:dyDescent="0.3"/>
    <row r="59080" s="160" customFormat="1" x14ac:dyDescent="0.3"/>
    <row r="59081" s="160" customFormat="1" x14ac:dyDescent="0.3"/>
    <row r="59082" s="160" customFormat="1" x14ac:dyDescent="0.3"/>
    <row r="59083" s="160" customFormat="1" x14ac:dyDescent="0.3"/>
    <row r="59084" s="160" customFormat="1" x14ac:dyDescent="0.3"/>
    <row r="59085" s="160" customFormat="1" x14ac:dyDescent="0.3"/>
    <row r="59086" s="160" customFormat="1" x14ac:dyDescent="0.3"/>
    <row r="59087" s="160" customFormat="1" x14ac:dyDescent="0.3"/>
    <row r="59088" s="160" customFormat="1" x14ac:dyDescent="0.3"/>
    <row r="59089" s="160" customFormat="1" x14ac:dyDescent="0.3"/>
    <row r="59090" s="160" customFormat="1" x14ac:dyDescent="0.3"/>
    <row r="59091" s="160" customFormat="1" x14ac:dyDescent="0.3"/>
    <row r="59092" s="160" customFormat="1" x14ac:dyDescent="0.3"/>
    <row r="59093" s="160" customFormat="1" x14ac:dyDescent="0.3"/>
    <row r="59094" s="160" customFormat="1" x14ac:dyDescent="0.3"/>
    <row r="59095" s="160" customFormat="1" x14ac:dyDescent="0.3"/>
    <row r="59096" s="160" customFormat="1" x14ac:dyDescent="0.3"/>
    <row r="59097" s="160" customFormat="1" x14ac:dyDescent="0.3"/>
    <row r="59098" s="160" customFormat="1" x14ac:dyDescent="0.3"/>
    <row r="59099" s="160" customFormat="1" x14ac:dyDescent="0.3"/>
    <row r="59100" s="160" customFormat="1" x14ac:dyDescent="0.3"/>
    <row r="59101" s="160" customFormat="1" x14ac:dyDescent="0.3"/>
    <row r="59102" s="160" customFormat="1" x14ac:dyDescent="0.3"/>
    <row r="59103" s="160" customFormat="1" x14ac:dyDescent="0.3"/>
    <row r="59104" s="160" customFormat="1" x14ac:dyDescent="0.3"/>
    <row r="59105" s="160" customFormat="1" x14ac:dyDescent="0.3"/>
    <row r="59106" s="160" customFormat="1" x14ac:dyDescent="0.3"/>
    <row r="59107" s="160" customFormat="1" x14ac:dyDescent="0.3"/>
    <row r="59108" s="160" customFormat="1" x14ac:dyDescent="0.3"/>
    <row r="59109" s="160" customFormat="1" x14ac:dyDescent="0.3"/>
    <row r="59110" s="160" customFormat="1" x14ac:dyDescent="0.3"/>
    <row r="59111" s="160" customFormat="1" x14ac:dyDescent="0.3"/>
    <row r="59112" s="160" customFormat="1" x14ac:dyDescent="0.3"/>
    <row r="59113" s="160" customFormat="1" x14ac:dyDescent="0.3"/>
    <row r="59114" s="160" customFormat="1" x14ac:dyDescent="0.3"/>
    <row r="59115" s="160" customFormat="1" x14ac:dyDescent="0.3"/>
    <row r="59116" s="160" customFormat="1" x14ac:dyDescent="0.3"/>
    <row r="59117" s="160" customFormat="1" x14ac:dyDescent="0.3"/>
    <row r="59118" s="160" customFormat="1" x14ac:dyDescent="0.3"/>
    <row r="59119" s="160" customFormat="1" x14ac:dyDescent="0.3"/>
    <row r="59120" s="160" customFormat="1" x14ac:dyDescent="0.3"/>
    <row r="59121" s="160" customFormat="1" x14ac:dyDescent="0.3"/>
    <row r="59122" s="160" customFormat="1" x14ac:dyDescent="0.3"/>
    <row r="59123" s="160" customFormat="1" x14ac:dyDescent="0.3"/>
    <row r="59124" s="160" customFormat="1" x14ac:dyDescent="0.3"/>
    <row r="59125" s="160" customFormat="1" x14ac:dyDescent="0.3"/>
    <row r="59126" s="160" customFormat="1" x14ac:dyDescent="0.3"/>
    <row r="59127" s="160" customFormat="1" x14ac:dyDescent="0.3"/>
    <row r="59128" s="160" customFormat="1" x14ac:dyDescent="0.3"/>
    <row r="59129" s="160" customFormat="1" x14ac:dyDescent="0.3"/>
    <row r="59130" s="160" customFormat="1" x14ac:dyDescent="0.3"/>
    <row r="59131" s="160" customFormat="1" x14ac:dyDescent="0.3"/>
    <row r="59132" s="160" customFormat="1" x14ac:dyDescent="0.3"/>
    <row r="59133" s="160" customFormat="1" x14ac:dyDescent="0.3"/>
    <row r="59134" s="160" customFormat="1" x14ac:dyDescent="0.3"/>
    <row r="59135" s="160" customFormat="1" x14ac:dyDescent="0.3"/>
    <row r="59136" s="160" customFormat="1" x14ac:dyDescent="0.3"/>
    <row r="59137" s="160" customFormat="1" x14ac:dyDescent="0.3"/>
    <row r="59138" s="160" customFormat="1" x14ac:dyDescent="0.3"/>
    <row r="59139" s="160" customFormat="1" x14ac:dyDescent="0.3"/>
    <row r="59140" s="160" customFormat="1" x14ac:dyDescent="0.3"/>
    <row r="59141" s="160" customFormat="1" x14ac:dyDescent="0.3"/>
    <row r="59142" s="160" customFormat="1" x14ac:dyDescent="0.3"/>
    <row r="59143" s="160" customFormat="1" x14ac:dyDescent="0.3"/>
    <row r="59144" s="160" customFormat="1" x14ac:dyDescent="0.3"/>
    <row r="59145" s="160" customFormat="1" x14ac:dyDescent="0.3"/>
    <row r="59146" s="160" customFormat="1" x14ac:dyDescent="0.3"/>
    <row r="59147" s="160" customFormat="1" x14ac:dyDescent="0.3"/>
    <row r="59148" s="160" customFormat="1" x14ac:dyDescent="0.3"/>
    <row r="59149" s="160" customFormat="1" x14ac:dyDescent="0.3"/>
    <row r="59150" s="160" customFormat="1" x14ac:dyDescent="0.3"/>
    <row r="59151" s="160" customFormat="1" x14ac:dyDescent="0.3"/>
    <row r="59152" s="160" customFormat="1" x14ac:dyDescent="0.3"/>
    <row r="59153" s="160" customFormat="1" x14ac:dyDescent="0.3"/>
    <row r="59154" s="160" customFormat="1" x14ac:dyDescent="0.3"/>
    <row r="59155" s="160" customFormat="1" x14ac:dyDescent="0.3"/>
    <row r="59156" s="160" customFormat="1" x14ac:dyDescent="0.3"/>
    <row r="59157" s="160" customFormat="1" x14ac:dyDescent="0.3"/>
    <row r="59158" s="160" customFormat="1" x14ac:dyDescent="0.3"/>
    <row r="59159" s="160" customFormat="1" x14ac:dyDescent="0.3"/>
    <row r="59160" s="160" customFormat="1" x14ac:dyDescent="0.3"/>
    <row r="59161" s="160" customFormat="1" x14ac:dyDescent="0.3"/>
    <row r="59162" s="160" customFormat="1" x14ac:dyDescent="0.3"/>
    <row r="59163" s="160" customFormat="1" x14ac:dyDescent="0.3"/>
    <row r="59164" s="160" customFormat="1" x14ac:dyDescent="0.3"/>
    <row r="59165" s="160" customFormat="1" x14ac:dyDescent="0.3"/>
    <row r="59166" s="160" customFormat="1" x14ac:dyDescent="0.3"/>
    <row r="59167" s="160" customFormat="1" x14ac:dyDescent="0.3"/>
    <row r="59168" s="160" customFormat="1" x14ac:dyDescent="0.3"/>
    <row r="59169" s="160" customFormat="1" x14ac:dyDescent="0.3"/>
    <row r="59170" s="160" customFormat="1" x14ac:dyDescent="0.3"/>
    <row r="59171" s="160" customFormat="1" x14ac:dyDescent="0.3"/>
    <row r="59172" s="160" customFormat="1" x14ac:dyDescent="0.3"/>
    <row r="59173" s="160" customFormat="1" x14ac:dyDescent="0.3"/>
    <row r="59174" s="160" customFormat="1" x14ac:dyDescent="0.3"/>
    <row r="59175" s="160" customFormat="1" x14ac:dyDescent="0.3"/>
    <row r="59176" s="160" customFormat="1" x14ac:dyDescent="0.3"/>
    <row r="59177" s="160" customFormat="1" x14ac:dyDescent="0.3"/>
    <row r="59178" s="160" customFormat="1" x14ac:dyDescent="0.3"/>
    <row r="59179" s="160" customFormat="1" x14ac:dyDescent="0.3"/>
    <row r="59180" s="160" customFormat="1" x14ac:dyDescent="0.3"/>
    <row r="59181" s="160" customFormat="1" x14ac:dyDescent="0.3"/>
    <row r="59182" s="160" customFormat="1" x14ac:dyDescent="0.3"/>
    <row r="59183" s="160" customFormat="1" x14ac:dyDescent="0.3"/>
    <row r="59184" s="160" customFormat="1" x14ac:dyDescent="0.3"/>
    <row r="59185" s="160" customFormat="1" x14ac:dyDescent="0.3"/>
    <row r="59186" s="160" customFormat="1" x14ac:dyDescent="0.3"/>
    <row r="59187" s="160" customFormat="1" x14ac:dyDescent="0.3"/>
    <row r="59188" s="160" customFormat="1" x14ac:dyDescent="0.3"/>
    <row r="59189" s="160" customFormat="1" x14ac:dyDescent="0.3"/>
    <row r="59190" s="160" customFormat="1" x14ac:dyDescent="0.3"/>
    <row r="59191" s="160" customFormat="1" x14ac:dyDescent="0.3"/>
    <row r="59192" s="160" customFormat="1" x14ac:dyDescent="0.3"/>
    <row r="59193" s="160" customFormat="1" x14ac:dyDescent="0.3"/>
    <row r="59194" s="160" customFormat="1" x14ac:dyDescent="0.3"/>
    <row r="59195" s="160" customFormat="1" x14ac:dyDescent="0.3"/>
    <row r="59196" s="160" customFormat="1" x14ac:dyDescent="0.3"/>
    <row r="59197" s="160" customFormat="1" x14ac:dyDescent="0.3"/>
    <row r="59198" s="160" customFormat="1" x14ac:dyDescent="0.3"/>
    <row r="59199" s="160" customFormat="1" x14ac:dyDescent="0.3"/>
    <row r="59200" s="160" customFormat="1" x14ac:dyDescent="0.3"/>
    <row r="59201" s="160" customFormat="1" x14ac:dyDescent="0.3"/>
    <row r="59202" s="160" customFormat="1" x14ac:dyDescent="0.3"/>
    <row r="59203" s="160" customFormat="1" x14ac:dyDescent="0.3"/>
    <row r="59204" s="160" customFormat="1" x14ac:dyDescent="0.3"/>
    <row r="59205" s="160" customFormat="1" x14ac:dyDescent="0.3"/>
    <row r="59206" s="160" customFormat="1" x14ac:dyDescent="0.3"/>
    <row r="59207" s="160" customFormat="1" x14ac:dyDescent="0.3"/>
    <row r="59208" s="160" customFormat="1" x14ac:dyDescent="0.3"/>
    <row r="59209" s="160" customFormat="1" x14ac:dyDescent="0.3"/>
    <row r="59210" s="160" customFormat="1" x14ac:dyDescent="0.3"/>
    <row r="59211" s="160" customFormat="1" x14ac:dyDescent="0.3"/>
    <row r="59212" s="160" customFormat="1" x14ac:dyDescent="0.3"/>
    <row r="59213" s="160" customFormat="1" x14ac:dyDescent="0.3"/>
    <row r="59214" s="160" customFormat="1" x14ac:dyDescent="0.3"/>
    <row r="59215" s="160" customFormat="1" x14ac:dyDescent="0.3"/>
    <row r="59216" s="160" customFormat="1" x14ac:dyDescent="0.3"/>
    <row r="59217" s="160" customFormat="1" x14ac:dyDescent="0.3"/>
    <row r="59218" s="160" customFormat="1" x14ac:dyDescent="0.3"/>
    <row r="59219" s="160" customFormat="1" x14ac:dyDescent="0.3"/>
    <row r="59220" s="160" customFormat="1" x14ac:dyDescent="0.3"/>
    <row r="59221" s="160" customFormat="1" x14ac:dyDescent="0.3"/>
    <row r="59222" s="160" customFormat="1" x14ac:dyDescent="0.3"/>
    <row r="59223" s="160" customFormat="1" x14ac:dyDescent="0.3"/>
    <row r="59224" s="160" customFormat="1" x14ac:dyDescent="0.3"/>
    <row r="59225" s="160" customFormat="1" x14ac:dyDescent="0.3"/>
    <row r="59226" s="160" customFormat="1" x14ac:dyDescent="0.3"/>
    <row r="59227" s="160" customFormat="1" x14ac:dyDescent="0.3"/>
    <row r="59228" s="160" customFormat="1" x14ac:dyDescent="0.3"/>
    <row r="59229" s="160" customFormat="1" x14ac:dyDescent="0.3"/>
    <row r="59230" s="160" customFormat="1" x14ac:dyDescent="0.3"/>
    <row r="59231" s="160" customFormat="1" x14ac:dyDescent="0.3"/>
    <row r="59232" s="160" customFormat="1" x14ac:dyDescent="0.3"/>
    <row r="59233" s="160" customFormat="1" x14ac:dyDescent="0.3"/>
    <row r="59234" s="160" customFormat="1" x14ac:dyDescent="0.3"/>
    <row r="59235" s="160" customFormat="1" x14ac:dyDescent="0.3"/>
    <row r="59236" s="160" customFormat="1" x14ac:dyDescent="0.3"/>
    <row r="59237" s="160" customFormat="1" x14ac:dyDescent="0.3"/>
    <row r="59238" s="160" customFormat="1" x14ac:dyDescent="0.3"/>
    <row r="59239" s="160" customFormat="1" x14ac:dyDescent="0.3"/>
    <row r="59240" s="160" customFormat="1" x14ac:dyDescent="0.3"/>
    <row r="59241" s="160" customFormat="1" x14ac:dyDescent="0.3"/>
    <row r="59242" s="160" customFormat="1" x14ac:dyDescent="0.3"/>
    <row r="59243" s="160" customFormat="1" x14ac:dyDescent="0.3"/>
    <row r="59244" s="160" customFormat="1" x14ac:dyDescent="0.3"/>
    <row r="59245" s="160" customFormat="1" x14ac:dyDescent="0.3"/>
    <row r="59246" s="160" customFormat="1" x14ac:dyDescent="0.3"/>
    <row r="59247" s="160" customFormat="1" x14ac:dyDescent="0.3"/>
    <row r="59248" s="160" customFormat="1" x14ac:dyDescent="0.3"/>
    <row r="59249" s="160" customFormat="1" x14ac:dyDescent="0.3"/>
    <row r="59250" s="160" customFormat="1" x14ac:dyDescent="0.3"/>
    <row r="59251" s="160" customFormat="1" x14ac:dyDescent="0.3"/>
    <row r="59252" s="160" customFormat="1" x14ac:dyDescent="0.3"/>
    <row r="59253" s="160" customFormat="1" x14ac:dyDescent="0.3"/>
    <row r="59254" s="160" customFormat="1" x14ac:dyDescent="0.3"/>
    <row r="59255" s="160" customFormat="1" x14ac:dyDescent="0.3"/>
    <row r="59256" s="160" customFormat="1" x14ac:dyDescent="0.3"/>
    <row r="59257" s="160" customFormat="1" x14ac:dyDescent="0.3"/>
    <row r="59258" s="160" customFormat="1" x14ac:dyDescent="0.3"/>
    <row r="59259" s="160" customFormat="1" x14ac:dyDescent="0.3"/>
    <row r="59260" s="160" customFormat="1" x14ac:dyDescent="0.3"/>
    <row r="59261" s="160" customFormat="1" x14ac:dyDescent="0.3"/>
    <row r="59262" s="160" customFormat="1" x14ac:dyDescent="0.3"/>
    <row r="59263" s="160" customFormat="1" x14ac:dyDescent="0.3"/>
    <row r="59264" s="160" customFormat="1" x14ac:dyDescent="0.3"/>
    <row r="59265" s="160" customFormat="1" x14ac:dyDescent="0.3"/>
    <row r="59266" s="160" customFormat="1" x14ac:dyDescent="0.3"/>
    <row r="59267" s="160" customFormat="1" x14ac:dyDescent="0.3"/>
    <row r="59268" s="160" customFormat="1" x14ac:dyDescent="0.3"/>
    <row r="59269" s="160" customFormat="1" x14ac:dyDescent="0.3"/>
    <row r="59270" s="160" customFormat="1" x14ac:dyDescent="0.3"/>
    <row r="59271" s="160" customFormat="1" x14ac:dyDescent="0.3"/>
    <row r="59272" s="160" customFormat="1" x14ac:dyDescent="0.3"/>
    <row r="59273" s="160" customFormat="1" x14ac:dyDescent="0.3"/>
    <row r="59274" s="160" customFormat="1" x14ac:dyDescent="0.3"/>
    <row r="59275" s="160" customFormat="1" x14ac:dyDescent="0.3"/>
    <row r="59276" s="160" customFormat="1" x14ac:dyDescent="0.3"/>
    <row r="59277" s="160" customFormat="1" x14ac:dyDescent="0.3"/>
    <row r="59278" s="160" customFormat="1" x14ac:dyDescent="0.3"/>
    <row r="59279" s="160" customFormat="1" x14ac:dyDescent="0.3"/>
    <row r="59280" s="160" customFormat="1" x14ac:dyDescent="0.3"/>
    <row r="59281" s="160" customFormat="1" x14ac:dyDescent="0.3"/>
    <row r="59282" s="160" customFormat="1" x14ac:dyDescent="0.3"/>
    <row r="59283" s="160" customFormat="1" x14ac:dyDescent="0.3"/>
    <row r="59284" s="160" customFormat="1" x14ac:dyDescent="0.3"/>
    <row r="59285" s="160" customFormat="1" x14ac:dyDescent="0.3"/>
    <row r="59286" s="160" customFormat="1" x14ac:dyDescent="0.3"/>
    <row r="59287" s="160" customFormat="1" x14ac:dyDescent="0.3"/>
    <row r="59288" s="160" customFormat="1" x14ac:dyDescent="0.3"/>
    <row r="59289" s="160" customFormat="1" x14ac:dyDescent="0.3"/>
    <row r="59290" s="160" customFormat="1" x14ac:dyDescent="0.3"/>
    <row r="59291" s="160" customFormat="1" x14ac:dyDescent="0.3"/>
    <row r="59292" s="160" customFormat="1" x14ac:dyDescent="0.3"/>
    <row r="59293" s="160" customFormat="1" x14ac:dyDescent="0.3"/>
    <row r="59294" s="160" customFormat="1" x14ac:dyDescent="0.3"/>
    <row r="59295" s="160" customFormat="1" x14ac:dyDescent="0.3"/>
    <row r="59296" s="160" customFormat="1" x14ac:dyDescent="0.3"/>
    <row r="59297" s="160" customFormat="1" x14ac:dyDescent="0.3"/>
    <row r="59298" s="160" customFormat="1" x14ac:dyDescent="0.3"/>
    <row r="59299" s="160" customFormat="1" x14ac:dyDescent="0.3"/>
    <row r="59300" s="160" customFormat="1" x14ac:dyDescent="0.3"/>
    <row r="59301" s="160" customFormat="1" x14ac:dyDescent="0.3"/>
    <row r="59302" s="160" customFormat="1" x14ac:dyDescent="0.3"/>
    <row r="59303" s="160" customFormat="1" x14ac:dyDescent="0.3"/>
    <row r="59304" s="160" customFormat="1" x14ac:dyDescent="0.3"/>
    <row r="59305" s="160" customFormat="1" x14ac:dyDescent="0.3"/>
    <row r="59306" s="160" customFormat="1" x14ac:dyDescent="0.3"/>
    <row r="59307" s="160" customFormat="1" x14ac:dyDescent="0.3"/>
    <row r="59308" s="160" customFormat="1" x14ac:dyDescent="0.3"/>
    <row r="59309" s="160" customFormat="1" x14ac:dyDescent="0.3"/>
    <row r="59310" s="160" customFormat="1" x14ac:dyDescent="0.3"/>
    <row r="59311" s="160" customFormat="1" x14ac:dyDescent="0.3"/>
    <row r="59312" s="160" customFormat="1" x14ac:dyDescent="0.3"/>
    <row r="59313" s="160" customFormat="1" x14ac:dyDescent="0.3"/>
    <row r="59314" s="160" customFormat="1" x14ac:dyDescent="0.3"/>
    <row r="59315" s="160" customFormat="1" x14ac:dyDescent="0.3"/>
    <row r="59316" s="160" customFormat="1" x14ac:dyDescent="0.3"/>
    <row r="59317" s="160" customFormat="1" x14ac:dyDescent="0.3"/>
    <row r="59318" s="160" customFormat="1" x14ac:dyDescent="0.3"/>
    <row r="59319" s="160" customFormat="1" x14ac:dyDescent="0.3"/>
    <row r="59320" s="160" customFormat="1" x14ac:dyDescent="0.3"/>
    <row r="59321" s="160" customFormat="1" x14ac:dyDescent="0.3"/>
    <row r="59322" s="160" customFormat="1" x14ac:dyDescent="0.3"/>
    <row r="59323" s="160" customFormat="1" x14ac:dyDescent="0.3"/>
    <row r="59324" s="160" customFormat="1" x14ac:dyDescent="0.3"/>
    <row r="59325" s="160" customFormat="1" x14ac:dyDescent="0.3"/>
    <row r="59326" s="160" customFormat="1" x14ac:dyDescent="0.3"/>
    <row r="59327" s="160" customFormat="1" x14ac:dyDescent="0.3"/>
    <row r="59328" s="160" customFormat="1" x14ac:dyDescent="0.3"/>
    <row r="59329" s="160" customFormat="1" x14ac:dyDescent="0.3"/>
    <row r="59330" s="160" customFormat="1" x14ac:dyDescent="0.3"/>
    <row r="59331" s="160" customFormat="1" x14ac:dyDescent="0.3"/>
    <row r="59332" s="160" customFormat="1" x14ac:dyDescent="0.3"/>
    <row r="59333" s="160" customFormat="1" x14ac:dyDescent="0.3"/>
    <row r="59334" s="160" customFormat="1" x14ac:dyDescent="0.3"/>
    <row r="59335" s="160" customFormat="1" x14ac:dyDescent="0.3"/>
    <row r="59336" s="160" customFormat="1" x14ac:dyDescent="0.3"/>
    <row r="59337" s="160" customFormat="1" x14ac:dyDescent="0.3"/>
    <row r="59338" s="160" customFormat="1" x14ac:dyDescent="0.3"/>
    <row r="59339" s="160" customFormat="1" x14ac:dyDescent="0.3"/>
    <row r="59340" s="160" customFormat="1" x14ac:dyDescent="0.3"/>
    <row r="59341" s="160" customFormat="1" x14ac:dyDescent="0.3"/>
    <row r="59342" s="160" customFormat="1" x14ac:dyDescent="0.3"/>
    <row r="59343" s="160" customFormat="1" x14ac:dyDescent="0.3"/>
    <row r="59344" s="160" customFormat="1" x14ac:dyDescent="0.3"/>
    <row r="59345" s="160" customFormat="1" x14ac:dyDescent="0.3"/>
    <row r="59346" s="160" customFormat="1" x14ac:dyDescent="0.3"/>
    <row r="59347" s="160" customFormat="1" x14ac:dyDescent="0.3"/>
    <row r="59348" s="160" customFormat="1" x14ac:dyDescent="0.3"/>
    <row r="59349" s="160" customFormat="1" x14ac:dyDescent="0.3"/>
    <row r="59350" s="160" customFormat="1" x14ac:dyDescent="0.3"/>
    <row r="59351" s="160" customFormat="1" x14ac:dyDescent="0.3"/>
    <row r="59352" s="160" customFormat="1" x14ac:dyDescent="0.3"/>
    <row r="59353" s="160" customFormat="1" x14ac:dyDescent="0.3"/>
    <row r="59354" s="160" customFormat="1" x14ac:dyDescent="0.3"/>
    <row r="59355" s="160" customFormat="1" x14ac:dyDescent="0.3"/>
    <row r="59356" s="160" customFormat="1" x14ac:dyDescent="0.3"/>
    <row r="59357" s="160" customFormat="1" x14ac:dyDescent="0.3"/>
    <row r="59358" s="160" customFormat="1" x14ac:dyDescent="0.3"/>
    <row r="59359" s="160" customFormat="1" x14ac:dyDescent="0.3"/>
    <row r="59360" s="160" customFormat="1" x14ac:dyDescent="0.3"/>
    <row r="59361" s="160" customFormat="1" x14ac:dyDescent="0.3"/>
    <row r="59362" s="160" customFormat="1" x14ac:dyDescent="0.3"/>
    <row r="59363" s="160" customFormat="1" x14ac:dyDescent="0.3"/>
    <row r="59364" s="160" customFormat="1" x14ac:dyDescent="0.3"/>
    <row r="59365" s="160" customFormat="1" x14ac:dyDescent="0.3"/>
    <row r="59366" s="160" customFormat="1" x14ac:dyDescent="0.3"/>
    <row r="59367" s="160" customFormat="1" x14ac:dyDescent="0.3"/>
    <row r="59368" s="160" customFormat="1" x14ac:dyDescent="0.3"/>
    <row r="59369" s="160" customFormat="1" x14ac:dyDescent="0.3"/>
    <row r="59370" s="160" customFormat="1" x14ac:dyDescent="0.3"/>
    <row r="59371" s="160" customFormat="1" x14ac:dyDescent="0.3"/>
    <row r="59372" s="160" customFormat="1" x14ac:dyDescent="0.3"/>
    <row r="59373" s="160" customFormat="1" x14ac:dyDescent="0.3"/>
    <row r="59374" s="160" customFormat="1" x14ac:dyDescent="0.3"/>
    <row r="59375" s="160" customFormat="1" x14ac:dyDescent="0.3"/>
    <row r="59376" s="160" customFormat="1" x14ac:dyDescent="0.3"/>
    <row r="59377" s="160" customFormat="1" x14ac:dyDescent="0.3"/>
    <row r="59378" s="160" customFormat="1" x14ac:dyDescent="0.3"/>
    <row r="59379" s="160" customFormat="1" x14ac:dyDescent="0.3"/>
    <row r="59380" s="160" customFormat="1" x14ac:dyDescent="0.3"/>
    <row r="59381" s="160" customFormat="1" x14ac:dyDescent="0.3"/>
    <row r="59382" s="160" customFormat="1" x14ac:dyDescent="0.3"/>
    <row r="59383" s="160" customFormat="1" x14ac:dyDescent="0.3"/>
    <row r="59384" s="160" customFormat="1" x14ac:dyDescent="0.3"/>
    <row r="59385" s="160" customFormat="1" x14ac:dyDescent="0.3"/>
    <row r="59386" s="160" customFormat="1" x14ac:dyDescent="0.3"/>
    <row r="59387" s="160" customFormat="1" x14ac:dyDescent="0.3"/>
    <row r="59388" s="160" customFormat="1" x14ac:dyDescent="0.3"/>
    <row r="59389" s="160" customFormat="1" x14ac:dyDescent="0.3"/>
    <row r="59390" s="160" customFormat="1" x14ac:dyDescent="0.3"/>
    <row r="59391" s="160" customFormat="1" x14ac:dyDescent="0.3"/>
    <row r="59392" s="160" customFormat="1" x14ac:dyDescent="0.3"/>
    <row r="59393" s="160" customFormat="1" x14ac:dyDescent="0.3"/>
    <row r="59394" s="160" customFormat="1" x14ac:dyDescent="0.3"/>
    <row r="59395" s="160" customFormat="1" x14ac:dyDescent="0.3"/>
    <row r="59396" s="160" customFormat="1" x14ac:dyDescent="0.3"/>
    <row r="59397" s="160" customFormat="1" x14ac:dyDescent="0.3"/>
    <row r="59398" s="160" customFormat="1" x14ac:dyDescent="0.3"/>
    <row r="59399" s="160" customFormat="1" x14ac:dyDescent="0.3"/>
    <row r="59400" s="160" customFormat="1" x14ac:dyDescent="0.3"/>
    <row r="59401" s="160" customFormat="1" x14ac:dyDescent="0.3"/>
    <row r="59402" s="160" customFormat="1" x14ac:dyDescent="0.3"/>
    <row r="59403" s="160" customFormat="1" x14ac:dyDescent="0.3"/>
    <row r="59404" s="160" customFormat="1" x14ac:dyDescent="0.3"/>
    <row r="59405" s="160" customFormat="1" x14ac:dyDescent="0.3"/>
    <row r="59406" s="160" customFormat="1" x14ac:dyDescent="0.3"/>
    <row r="59407" s="160" customFormat="1" x14ac:dyDescent="0.3"/>
    <row r="59408" s="160" customFormat="1" x14ac:dyDescent="0.3"/>
    <row r="59409" s="160" customFormat="1" x14ac:dyDescent="0.3"/>
    <row r="59410" s="160" customFormat="1" x14ac:dyDescent="0.3"/>
    <row r="59411" s="160" customFormat="1" x14ac:dyDescent="0.3"/>
    <row r="59412" s="160" customFormat="1" x14ac:dyDescent="0.3"/>
    <row r="59413" s="160" customFormat="1" x14ac:dyDescent="0.3"/>
    <row r="59414" s="160" customFormat="1" x14ac:dyDescent="0.3"/>
    <row r="59415" s="160" customFormat="1" x14ac:dyDescent="0.3"/>
    <row r="59416" s="160" customFormat="1" x14ac:dyDescent="0.3"/>
    <row r="59417" s="160" customFormat="1" x14ac:dyDescent="0.3"/>
    <row r="59418" s="160" customFormat="1" x14ac:dyDescent="0.3"/>
    <row r="59419" s="160" customFormat="1" x14ac:dyDescent="0.3"/>
    <row r="59420" s="160" customFormat="1" x14ac:dyDescent="0.3"/>
    <row r="59421" s="160" customFormat="1" x14ac:dyDescent="0.3"/>
    <row r="59422" s="160" customFormat="1" x14ac:dyDescent="0.3"/>
    <row r="59423" s="160" customFormat="1" x14ac:dyDescent="0.3"/>
    <row r="59424" s="160" customFormat="1" x14ac:dyDescent="0.3"/>
    <row r="59425" s="160" customFormat="1" x14ac:dyDescent="0.3"/>
    <row r="59426" s="160" customFormat="1" x14ac:dyDescent="0.3"/>
    <row r="59427" s="160" customFormat="1" x14ac:dyDescent="0.3"/>
    <row r="59428" s="160" customFormat="1" x14ac:dyDescent="0.3"/>
    <row r="59429" s="160" customFormat="1" x14ac:dyDescent="0.3"/>
    <row r="59430" s="160" customFormat="1" x14ac:dyDescent="0.3"/>
    <row r="59431" s="160" customFormat="1" x14ac:dyDescent="0.3"/>
    <row r="59432" s="160" customFormat="1" x14ac:dyDescent="0.3"/>
    <row r="59433" s="160" customFormat="1" x14ac:dyDescent="0.3"/>
    <row r="59434" s="160" customFormat="1" x14ac:dyDescent="0.3"/>
    <row r="59435" s="160" customFormat="1" x14ac:dyDescent="0.3"/>
    <row r="59436" s="160" customFormat="1" x14ac:dyDescent="0.3"/>
    <row r="59437" s="160" customFormat="1" x14ac:dyDescent="0.3"/>
    <row r="59438" s="160" customFormat="1" x14ac:dyDescent="0.3"/>
    <row r="59439" s="160" customFormat="1" x14ac:dyDescent="0.3"/>
    <row r="59440" s="160" customFormat="1" x14ac:dyDescent="0.3"/>
    <row r="59441" s="160" customFormat="1" x14ac:dyDescent="0.3"/>
    <row r="59442" s="160" customFormat="1" x14ac:dyDescent="0.3"/>
    <row r="59443" s="160" customFormat="1" x14ac:dyDescent="0.3"/>
    <row r="59444" s="160" customFormat="1" x14ac:dyDescent="0.3"/>
    <row r="59445" s="160" customFormat="1" x14ac:dyDescent="0.3"/>
    <row r="59446" s="160" customFormat="1" x14ac:dyDescent="0.3"/>
    <row r="59447" s="160" customFormat="1" x14ac:dyDescent="0.3"/>
    <row r="59448" s="160" customFormat="1" x14ac:dyDescent="0.3"/>
    <row r="59449" s="160" customFormat="1" x14ac:dyDescent="0.3"/>
    <row r="59450" s="160" customFormat="1" x14ac:dyDescent="0.3"/>
    <row r="59451" s="160" customFormat="1" x14ac:dyDescent="0.3"/>
    <row r="59452" s="160" customFormat="1" x14ac:dyDescent="0.3"/>
    <row r="59453" s="160" customFormat="1" x14ac:dyDescent="0.3"/>
    <row r="59454" s="160" customFormat="1" x14ac:dyDescent="0.3"/>
    <row r="59455" s="160" customFormat="1" x14ac:dyDescent="0.3"/>
    <row r="59456" s="160" customFormat="1" x14ac:dyDescent="0.3"/>
    <row r="59457" s="160" customFormat="1" x14ac:dyDescent="0.3"/>
    <row r="59458" s="160" customFormat="1" x14ac:dyDescent="0.3"/>
    <row r="59459" s="160" customFormat="1" x14ac:dyDescent="0.3"/>
    <row r="59460" s="160" customFormat="1" x14ac:dyDescent="0.3"/>
    <row r="59461" s="160" customFormat="1" x14ac:dyDescent="0.3"/>
    <row r="59462" s="160" customFormat="1" x14ac:dyDescent="0.3"/>
    <row r="59463" s="160" customFormat="1" x14ac:dyDescent="0.3"/>
    <row r="59464" s="160" customFormat="1" x14ac:dyDescent="0.3"/>
    <row r="59465" s="160" customFormat="1" x14ac:dyDescent="0.3"/>
    <row r="59466" s="160" customFormat="1" x14ac:dyDescent="0.3"/>
    <row r="59467" s="160" customFormat="1" x14ac:dyDescent="0.3"/>
    <row r="59468" s="160" customFormat="1" x14ac:dyDescent="0.3"/>
    <row r="59469" s="160" customFormat="1" x14ac:dyDescent="0.3"/>
    <row r="59470" s="160" customFormat="1" x14ac:dyDescent="0.3"/>
    <row r="59471" s="160" customFormat="1" x14ac:dyDescent="0.3"/>
    <row r="59472" s="160" customFormat="1" x14ac:dyDescent="0.3"/>
    <row r="59473" s="160" customFormat="1" x14ac:dyDescent="0.3"/>
    <row r="59474" s="160" customFormat="1" x14ac:dyDescent="0.3"/>
    <row r="59475" s="160" customFormat="1" x14ac:dyDescent="0.3"/>
    <row r="59476" s="160" customFormat="1" x14ac:dyDescent="0.3"/>
    <row r="59477" s="160" customFormat="1" x14ac:dyDescent="0.3"/>
    <row r="59478" s="160" customFormat="1" x14ac:dyDescent="0.3"/>
    <row r="59479" s="160" customFormat="1" x14ac:dyDescent="0.3"/>
    <row r="59480" s="160" customFormat="1" x14ac:dyDescent="0.3"/>
    <row r="59481" s="160" customFormat="1" x14ac:dyDescent="0.3"/>
    <row r="59482" s="160" customFormat="1" x14ac:dyDescent="0.3"/>
    <row r="59483" s="160" customFormat="1" x14ac:dyDescent="0.3"/>
    <row r="59484" s="160" customFormat="1" x14ac:dyDescent="0.3"/>
    <row r="59485" s="160" customFormat="1" x14ac:dyDescent="0.3"/>
    <row r="59486" s="160" customFormat="1" x14ac:dyDescent="0.3"/>
    <row r="59487" s="160" customFormat="1" x14ac:dyDescent="0.3"/>
    <row r="59488" s="160" customFormat="1" x14ac:dyDescent="0.3"/>
    <row r="59489" s="160" customFormat="1" x14ac:dyDescent="0.3"/>
    <row r="59490" s="160" customFormat="1" x14ac:dyDescent="0.3"/>
    <row r="59491" s="160" customFormat="1" x14ac:dyDescent="0.3"/>
    <row r="59492" s="160" customFormat="1" x14ac:dyDescent="0.3"/>
    <row r="59493" s="160" customFormat="1" x14ac:dyDescent="0.3"/>
    <row r="59494" s="160" customFormat="1" x14ac:dyDescent="0.3"/>
    <row r="59495" s="160" customFormat="1" x14ac:dyDescent="0.3"/>
    <row r="59496" s="160" customFormat="1" x14ac:dyDescent="0.3"/>
    <row r="59497" s="160" customFormat="1" x14ac:dyDescent="0.3"/>
    <row r="59498" s="160" customFormat="1" x14ac:dyDescent="0.3"/>
    <row r="59499" s="160" customFormat="1" x14ac:dyDescent="0.3"/>
    <row r="59500" s="160" customFormat="1" x14ac:dyDescent="0.3"/>
    <row r="59501" s="160" customFormat="1" x14ac:dyDescent="0.3"/>
    <row r="59502" s="160" customFormat="1" x14ac:dyDescent="0.3"/>
    <row r="59503" s="160" customFormat="1" x14ac:dyDescent="0.3"/>
    <row r="59504" s="160" customFormat="1" x14ac:dyDescent="0.3"/>
    <row r="59505" s="160" customFormat="1" x14ac:dyDescent="0.3"/>
    <row r="59506" s="160" customFormat="1" x14ac:dyDescent="0.3"/>
    <row r="59507" s="160" customFormat="1" x14ac:dyDescent="0.3"/>
    <row r="59508" s="160" customFormat="1" x14ac:dyDescent="0.3"/>
    <row r="59509" s="160" customFormat="1" x14ac:dyDescent="0.3"/>
    <row r="59510" s="160" customFormat="1" x14ac:dyDescent="0.3"/>
    <row r="59511" s="160" customFormat="1" x14ac:dyDescent="0.3"/>
    <row r="59512" s="160" customFormat="1" x14ac:dyDescent="0.3"/>
    <row r="59513" s="160" customFormat="1" x14ac:dyDescent="0.3"/>
    <row r="59514" s="160" customFormat="1" x14ac:dyDescent="0.3"/>
    <row r="59515" s="160" customFormat="1" x14ac:dyDescent="0.3"/>
    <row r="59516" s="160" customFormat="1" x14ac:dyDescent="0.3"/>
    <row r="59517" s="160" customFormat="1" x14ac:dyDescent="0.3"/>
    <row r="59518" s="160" customFormat="1" x14ac:dyDescent="0.3"/>
    <row r="59519" s="160" customFormat="1" x14ac:dyDescent="0.3"/>
    <row r="59520" s="160" customFormat="1" x14ac:dyDescent="0.3"/>
    <row r="59521" s="160" customFormat="1" x14ac:dyDescent="0.3"/>
    <row r="59522" s="160" customFormat="1" x14ac:dyDescent="0.3"/>
    <row r="59523" s="160" customFormat="1" x14ac:dyDescent="0.3"/>
    <row r="59524" s="160" customFormat="1" x14ac:dyDescent="0.3"/>
    <row r="59525" s="160" customFormat="1" x14ac:dyDescent="0.3"/>
    <row r="59526" s="160" customFormat="1" x14ac:dyDescent="0.3"/>
    <row r="59527" s="160" customFormat="1" x14ac:dyDescent="0.3"/>
    <row r="59528" s="160" customFormat="1" x14ac:dyDescent="0.3"/>
    <row r="59529" s="160" customFormat="1" x14ac:dyDescent="0.3"/>
    <row r="59530" s="160" customFormat="1" x14ac:dyDescent="0.3"/>
    <row r="59531" s="160" customFormat="1" x14ac:dyDescent="0.3"/>
    <row r="59532" s="160" customFormat="1" x14ac:dyDescent="0.3"/>
    <row r="59533" s="160" customFormat="1" x14ac:dyDescent="0.3"/>
    <row r="59534" s="160" customFormat="1" x14ac:dyDescent="0.3"/>
    <row r="59535" s="160" customFormat="1" x14ac:dyDescent="0.3"/>
    <row r="59536" s="160" customFormat="1" x14ac:dyDescent="0.3"/>
    <row r="59537" s="160" customFormat="1" x14ac:dyDescent="0.3"/>
    <row r="59538" s="160" customFormat="1" x14ac:dyDescent="0.3"/>
    <row r="59539" s="160" customFormat="1" x14ac:dyDescent="0.3"/>
    <row r="59540" s="160" customFormat="1" x14ac:dyDescent="0.3"/>
    <row r="59541" s="160" customFormat="1" x14ac:dyDescent="0.3"/>
    <row r="59542" s="160" customFormat="1" x14ac:dyDescent="0.3"/>
    <row r="59543" s="160" customFormat="1" x14ac:dyDescent="0.3"/>
    <row r="59544" s="160" customFormat="1" x14ac:dyDescent="0.3"/>
    <row r="59545" s="160" customFormat="1" x14ac:dyDescent="0.3"/>
    <row r="59546" s="160" customFormat="1" x14ac:dyDescent="0.3"/>
    <row r="59547" s="160" customFormat="1" x14ac:dyDescent="0.3"/>
    <row r="59548" s="160" customFormat="1" x14ac:dyDescent="0.3"/>
    <row r="59549" s="160" customFormat="1" x14ac:dyDescent="0.3"/>
    <row r="59550" s="160" customFormat="1" x14ac:dyDescent="0.3"/>
    <row r="59551" s="160" customFormat="1" x14ac:dyDescent="0.3"/>
    <row r="59552" s="160" customFormat="1" x14ac:dyDescent="0.3"/>
    <row r="59553" s="160" customFormat="1" x14ac:dyDescent="0.3"/>
    <row r="59554" s="160" customFormat="1" x14ac:dyDescent="0.3"/>
    <row r="59555" s="160" customFormat="1" x14ac:dyDescent="0.3"/>
    <row r="59556" s="160" customFormat="1" x14ac:dyDescent="0.3"/>
    <row r="59557" s="160" customFormat="1" x14ac:dyDescent="0.3"/>
    <row r="59558" s="160" customFormat="1" x14ac:dyDescent="0.3"/>
    <row r="59559" s="160" customFormat="1" x14ac:dyDescent="0.3"/>
    <row r="59560" s="160" customFormat="1" x14ac:dyDescent="0.3"/>
    <row r="59561" s="160" customFormat="1" x14ac:dyDescent="0.3"/>
    <row r="59562" s="160" customFormat="1" x14ac:dyDescent="0.3"/>
    <row r="59563" s="160" customFormat="1" x14ac:dyDescent="0.3"/>
    <row r="59564" s="160" customFormat="1" x14ac:dyDescent="0.3"/>
    <row r="59565" s="160" customFormat="1" x14ac:dyDescent="0.3"/>
    <row r="59566" s="160" customFormat="1" x14ac:dyDescent="0.3"/>
    <row r="59567" s="160" customFormat="1" x14ac:dyDescent="0.3"/>
    <row r="59568" s="160" customFormat="1" x14ac:dyDescent="0.3"/>
    <row r="59569" s="160" customFormat="1" x14ac:dyDescent="0.3"/>
    <row r="59570" s="160" customFormat="1" x14ac:dyDescent="0.3"/>
    <row r="59571" s="160" customFormat="1" x14ac:dyDescent="0.3"/>
    <row r="59572" s="160" customFormat="1" x14ac:dyDescent="0.3"/>
    <row r="59573" s="160" customFormat="1" x14ac:dyDescent="0.3"/>
    <row r="59574" s="160" customFormat="1" x14ac:dyDescent="0.3"/>
    <row r="59575" s="160" customFormat="1" x14ac:dyDescent="0.3"/>
    <row r="59576" s="160" customFormat="1" x14ac:dyDescent="0.3"/>
    <row r="59577" s="160" customFormat="1" x14ac:dyDescent="0.3"/>
    <row r="59578" s="160" customFormat="1" x14ac:dyDescent="0.3"/>
    <row r="59579" s="160" customFormat="1" x14ac:dyDescent="0.3"/>
    <row r="59580" s="160" customFormat="1" x14ac:dyDescent="0.3"/>
    <row r="59581" s="160" customFormat="1" x14ac:dyDescent="0.3"/>
    <row r="59582" s="160" customFormat="1" x14ac:dyDescent="0.3"/>
    <row r="59583" s="160" customFormat="1" x14ac:dyDescent="0.3"/>
    <row r="59584" s="160" customFormat="1" x14ac:dyDescent="0.3"/>
    <row r="59585" s="160" customFormat="1" x14ac:dyDescent="0.3"/>
    <row r="59586" s="160" customFormat="1" x14ac:dyDescent="0.3"/>
    <row r="59587" s="160" customFormat="1" x14ac:dyDescent="0.3"/>
    <row r="59588" s="160" customFormat="1" x14ac:dyDescent="0.3"/>
    <row r="59589" s="160" customFormat="1" x14ac:dyDescent="0.3"/>
    <row r="59590" s="160" customFormat="1" x14ac:dyDescent="0.3"/>
    <row r="59591" s="160" customFormat="1" x14ac:dyDescent="0.3"/>
    <row r="59592" s="160" customFormat="1" x14ac:dyDescent="0.3"/>
    <row r="59593" s="160" customFormat="1" x14ac:dyDescent="0.3"/>
    <row r="59594" s="160" customFormat="1" x14ac:dyDescent="0.3"/>
    <row r="59595" s="160" customFormat="1" x14ac:dyDescent="0.3"/>
    <row r="59596" s="160" customFormat="1" x14ac:dyDescent="0.3"/>
    <row r="59597" s="160" customFormat="1" x14ac:dyDescent="0.3"/>
    <row r="59598" s="160" customFormat="1" x14ac:dyDescent="0.3"/>
    <row r="59599" s="160" customFormat="1" x14ac:dyDescent="0.3"/>
    <row r="59600" s="160" customFormat="1" x14ac:dyDescent="0.3"/>
    <row r="59601" s="160" customFormat="1" x14ac:dyDescent="0.3"/>
    <row r="59602" s="160" customFormat="1" x14ac:dyDescent="0.3"/>
    <row r="59603" s="160" customFormat="1" x14ac:dyDescent="0.3"/>
    <row r="59604" s="160" customFormat="1" x14ac:dyDescent="0.3"/>
    <row r="59605" s="160" customFormat="1" x14ac:dyDescent="0.3"/>
    <row r="59606" s="160" customFormat="1" x14ac:dyDescent="0.3"/>
    <row r="59607" s="160" customFormat="1" x14ac:dyDescent="0.3"/>
    <row r="59608" s="160" customFormat="1" x14ac:dyDescent="0.3"/>
    <row r="59609" s="160" customFormat="1" x14ac:dyDescent="0.3"/>
    <row r="59610" s="160" customFormat="1" x14ac:dyDescent="0.3"/>
    <row r="59611" s="160" customFormat="1" x14ac:dyDescent="0.3"/>
    <row r="59612" s="160" customFormat="1" x14ac:dyDescent="0.3"/>
    <row r="59613" s="160" customFormat="1" x14ac:dyDescent="0.3"/>
    <row r="59614" s="160" customFormat="1" x14ac:dyDescent="0.3"/>
    <row r="59615" s="160" customFormat="1" x14ac:dyDescent="0.3"/>
    <row r="59616" s="160" customFormat="1" x14ac:dyDescent="0.3"/>
    <row r="59617" s="160" customFormat="1" x14ac:dyDescent="0.3"/>
    <row r="59618" s="160" customFormat="1" x14ac:dyDescent="0.3"/>
    <row r="59619" s="160" customFormat="1" x14ac:dyDescent="0.3"/>
    <row r="59620" s="160" customFormat="1" x14ac:dyDescent="0.3"/>
    <row r="59621" s="160" customFormat="1" x14ac:dyDescent="0.3"/>
    <row r="59622" s="160" customFormat="1" x14ac:dyDescent="0.3"/>
    <row r="59623" s="160" customFormat="1" x14ac:dyDescent="0.3"/>
    <row r="59624" s="160" customFormat="1" x14ac:dyDescent="0.3"/>
    <row r="59625" s="160" customFormat="1" x14ac:dyDescent="0.3"/>
    <row r="59626" s="160" customFormat="1" x14ac:dyDescent="0.3"/>
    <row r="59627" s="160" customFormat="1" x14ac:dyDescent="0.3"/>
    <row r="59628" s="160" customFormat="1" x14ac:dyDescent="0.3"/>
    <row r="59629" s="160" customFormat="1" x14ac:dyDescent="0.3"/>
    <row r="59630" s="160" customFormat="1" x14ac:dyDescent="0.3"/>
    <row r="59631" s="160" customFormat="1" x14ac:dyDescent="0.3"/>
    <row r="59632" s="160" customFormat="1" x14ac:dyDescent="0.3"/>
    <row r="59633" s="160" customFormat="1" x14ac:dyDescent="0.3"/>
    <row r="59634" s="160" customFormat="1" x14ac:dyDescent="0.3"/>
    <row r="59635" s="160" customFormat="1" x14ac:dyDescent="0.3"/>
    <row r="59636" s="160" customFormat="1" x14ac:dyDescent="0.3"/>
    <row r="59637" s="160" customFormat="1" x14ac:dyDescent="0.3"/>
    <row r="59638" s="160" customFormat="1" x14ac:dyDescent="0.3"/>
    <row r="59639" s="160" customFormat="1" x14ac:dyDescent="0.3"/>
    <row r="59640" s="160" customFormat="1" x14ac:dyDescent="0.3"/>
    <row r="59641" s="160" customFormat="1" x14ac:dyDescent="0.3"/>
    <row r="59642" s="160" customFormat="1" x14ac:dyDescent="0.3"/>
    <row r="59643" s="160" customFormat="1" x14ac:dyDescent="0.3"/>
    <row r="59644" s="160" customFormat="1" x14ac:dyDescent="0.3"/>
    <row r="59645" s="160" customFormat="1" x14ac:dyDescent="0.3"/>
    <row r="59646" s="160" customFormat="1" x14ac:dyDescent="0.3"/>
    <row r="59647" s="160" customFormat="1" x14ac:dyDescent="0.3"/>
    <row r="59648" s="160" customFormat="1" x14ac:dyDescent="0.3"/>
    <row r="59649" s="160" customFormat="1" x14ac:dyDescent="0.3"/>
    <row r="59650" s="160" customFormat="1" x14ac:dyDescent="0.3"/>
    <row r="59651" s="160" customFormat="1" x14ac:dyDescent="0.3"/>
    <row r="59652" s="160" customFormat="1" x14ac:dyDescent="0.3"/>
    <row r="59653" s="160" customFormat="1" x14ac:dyDescent="0.3"/>
    <row r="59654" s="160" customFormat="1" x14ac:dyDescent="0.3"/>
    <row r="59655" s="160" customFormat="1" x14ac:dyDescent="0.3"/>
    <row r="59656" s="160" customFormat="1" x14ac:dyDescent="0.3"/>
    <row r="59657" s="160" customFormat="1" x14ac:dyDescent="0.3"/>
    <row r="59658" s="160" customFormat="1" x14ac:dyDescent="0.3"/>
    <row r="59659" s="160" customFormat="1" x14ac:dyDescent="0.3"/>
    <row r="59660" s="160" customFormat="1" x14ac:dyDescent="0.3"/>
    <row r="59661" s="160" customFormat="1" x14ac:dyDescent="0.3"/>
    <row r="59662" s="160" customFormat="1" x14ac:dyDescent="0.3"/>
    <row r="59663" s="160" customFormat="1" x14ac:dyDescent="0.3"/>
    <row r="59664" s="160" customFormat="1" x14ac:dyDescent="0.3"/>
    <row r="59665" s="160" customFormat="1" x14ac:dyDescent="0.3"/>
    <row r="59666" s="160" customFormat="1" x14ac:dyDescent="0.3"/>
    <row r="59667" s="160" customFormat="1" x14ac:dyDescent="0.3"/>
    <row r="59668" s="160" customFormat="1" x14ac:dyDescent="0.3"/>
    <row r="59669" s="160" customFormat="1" x14ac:dyDescent="0.3"/>
    <row r="59670" s="160" customFormat="1" x14ac:dyDescent="0.3"/>
    <row r="59671" s="160" customFormat="1" x14ac:dyDescent="0.3"/>
    <row r="59672" s="160" customFormat="1" x14ac:dyDescent="0.3"/>
    <row r="59673" s="160" customFormat="1" x14ac:dyDescent="0.3"/>
    <row r="59674" s="160" customFormat="1" x14ac:dyDescent="0.3"/>
    <row r="59675" s="160" customFormat="1" x14ac:dyDescent="0.3"/>
    <row r="59676" s="160" customFormat="1" x14ac:dyDescent="0.3"/>
    <row r="59677" s="160" customFormat="1" x14ac:dyDescent="0.3"/>
    <row r="59678" s="160" customFormat="1" x14ac:dyDescent="0.3"/>
    <row r="59679" s="160" customFormat="1" x14ac:dyDescent="0.3"/>
    <row r="59680" s="160" customFormat="1" x14ac:dyDescent="0.3"/>
    <row r="59681" s="160" customFormat="1" x14ac:dyDescent="0.3"/>
    <row r="59682" s="160" customFormat="1" x14ac:dyDescent="0.3"/>
    <row r="59683" s="160" customFormat="1" x14ac:dyDescent="0.3"/>
    <row r="59684" s="160" customFormat="1" x14ac:dyDescent="0.3"/>
    <row r="59685" s="160" customFormat="1" x14ac:dyDescent="0.3"/>
    <row r="59686" s="160" customFormat="1" x14ac:dyDescent="0.3"/>
    <row r="59687" s="160" customFormat="1" x14ac:dyDescent="0.3"/>
    <row r="59688" s="160" customFormat="1" x14ac:dyDescent="0.3"/>
    <row r="59689" s="160" customFormat="1" x14ac:dyDescent="0.3"/>
    <row r="59690" s="160" customFormat="1" x14ac:dyDescent="0.3"/>
    <row r="59691" s="160" customFormat="1" x14ac:dyDescent="0.3"/>
    <row r="59692" s="160" customFormat="1" x14ac:dyDescent="0.3"/>
    <row r="59693" s="160" customFormat="1" x14ac:dyDescent="0.3"/>
    <row r="59694" s="160" customFormat="1" x14ac:dyDescent="0.3"/>
    <row r="59695" s="160" customFormat="1" x14ac:dyDescent="0.3"/>
    <row r="59696" s="160" customFormat="1" x14ac:dyDescent="0.3"/>
    <row r="59697" s="160" customFormat="1" x14ac:dyDescent="0.3"/>
    <row r="59698" s="160" customFormat="1" x14ac:dyDescent="0.3"/>
    <row r="59699" s="160" customFormat="1" x14ac:dyDescent="0.3"/>
    <row r="59700" s="160" customFormat="1" x14ac:dyDescent="0.3"/>
    <row r="59701" s="160" customFormat="1" x14ac:dyDescent="0.3"/>
    <row r="59702" s="160" customFormat="1" x14ac:dyDescent="0.3"/>
    <row r="59703" s="160" customFormat="1" x14ac:dyDescent="0.3"/>
    <row r="59704" s="160" customFormat="1" x14ac:dyDescent="0.3"/>
    <row r="59705" s="160" customFormat="1" x14ac:dyDescent="0.3"/>
    <row r="59706" s="160" customFormat="1" x14ac:dyDescent="0.3"/>
    <row r="59707" s="160" customFormat="1" x14ac:dyDescent="0.3"/>
    <row r="59708" s="160" customFormat="1" x14ac:dyDescent="0.3"/>
    <row r="59709" s="160" customFormat="1" x14ac:dyDescent="0.3"/>
    <row r="59710" s="160" customFormat="1" x14ac:dyDescent="0.3"/>
    <row r="59711" s="160" customFormat="1" x14ac:dyDescent="0.3"/>
    <row r="59712" s="160" customFormat="1" x14ac:dyDescent="0.3"/>
    <row r="59713" s="160" customFormat="1" x14ac:dyDescent="0.3"/>
    <row r="59714" s="160" customFormat="1" x14ac:dyDescent="0.3"/>
    <row r="59715" s="160" customFormat="1" x14ac:dyDescent="0.3"/>
    <row r="59716" s="160" customFormat="1" x14ac:dyDescent="0.3"/>
    <row r="59717" s="160" customFormat="1" x14ac:dyDescent="0.3"/>
    <row r="59718" s="160" customFormat="1" x14ac:dyDescent="0.3"/>
    <row r="59719" s="160" customFormat="1" x14ac:dyDescent="0.3"/>
    <row r="59720" s="160" customFormat="1" x14ac:dyDescent="0.3"/>
    <row r="59721" s="160" customFormat="1" x14ac:dyDescent="0.3"/>
    <row r="59722" s="160" customFormat="1" x14ac:dyDescent="0.3"/>
    <row r="59723" s="160" customFormat="1" x14ac:dyDescent="0.3"/>
    <row r="59724" s="160" customFormat="1" x14ac:dyDescent="0.3"/>
    <row r="59725" s="160" customFormat="1" x14ac:dyDescent="0.3"/>
    <row r="59726" s="160" customFormat="1" x14ac:dyDescent="0.3"/>
    <row r="59727" s="160" customFormat="1" x14ac:dyDescent="0.3"/>
    <row r="59728" s="160" customFormat="1" x14ac:dyDescent="0.3"/>
    <row r="59729" s="160" customFormat="1" x14ac:dyDescent="0.3"/>
    <row r="59730" s="160" customFormat="1" x14ac:dyDescent="0.3"/>
    <row r="59731" s="160" customFormat="1" x14ac:dyDescent="0.3"/>
    <row r="59732" s="160" customFormat="1" x14ac:dyDescent="0.3"/>
    <row r="59733" s="160" customFormat="1" x14ac:dyDescent="0.3"/>
    <row r="59734" s="160" customFormat="1" x14ac:dyDescent="0.3"/>
    <row r="59735" s="160" customFormat="1" x14ac:dyDescent="0.3"/>
    <row r="59736" s="160" customFormat="1" x14ac:dyDescent="0.3"/>
    <row r="59737" s="160" customFormat="1" x14ac:dyDescent="0.3"/>
    <row r="59738" s="160" customFormat="1" x14ac:dyDescent="0.3"/>
    <row r="59739" s="160" customFormat="1" x14ac:dyDescent="0.3"/>
    <row r="59740" s="160" customFormat="1" x14ac:dyDescent="0.3"/>
    <row r="59741" s="160" customFormat="1" x14ac:dyDescent="0.3"/>
    <row r="59742" s="160" customFormat="1" x14ac:dyDescent="0.3"/>
    <row r="59743" s="160" customFormat="1" x14ac:dyDescent="0.3"/>
    <row r="59744" s="160" customFormat="1" x14ac:dyDescent="0.3"/>
    <row r="59745" s="160" customFormat="1" x14ac:dyDescent="0.3"/>
    <row r="59746" s="160" customFormat="1" x14ac:dyDescent="0.3"/>
    <row r="59747" s="160" customFormat="1" x14ac:dyDescent="0.3"/>
    <row r="59748" s="160" customFormat="1" x14ac:dyDescent="0.3"/>
    <row r="59749" s="160" customFormat="1" x14ac:dyDescent="0.3"/>
    <row r="59750" s="160" customFormat="1" x14ac:dyDescent="0.3"/>
    <row r="59751" s="160" customFormat="1" x14ac:dyDescent="0.3"/>
    <row r="59752" s="160" customFormat="1" x14ac:dyDescent="0.3"/>
    <row r="59753" s="160" customFormat="1" x14ac:dyDescent="0.3"/>
    <row r="59754" s="160" customFormat="1" x14ac:dyDescent="0.3"/>
    <row r="59755" s="160" customFormat="1" x14ac:dyDescent="0.3"/>
    <row r="59756" s="160" customFormat="1" x14ac:dyDescent="0.3"/>
    <row r="59757" s="160" customFormat="1" x14ac:dyDescent="0.3"/>
    <row r="59758" s="160" customFormat="1" x14ac:dyDescent="0.3"/>
    <row r="59759" s="160" customFormat="1" x14ac:dyDescent="0.3"/>
    <row r="59760" s="160" customFormat="1" x14ac:dyDescent="0.3"/>
    <row r="59761" s="160" customFormat="1" x14ac:dyDescent="0.3"/>
    <row r="59762" s="160" customFormat="1" x14ac:dyDescent="0.3"/>
    <row r="59763" s="160" customFormat="1" x14ac:dyDescent="0.3"/>
    <row r="59764" s="160" customFormat="1" x14ac:dyDescent="0.3"/>
    <row r="59765" s="160" customFormat="1" x14ac:dyDescent="0.3"/>
    <row r="59766" s="160" customFormat="1" x14ac:dyDescent="0.3"/>
    <row r="59767" s="160" customFormat="1" x14ac:dyDescent="0.3"/>
    <row r="59768" s="160" customFormat="1" x14ac:dyDescent="0.3"/>
    <row r="59769" s="160" customFormat="1" x14ac:dyDescent="0.3"/>
    <row r="59770" s="160" customFormat="1" x14ac:dyDescent="0.3"/>
    <row r="59771" s="160" customFormat="1" x14ac:dyDescent="0.3"/>
    <row r="59772" s="160" customFormat="1" x14ac:dyDescent="0.3"/>
    <row r="59773" s="160" customFormat="1" x14ac:dyDescent="0.3"/>
    <row r="59774" s="160" customFormat="1" x14ac:dyDescent="0.3"/>
    <row r="59775" s="160" customFormat="1" x14ac:dyDescent="0.3"/>
    <row r="59776" s="160" customFormat="1" x14ac:dyDescent="0.3"/>
    <row r="59777" s="160" customFormat="1" x14ac:dyDescent="0.3"/>
    <row r="59778" s="160" customFormat="1" x14ac:dyDescent="0.3"/>
    <row r="59779" s="160" customFormat="1" x14ac:dyDescent="0.3"/>
    <row r="59780" s="160" customFormat="1" x14ac:dyDescent="0.3"/>
    <row r="59781" s="160" customFormat="1" x14ac:dyDescent="0.3"/>
    <row r="59782" s="160" customFormat="1" x14ac:dyDescent="0.3"/>
    <row r="59783" s="160" customFormat="1" x14ac:dyDescent="0.3"/>
    <row r="59784" s="160" customFormat="1" x14ac:dyDescent="0.3"/>
    <row r="59785" s="160" customFormat="1" x14ac:dyDescent="0.3"/>
    <row r="59786" s="160" customFormat="1" x14ac:dyDescent="0.3"/>
    <row r="59787" s="160" customFormat="1" x14ac:dyDescent="0.3"/>
    <row r="59788" s="160" customFormat="1" x14ac:dyDescent="0.3"/>
    <row r="59789" s="160" customFormat="1" x14ac:dyDescent="0.3"/>
    <row r="59790" s="160" customFormat="1" x14ac:dyDescent="0.3"/>
    <row r="59791" s="160" customFormat="1" x14ac:dyDescent="0.3"/>
    <row r="59792" s="160" customFormat="1" x14ac:dyDescent="0.3"/>
    <row r="59793" s="160" customFormat="1" x14ac:dyDescent="0.3"/>
    <row r="59794" s="160" customFormat="1" x14ac:dyDescent="0.3"/>
    <row r="59795" s="160" customFormat="1" x14ac:dyDescent="0.3"/>
    <row r="59796" s="160" customFormat="1" x14ac:dyDescent="0.3"/>
    <row r="59797" s="160" customFormat="1" x14ac:dyDescent="0.3"/>
    <row r="59798" s="160" customFormat="1" x14ac:dyDescent="0.3"/>
    <row r="59799" s="160" customFormat="1" x14ac:dyDescent="0.3"/>
    <row r="59800" s="160" customFormat="1" x14ac:dyDescent="0.3"/>
    <row r="59801" s="160" customFormat="1" x14ac:dyDescent="0.3"/>
    <row r="59802" s="160" customFormat="1" x14ac:dyDescent="0.3"/>
    <row r="59803" s="160" customFormat="1" x14ac:dyDescent="0.3"/>
    <row r="59804" s="160" customFormat="1" x14ac:dyDescent="0.3"/>
    <row r="59805" s="160" customFormat="1" x14ac:dyDescent="0.3"/>
    <row r="59806" s="160" customFormat="1" x14ac:dyDescent="0.3"/>
    <row r="59807" s="160" customFormat="1" x14ac:dyDescent="0.3"/>
    <row r="59808" s="160" customFormat="1" x14ac:dyDescent="0.3"/>
    <row r="59809" s="160" customFormat="1" x14ac:dyDescent="0.3"/>
    <row r="59810" s="160" customFormat="1" x14ac:dyDescent="0.3"/>
    <row r="59811" s="160" customFormat="1" x14ac:dyDescent="0.3"/>
    <row r="59812" s="160" customFormat="1" x14ac:dyDescent="0.3"/>
    <row r="59813" s="160" customFormat="1" x14ac:dyDescent="0.3"/>
    <row r="59814" s="160" customFormat="1" x14ac:dyDescent="0.3"/>
    <row r="59815" s="160" customFormat="1" x14ac:dyDescent="0.3"/>
    <row r="59816" s="160" customFormat="1" x14ac:dyDescent="0.3"/>
    <row r="59817" s="160" customFormat="1" x14ac:dyDescent="0.3"/>
    <row r="59818" s="160" customFormat="1" x14ac:dyDescent="0.3"/>
    <row r="59819" s="160" customFormat="1" x14ac:dyDescent="0.3"/>
    <row r="59820" s="160" customFormat="1" x14ac:dyDescent="0.3"/>
    <row r="59821" s="160" customFormat="1" x14ac:dyDescent="0.3"/>
    <row r="59822" s="160" customFormat="1" x14ac:dyDescent="0.3"/>
    <row r="59823" s="160" customFormat="1" x14ac:dyDescent="0.3"/>
    <row r="59824" s="160" customFormat="1" x14ac:dyDescent="0.3"/>
    <row r="59825" s="160" customFormat="1" x14ac:dyDescent="0.3"/>
    <row r="59826" s="160" customFormat="1" x14ac:dyDescent="0.3"/>
    <row r="59827" s="160" customFormat="1" x14ac:dyDescent="0.3"/>
    <row r="59828" s="160" customFormat="1" x14ac:dyDescent="0.3"/>
    <row r="59829" s="160" customFormat="1" x14ac:dyDescent="0.3"/>
    <row r="59830" s="160" customFormat="1" x14ac:dyDescent="0.3"/>
    <row r="59831" s="160" customFormat="1" x14ac:dyDescent="0.3"/>
    <row r="59832" s="160" customFormat="1" x14ac:dyDescent="0.3"/>
    <row r="59833" s="160" customFormat="1" x14ac:dyDescent="0.3"/>
    <row r="59834" s="160" customFormat="1" x14ac:dyDescent="0.3"/>
    <row r="59835" s="160" customFormat="1" x14ac:dyDescent="0.3"/>
    <row r="59836" s="160" customFormat="1" x14ac:dyDescent="0.3"/>
    <row r="59837" s="160" customFormat="1" x14ac:dyDescent="0.3"/>
    <row r="59838" s="160" customFormat="1" x14ac:dyDescent="0.3"/>
    <row r="59839" s="160" customFormat="1" x14ac:dyDescent="0.3"/>
    <row r="59840" s="160" customFormat="1" x14ac:dyDescent="0.3"/>
    <row r="59841" s="160" customFormat="1" x14ac:dyDescent="0.3"/>
    <row r="59842" s="160" customFormat="1" x14ac:dyDescent="0.3"/>
    <row r="59843" s="160" customFormat="1" x14ac:dyDescent="0.3"/>
    <row r="59844" s="160" customFormat="1" x14ac:dyDescent="0.3"/>
    <row r="59845" s="160" customFormat="1" x14ac:dyDescent="0.3"/>
    <row r="59846" s="160" customFormat="1" x14ac:dyDescent="0.3"/>
    <row r="59847" s="160" customFormat="1" x14ac:dyDescent="0.3"/>
    <row r="59848" s="160" customFormat="1" x14ac:dyDescent="0.3"/>
    <row r="59849" s="160" customFormat="1" x14ac:dyDescent="0.3"/>
    <row r="59850" s="160" customFormat="1" x14ac:dyDescent="0.3"/>
    <row r="59851" s="160" customFormat="1" x14ac:dyDescent="0.3"/>
    <row r="59852" s="160" customFormat="1" x14ac:dyDescent="0.3"/>
    <row r="59853" s="160" customFormat="1" x14ac:dyDescent="0.3"/>
    <row r="59854" s="160" customFormat="1" x14ac:dyDescent="0.3"/>
    <row r="59855" s="160" customFormat="1" x14ac:dyDescent="0.3"/>
    <row r="59856" s="160" customFormat="1" x14ac:dyDescent="0.3"/>
    <row r="59857" s="160" customFormat="1" x14ac:dyDescent="0.3"/>
    <row r="59858" s="160" customFormat="1" x14ac:dyDescent="0.3"/>
    <row r="59859" s="160" customFormat="1" x14ac:dyDescent="0.3"/>
    <row r="59860" s="160" customFormat="1" x14ac:dyDescent="0.3"/>
    <row r="59861" s="160" customFormat="1" x14ac:dyDescent="0.3"/>
    <row r="59862" s="160" customFormat="1" x14ac:dyDescent="0.3"/>
    <row r="59863" s="160" customFormat="1" x14ac:dyDescent="0.3"/>
    <row r="59864" s="160" customFormat="1" x14ac:dyDescent="0.3"/>
    <row r="59865" s="160" customFormat="1" x14ac:dyDescent="0.3"/>
    <row r="59866" s="160" customFormat="1" x14ac:dyDescent="0.3"/>
    <row r="59867" s="160" customFormat="1" x14ac:dyDescent="0.3"/>
    <row r="59868" s="160" customFormat="1" x14ac:dyDescent="0.3"/>
    <row r="59869" s="160" customFormat="1" x14ac:dyDescent="0.3"/>
    <row r="59870" s="160" customFormat="1" x14ac:dyDescent="0.3"/>
    <row r="59871" s="160" customFormat="1" x14ac:dyDescent="0.3"/>
    <row r="59872" s="160" customFormat="1" x14ac:dyDescent="0.3"/>
    <row r="59873" s="160" customFormat="1" x14ac:dyDescent="0.3"/>
    <row r="59874" s="160" customFormat="1" x14ac:dyDescent="0.3"/>
    <row r="59875" s="160" customFormat="1" x14ac:dyDescent="0.3"/>
    <row r="59876" s="160" customFormat="1" x14ac:dyDescent="0.3"/>
    <row r="59877" s="160" customFormat="1" x14ac:dyDescent="0.3"/>
    <row r="59878" s="160" customFormat="1" x14ac:dyDescent="0.3"/>
    <row r="59879" s="160" customFormat="1" x14ac:dyDescent="0.3"/>
    <row r="59880" s="160" customFormat="1" x14ac:dyDescent="0.3"/>
    <row r="59881" s="160" customFormat="1" x14ac:dyDescent="0.3"/>
    <row r="59882" s="160" customFormat="1" x14ac:dyDescent="0.3"/>
    <row r="59883" s="160" customFormat="1" x14ac:dyDescent="0.3"/>
    <row r="59884" s="160" customFormat="1" x14ac:dyDescent="0.3"/>
    <row r="59885" s="160" customFormat="1" x14ac:dyDescent="0.3"/>
    <row r="59886" s="160" customFormat="1" x14ac:dyDescent="0.3"/>
    <row r="59887" s="160" customFormat="1" x14ac:dyDescent="0.3"/>
    <row r="59888" s="160" customFormat="1" x14ac:dyDescent="0.3"/>
    <row r="59889" s="160" customFormat="1" x14ac:dyDescent="0.3"/>
    <row r="59890" s="160" customFormat="1" x14ac:dyDescent="0.3"/>
    <row r="59891" s="160" customFormat="1" x14ac:dyDescent="0.3"/>
    <row r="59892" s="160" customFormat="1" x14ac:dyDescent="0.3"/>
    <row r="59893" s="160" customFormat="1" x14ac:dyDescent="0.3"/>
    <row r="59894" s="160" customFormat="1" x14ac:dyDescent="0.3"/>
    <row r="59895" s="160" customFormat="1" x14ac:dyDescent="0.3"/>
    <row r="59896" s="160" customFormat="1" x14ac:dyDescent="0.3"/>
    <row r="59897" s="160" customFormat="1" x14ac:dyDescent="0.3"/>
    <row r="59898" s="160" customFormat="1" x14ac:dyDescent="0.3"/>
    <row r="59899" s="160" customFormat="1" x14ac:dyDescent="0.3"/>
    <row r="59900" s="160" customFormat="1" x14ac:dyDescent="0.3"/>
    <row r="59901" s="160" customFormat="1" x14ac:dyDescent="0.3"/>
    <row r="59902" s="160" customFormat="1" x14ac:dyDescent="0.3"/>
    <row r="59903" s="160" customFormat="1" x14ac:dyDescent="0.3"/>
    <row r="59904" s="160" customFormat="1" x14ac:dyDescent="0.3"/>
    <row r="59905" s="160" customFormat="1" x14ac:dyDescent="0.3"/>
    <row r="59906" s="160" customFormat="1" x14ac:dyDescent="0.3"/>
    <row r="59907" s="160" customFormat="1" x14ac:dyDescent="0.3"/>
    <row r="59908" s="160" customFormat="1" x14ac:dyDescent="0.3"/>
    <row r="59909" s="160" customFormat="1" x14ac:dyDescent="0.3"/>
    <row r="59910" s="160" customFormat="1" x14ac:dyDescent="0.3"/>
    <row r="59911" s="160" customFormat="1" x14ac:dyDescent="0.3"/>
    <row r="59912" s="160" customFormat="1" x14ac:dyDescent="0.3"/>
    <row r="59913" s="160" customFormat="1" x14ac:dyDescent="0.3"/>
    <row r="59914" s="160" customFormat="1" x14ac:dyDescent="0.3"/>
    <row r="59915" s="160" customFormat="1" x14ac:dyDescent="0.3"/>
    <row r="59916" s="160" customFormat="1" x14ac:dyDescent="0.3"/>
    <row r="59917" s="160" customFormat="1" x14ac:dyDescent="0.3"/>
    <row r="59918" s="160" customFormat="1" x14ac:dyDescent="0.3"/>
    <row r="59919" s="160" customFormat="1" x14ac:dyDescent="0.3"/>
    <row r="59920" s="160" customFormat="1" x14ac:dyDescent="0.3"/>
    <row r="59921" s="160" customFormat="1" x14ac:dyDescent="0.3"/>
    <row r="59922" s="160" customFormat="1" x14ac:dyDescent="0.3"/>
    <row r="59923" s="160" customFormat="1" x14ac:dyDescent="0.3"/>
    <row r="59924" s="160" customFormat="1" x14ac:dyDescent="0.3"/>
    <row r="59925" s="160" customFormat="1" x14ac:dyDescent="0.3"/>
    <row r="59926" s="160" customFormat="1" x14ac:dyDescent="0.3"/>
    <row r="59927" s="160" customFormat="1" x14ac:dyDescent="0.3"/>
    <row r="59928" s="160" customFormat="1" x14ac:dyDescent="0.3"/>
    <row r="59929" s="160" customFormat="1" x14ac:dyDescent="0.3"/>
    <row r="59930" s="160" customFormat="1" x14ac:dyDescent="0.3"/>
    <row r="59931" s="160" customFormat="1" x14ac:dyDescent="0.3"/>
    <row r="59932" s="160" customFormat="1" x14ac:dyDescent="0.3"/>
    <row r="59933" s="160" customFormat="1" x14ac:dyDescent="0.3"/>
    <row r="59934" s="160" customFormat="1" x14ac:dyDescent="0.3"/>
    <row r="59935" s="160" customFormat="1" x14ac:dyDescent="0.3"/>
    <row r="59936" s="160" customFormat="1" x14ac:dyDescent="0.3"/>
    <row r="59937" s="160" customFormat="1" x14ac:dyDescent="0.3"/>
    <row r="59938" s="160" customFormat="1" x14ac:dyDescent="0.3"/>
    <row r="59939" s="160" customFormat="1" x14ac:dyDescent="0.3"/>
    <row r="59940" s="160" customFormat="1" x14ac:dyDescent="0.3"/>
    <row r="59941" s="160" customFormat="1" x14ac:dyDescent="0.3"/>
    <row r="59942" s="160" customFormat="1" x14ac:dyDescent="0.3"/>
    <row r="59943" s="160" customFormat="1" x14ac:dyDescent="0.3"/>
    <row r="59944" s="160" customFormat="1" x14ac:dyDescent="0.3"/>
    <row r="59945" s="160" customFormat="1" x14ac:dyDescent="0.3"/>
    <row r="59946" s="160" customFormat="1" x14ac:dyDescent="0.3"/>
    <row r="59947" s="160" customFormat="1" x14ac:dyDescent="0.3"/>
    <row r="59948" s="160" customFormat="1" x14ac:dyDescent="0.3"/>
    <row r="59949" s="160" customFormat="1" x14ac:dyDescent="0.3"/>
    <row r="59950" s="160" customFormat="1" x14ac:dyDescent="0.3"/>
    <row r="59951" s="160" customFormat="1" x14ac:dyDescent="0.3"/>
    <row r="59952" s="160" customFormat="1" x14ac:dyDescent="0.3"/>
    <row r="59953" s="160" customFormat="1" x14ac:dyDescent="0.3"/>
    <row r="59954" s="160" customFormat="1" x14ac:dyDescent="0.3"/>
    <row r="59955" s="160" customFormat="1" x14ac:dyDescent="0.3"/>
    <row r="59956" s="160" customFormat="1" x14ac:dyDescent="0.3"/>
    <row r="59957" s="160" customFormat="1" x14ac:dyDescent="0.3"/>
    <row r="59958" s="160" customFormat="1" x14ac:dyDescent="0.3"/>
    <row r="59959" s="160" customFormat="1" x14ac:dyDescent="0.3"/>
    <row r="59960" s="160" customFormat="1" x14ac:dyDescent="0.3"/>
    <row r="59961" s="160" customFormat="1" x14ac:dyDescent="0.3"/>
    <row r="59962" s="160" customFormat="1" x14ac:dyDescent="0.3"/>
    <row r="59963" s="160" customFormat="1" x14ac:dyDescent="0.3"/>
    <row r="59964" s="160" customFormat="1" x14ac:dyDescent="0.3"/>
    <row r="59965" s="160" customFormat="1" x14ac:dyDescent="0.3"/>
    <row r="59966" s="160" customFormat="1" x14ac:dyDescent="0.3"/>
    <row r="59967" s="160" customFormat="1" x14ac:dyDescent="0.3"/>
    <row r="59968" s="160" customFormat="1" x14ac:dyDescent="0.3"/>
    <row r="59969" s="160" customFormat="1" x14ac:dyDescent="0.3"/>
    <row r="59970" s="160" customFormat="1" x14ac:dyDescent="0.3"/>
    <row r="59971" s="160" customFormat="1" x14ac:dyDescent="0.3"/>
    <row r="59972" s="160" customFormat="1" x14ac:dyDescent="0.3"/>
    <row r="59973" s="160" customFormat="1" x14ac:dyDescent="0.3"/>
    <row r="59974" s="160" customFormat="1" x14ac:dyDescent="0.3"/>
    <row r="59975" s="160" customFormat="1" x14ac:dyDescent="0.3"/>
    <row r="59976" s="160" customFormat="1" x14ac:dyDescent="0.3"/>
    <row r="59977" s="160" customFormat="1" x14ac:dyDescent="0.3"/>
    <row r="59978" s="160" customFormat="1" x14ac:dyDescent="0.3"/>
    <row r="59979" s="160" customFormat="1" x14ac:dyDescent="0.3"/>
    <row r="59980" s="160" customFormat="1" x14ac:dyDescent="0.3"/>
    <row r="59981" s="160" customFormat="1" x14ac:dyDescent="0.3"/>
    <row r="59982" s="160" customFormat="1" x14ac:dyDescent="0.3"/>
    <row r="59983" s="160" customFormat="1" x14ac:dyDescent="0.3"/>
    <row r="59984" s="160" customFormat="1" x14ac:dyDescent="0.3"/>
    <row r="59985" s="160" customFormat="1" x14ac:dyDescent="0.3"/>
    <row r="59986" s="160" customFormat="1" x14ac:dyDescent="0.3"/>
    <row r="59987" s="160" customFormat="1" x14ac:dyDescent="0.3"/>
    <row r="59988" s="160" customFormat="1" x14ac:dyDescent="0.3"/>
    <row r="59989" s="160" customFormat="1" x14ac:dyDescent="0.3"/>
    <row r="59990" s="160" customFormat="1" x14ac:dyDescent="0.3"/>
    <row r="59991" s="160" customFormat="1" x14ac:dyDescent="0.3"/>
    <row r="59992" s="160" customFormat="1" x14ac:dyDescent="0.3"/>
    <row r="59993" s="160" customFormat="1" x14ac:dyDescent="0.3"/>
    <row r="59994" s="160" customFormat="1" x14ac:dyDescent="0.3"/>
    <row r="59995" s="160" customFormat="1" x14ac:dyDescent="0.3"/>
    <row r="59996" s="160" customFormat="1" x14ac:dyDescent="0.3"/>
    <row r="59997" s="160" customFormat="1" x14ac:dyDescent="0.3"/>
    <row r="59998" s="160" customFormat="1" x14ac:dyDescent="0.3"/>
    <row r="59999" s="160" customFormat="1" x14ac:dyDescent="0.3"/>
    <row r="60000" s="160" customFormat="1" x14ac:dyDescent="0.3"/>
    <row r="60001" s="160" customFormat="1" x14ac:dyDescent="0.3"/>
    <row r="60002" s="160" customFormat="1" x14ac:dyDescent="0.3"/>
    <row r="60003" s="160" customFormat="1" x14ac:dyDescent="0.3"/>
    <row r="60004" s="160" customFormat="1" x14ac:dyDescent="0.3"/>
    <row r="60005" s="160" customFormat="1" x14ac:dyDescent="0.3"/>
    <row r="60006" s="160" customFormat="1" x14ac:dyDescent="0.3"/>
    <row r="60007" s="160" customFormat="1" x14ac:dyDescent="0.3"/>
    <row r="60008" s="160" customFormat="1" x14ac:dyDescent="0.3"/>
    <row r="60009" s="160" customFormat="1" x14ac:dyDescent="0.3"/>
    <row r="60010" s="160" customFormat="1" x14ac:dyDescent="0.3"/>
    <row r="60011" s="160" customFormat="1" x14ac:dyDescent="0.3"/>
    <row r="60012" s="160" customFormat="1" x14ac:dyDescent="0.3"/>
    <row r="60013" s="160" customFormat="1" x14ac:dyDescent="0.3"/>
    <row r="60014" s="160" customFormat="1" x14ac:dyDescent="0.3"/>
    <row r="60015" s="160" customFormat="1" x14ac:dyDescent="0.3"/>
    <row r="60016" s="160" customFormat="1" x14ac:dyDescent="0.3"/>
    <row r="60017" s="160" customFormat="1" x14ac:dyDescent="0.3"/>
    <row r="60018" s="160" customFormat="1" x14ac:dyDescent="0.3"/>
    <row r="60019" s="160" customFormat="1" x14ac:dyDescent="0.3"/>
    <row r="60020" s="160" customFormat="1" x14ac:dyDescent="0.3"/>
    <row r="60021" s="160" customFormat="1" x14ac:dyDescent="0.3"/>
    <row r="60022" s="160" customFormat="1" x14ac:dyDescent="0.3"/>
    <row r="60023" s="160" customFormat="1" x14ac:dyDescent="0.3"/>
    <row r="60024" s="160" customFormat="1" x14ac:dyDescent="0.3"/>
    <row r="60025" s="160" customFormat="1" x14ac:dyDescent="0.3"/>
    <row r="60026" s="160" customFormat="1" x14ac:dyDescent="0.3"/>
    <row r="60027" s="160" customFormat="1" x14ac:dyDescent="0.3"/>
    <row r="60028" s="160" customFormat="1" x14ac:dyDescent="0.3"/>
    <row r="60029" s="160" customFormat="1" x14ac:dyDescent="0.3"/>
    <row r="60030" s="160" customFormat="1" x14ac:dyDescent="0.3"/>
    <row r="60031" s="160" customFormat="1" x14ac:dyDescent="0.3"/>
    <row r="60032" s="160" customFormat="1" x14ac:dyDescent="0.3"/>
    <row r="60033" s="160" customFormat="1" x14ac:dyDescent="0.3"/>
    <row r="60034" s="160" customFormat="1" x14ac:dyDescent="0.3"/>
    <row r="60035" s="160" customFormat="1" x14ac:dyDescent="0.3"/>
    <row r="60036" s="160" customFormat="1" x14ac:dyDescent="0.3"/>
    <row r="60037" s="160" customFormat="1" x14ac:dyDescent="0.3"/>
    <row r="60038" s="160" customFormat="1" x14ac:dyDescent="0.3"/>
    <row r="60039" s="160" customFormat="1" x14ac:dyDescent="0.3"/>
    <row r="60040" s="160" customFormat="1" x14ac:dyDescent="0.3"/>
    <row r="60041" s="160" customFormat="1" x14ac:dyDescent="0.3"/>
    <row r="60042" s="160" customFormat="1" x14ac:dyDescent="0.3"/>
    <row r="60043" s="160" customFormat="1" x14ac:dyDescent="0.3"/>
    <row r="60044" s="160" customFormat="1" x14ac:dyDescent="0.3"/>
    <row r="60045" s="160" customFormat="1" x14ac:dyDescent="0.3"/>
    <row r="60046" s="160" customFormat="1" x14ac:dyDescent="0.3"/>
    <row r="60047" s="160" customFormat="1" x14ac:dyDescent="0.3"/>
    <row r="60048" s="160" customFormat="1" x14ac:dyDescent="0.3"/>
    <row r="60049" s="160" customFormat="1" x14ac:dyDescent="0.3"/>
    <row r="60050" s="160" customFormat="1" x14ac:dyDescent="0.3"/>
    <row r="60051" s="160" customFormat="1" x14ac:dyDescent="0.3"/>
    <row r="60052" s="160" customFormat="1" x14ac:dyDescent="0.3"/>
    <row r="60053" s="160" customFormat="1" x14ac:dyDescent="0.3"/>
    <row r="60054" s="160" customFormat="1" x14ac:dyDescent="0.3"/>
    <row r="60055" s="160" customFormat="1" x14ac:dyDescent="0.3"/>
    <row r="60056" s="160" customFormat="1" x14ac:dyDescent="0.3"/>
    <row r="60057" s="160" customFormat="1" x14ac:dyDescent="0.3"/>
    <row r="60058" s="160" customFormat="1" x14ac:dyDescent="0.3"/>
    <row r="60059" s="160" customFormat="1" x14ac:dyDescent="0.3"/>
    <row r="60060" s="160" customFormat="1" x14ac:dyDescent="0.3"/>
    <row r="60061" s="160" customFormat="1" x14ac:dyDescent="0.3"/>
    <row r="60062" s="160" customFormat="1" x14ac:dyDescent="0.3"/>
    <row r="60063" s="160" customFormat="1" x14ac:dyDescent="0.3"/>
    <row r="60064" s="160" customFormat="1" x14ac:dyDescent="0.3"/>
    <row r="60065" s="160" customFormat="1" x14ac:dyDescent="0.3"/>
    <row r="60066" s="160" customFormat="1" x14ac:dyDescent="0.3"/>
    <row r="60067" s="160" customFormat="1" x14ac:dyDescent="0.3"/>
    <row r="60068" s="160" customFormat="1" x14ac:dyDescent="0.3"/>
    <row r="60069" s="160" customFormat="1" x14ac:dyDescent="0.3"/>
    <row r="60070" s="160" customFormat="1" x14ac:dyDescent="0.3"/>
    <row r="60071" s="160" customFormat="1" x14ac:dyDescent="0.3"/>
    <row r="60072" s="160" customFormat="1" x14ac:dyDescent="0.3"/>
    <row r="60073" s="160" customFormat="1" x14ac:dyDescent="0.3"/>
    <row r="60074" s="160" customFormat="1" x14ac:dyDescent="0.3"/>
    <row r="60075" s="160" customFormat="1" x14ac:dyDescent="0.3"/>
    <row r="60076" s="160" customFormat="1" x14ac:dyDescent="0.3"/>
    <row r="60077" s="160" customFormat="1" x14ac:dyDescent="0.3"/>
    <row r="60078" s="160" customFormat="1" x14ac:dyDescent="0.3"/>
    <row r="60079" s="160" customFormat="1" x14ac:dyDescent="0.3"/>
    <row r="60080" s="160" customFormat="1" x14ac:dyDescent="0.3"/>
    <row r="60081" s="160" customFormat="1" x14ac:dyDescent="0.3"/>
    <row r="60082" s="160" customFormat="1" x14ac:dyDescent="0.3"/>
    <row r="60083" s="160" customFormat="1" x14ac:dyDescent="0.3"/>
    <row r="60084" s="160" customFormat="1" x14ac:dyDescent="0.3"/>
    <row r="60085" s="160" customFormat="1" x14ac:dyDescent="0.3"/>
    <row r="60086" s="160" customFormat="1" x14ac:dyDescent="0.3"/>
    <row r="60087" s="160" customFormat="1" x14ac:dyDescent="0.3"/>
    <row r="60088" s="160" customFormat="1" x14ac:dyDescent="0.3"/>
    <row r="60089" s="160" customFormat="1" x14ac:dyDescent="0.3"/>
    <row r="60090" s="160" customFormat="1" x14ac:dyDescent="0.3"/>
    <row r="60091" s="160" customFormat="1" x14ac:dyDescent="0.3"/>
    <row r="60092" s="160" customFormat="1" x14ac:dyDescent="0.3"/>
    <row r="60093" s="160" customFormat="1" x14ac:dyDescent="0.3"/>
    <row r="60094" s="160" customFormat="1" x14ac:dyDescent="0.3"/>
    <row r="60095" s="160" customFormat="1" x14ac:dyDescent="0.3"/>
    <row r="60096" s="160" customFormat="1" x14ac:dyDescent="0.3"/>
    <row r="60097" s="160" customFormat="1" x14ac:dyDescent="0.3"/>
    <row r="60098" s="160" customFormat="1" x14ac:dyDescent="0.3"/>
    <row r="60099" s="160" customFormat="1" x14ac:dyDescent="0.3"/>
    <row r="60100" s="160" customFormat="1" x14ac:dyDescent="0.3"/>
    <row r="60101" s="160" customFormat="1" x14ac:dyDescent="0.3"/>
    <row r="60102" s="160" customFormat="1" x14ac:dyDescent="0.3"/>
    <row r="60103" s="160" customFormat="1" x14ac:dyDescent="0.3"/>
    <row r="60104" s="160" customFormat="1" x14ac:dyDescent="0.3"/>
    <row r="60105" s="160" customFormat="1" x14ac:dyDescent="0.3"/>
    <row r="60106" s="160" customFormat="1" x14ac:dyDescent="0.3"/>
    <row r="60107" s="160" customFormat="1" x14ac:dyDescent="0.3"/>
    <row r="60108" s="160" customFormat="1" x14ac:dyDescent="0.3"/>
    <row r="60109" s="160" customFormat="1" x14ac:dyDescent="0.3"/>
    <row r="60110" s="160" customFormat="1" x14ac:dyDescent="0.3"/>
    <row r="60111" s="160" customFormat="1" x14ac:dyDescent="0.3"/>
    <row r="60112" s="160" customFormat="1" x14ac:dyDescent="0.3"/>
    <row r="60113" s="160" customFormat="1" x14ac:dyDescent="0.3"/>
    <row r="60114" s="160" customFormat="1" x14ac:dyDescent="0.3"/>
    <row r="60115" s="160" customFormat="1" x14ac:dyDescent="0.3"/>
    <row r="60116" s="160" customFormat="1" x14ac:dyDescent="0.3"/>
    <row r="60117" s="160" customFormat="1" x14ac:dyDescent="0.3"/>
    <row r="60118" s="160" customFormat="1" x14ac:dyDescent="0.3"/>
    <row r="60119" s="160" customFormat="1" x14ac:dyDescent="0.3"/>
    <row r="60120" s="160" customFormat="1" x14ac:dyDescent="0.3"/>
    <row r="60121" s="160" customFormat="1" x14ac:dyDescent="0.3"/>
    <row r="60122" s="160" customFormat="1" x14ac:dyDescent="0.3"/>
    <row r="60123" s="160" customFormat="1" x14ac:dyDescent="0.3"/>
    <row r="60124" s="160" customFormat="1" x14ac:dyDescent="0.3"/>
    <row r="60125" s="160" customFormat="1" x14ac:dyDescent="0.3"/>
    <row r="60126" s="160" customFormat="1" x14ac:dyDescent="0.3"/>
    <row r="60127" s="160" customFormat="1" x14ac:dyDescent="0.3"/>
    <row r="60128" s="160" customFormat="1" x14ac:dyDescent="0.3"/>
    <row r="60129" s="160" customFormat="1" x14ac:dyDescent="0.3"/>
    <row r="60130" s="160" customFormat="1" x14ac:dyDescent="0.3"/>
    <row r="60131" s="160" customFormat="1" x14ac:dyDescent="0.3"/>
    <row r="60132" s="160" customFormat="1" x14ac:dyDescent="0.3"/>
    <row r="60133" s="160" customFormat="1" x14ac:dyDescent="0.3"/>
    <row r="60134" s="160" customFormat="1" x14ac:dyDescent="0.3"/>
    <row r="60135" s="160" customFormat="1" x14ac:dyDescent="0.3"/>
    <row r="60136" s="160" customFormat="1" x14ac:dyDescent="0.3"/>
    <row r="60137" s="160" customFormat="1" x14ac:dyDescent="0.3"/>
    <row r="60138" s="160" customFormat="1" x14ac:dyDescent="0.3"/>
    <row r="60139" s="160" customFormat="1" x14ac:dyDescent="0.3"/>
    <row r="60140" s="160" customFormat="1" x14ac:dyDescent="0.3"/>
    <row r="60141" s="160" customFormat="1" x14ac:dyDescent="0.3"/>
    <row r="60142" s="160" customFormat="1" x14ac:dyDescent="0.3"/>
    <row r="60143" s="160" customFormat="1" x14ac:dyDescent="0.3"/>
    <row r="60144" s="160" customFormat="1" x14ac:dyDescent="0.3"/>
    <row r="60145" s="160" customFormat="1" x14ac:dyDescent="0.3"/>
    <row r="60146" s="160" customFormat="1" x14ac:dyDescent="0.3"/>
    <row r="60147" s="160" customFormat="1" x14ac:dyDescent="0.3"/>
    <row r="60148" s="160" customFormat="1" x14ac:dyDescent="0.3"/>
    <row r="60149" s="160" customFormat="1" x14ac:dyDescent="0.3"/>
    <row r="60150" s="160" customFormat="1" x14ac:dyDescent="0.3"/>
    <row r="60151" s="160" customFormat="1" x14ac:dyDescent="0.3"/>
    <row r="60152" s="160" customFormat="1" x14ac:dyDescent="0.3"/>
    <row r="60153" s="160" customFormat="1" x14ac:dyDescent="0.3"/>
    <row r="60154" s="160" customFormat="1" x14ac:dyDescent="0.3"/>
    <row r="60155" s="160" customFormat="1" x14ac:dyDescent="0.3"/>
    <row r="60156" s="160" customFormat="1" x14ac:dyDescent="0.3"/>
    <row r="60157" s="160" customFormat="1" x14ac:dyDescent="0.3"/>
    <row r="60158" s="160" customFormat="1" x14ac:dyDescent="0.3"/>
    <row r="60159" s="160" customFormat="1" x14ac:dyDescent="0.3"/>
    <row r="60160" s="160" customFormat="1" x14ac:dyDescent="0.3"/>
    <row r="60161" s="160" customFormat="1" x14ac:dyDescent="0.3"/>
    <row r="60162" s="160" customFormat="1" x14ac:dyDescent="0.3"/>
    <row r="60163" s="160" customFormat="1" x14ac:dyDescent="0.3"/>
    <row r="60164" s="160" customFormat="1" x14ac:dyDescent="0.3"/>
    <row r="60165" s="160" customFormat="1" x14ac:dyDescent="0.3"/>
    <row r="60166" s="160" customFormat="1" x14ac:dyDescent="0.3"/>
    <row r="60167" s="160" customFormat="1" x14ac:dyDescent="0.3"/>
    <row r="60168" s="160" customFormat="1" x14ac:dyDescent="0.3"/>
    <row r="60169" s="160" customFormat="1" x14ac:dyDescent="0.3"/>
    <row r="60170" s="160" customFormat="1" x14ac:dyDescent="0.3"/>
    <row r="60171" s="160" customFormat="1" x14ac:dyDescent="0.3"/>
    <row r="60172" s="160" customFormat="1" x14ac:dyDescent="0.3"/>
    <row r="60173" s="160" customFormat="1" x14ac:dyDescent="0.3"/>
    <row r="60174" s="160" customFormat="1" x14ac:dyDescent="0.3"/>
    <row r="60175" s="160" customFormat="1" x14ac:dyDescent="0.3"/>
    <row r="60176" s="160" customFormat="1" x14ac:dyDescent="0.3"/>
    <row r="60177" s="160" customFormat="1" x14ac:dyDescent="0.3"/>
    <row r="60178" s="160" customFormat="1" x14ac:dyDescent="0.3"/>
    <row r="60179" s="160" customFormat="1" x14ac:dyDescent="0.3"/>
    <row r="60180" s="160" customFormat="1" x14ac:dyDescent="0.3"/>
    <row r="60181" s="160" customFormat="1" x14ac:dyDescent="0.3"/>
    <row r="60182" s="160" customFormat="1" x14ac:dyDescent="0.3"/>
    <row r="60183" s="160" customFormat="1" x14ac:dyDescent="0.3"/>
    <row r="60184" s="160" customFormat="1" x14ac:dyDescent="0.3"/>
    <row r="60185" s="160" customFormat="1" x14ac:dyDescent="0.3"/>
    <row r="60186" s="160" customFormat="1" x14ac:dyDescent="0.3"/>
    <row r="60187" s="160" customFormat="1" x14ac:dyDescent="0.3"/>
    <row r="60188" s="160" customFormat="1" x14ac:dyDescent="0.3"/>
    <row r="60189" s="160" customFormat="1" x14ac:dyDescent="0.3"/>
    <row r="60190" s="160" customFormat="1" x14ac:dyDescent="0.3"/>
    <row r="60191" s="160" customFormat="1" x14ac:dyDescent="0.3"/>
    <row r="60192" s="160" customFormat="1" x14ac:dyDescent="0.3"/>
    <row r="60193" s="160" customFormat="1" x14ac:dyDescent="0.3"/>
    <row r="60194" s="160" customFormat="1" x14ac:dyDescent="0.3"/>
    <row r="60195" s="160" customFormat="1" x14ac:dyDescent="0.3"/>
    <row r="60196" s="160" customFormat="1" x14ac:dyDescent="0.3"/>
    <row r="60197" s="160" customFormat="1" x14ac:dyDescent="0.3"/>
    <row r="60198" s="160" customFormat="1" x14ac:dyDescent="0.3"/>
    <row r="60199" s="160" customFormat="1" x14ac:dyDescent="0.3"/>
    <row r="60200" s="160" customFormat="1" x14ac:dyDescent="0.3"/>
    <row r="60201" s="160" customFormat="1" x14ac:dyDescent="0.3"/>
    <row r="60202" s="160" customFormat="1" x14ac:dyDescent="0.3"/>
    <row r="60203" s="160" customFormat="1" x14ac:dyDescent="0.3"/>
    <row r="60204" s="160" customFormat="1" x14ac:dyDescent="0.3"/>
    <row r="60205" s="160" customFormat="1" x14ac:dyDescent="0.3"/>
    <row r="60206" s="160" customFormat="1" x14ac:dyDescent="0.3"/>
    <row r="60207" s="160" customFormat="1" x14ac:dyDescent="0.3"/>
    <row r="60208" s="160" customFormat="1" x14ac:dyDescent="0.3"/>
    <row r="60209" s="160" customFormat="1" x14ac:dyDescent="0.3"/>
    <row r="60210" s="160" customFormat="1" x14ac:dyDescent="0.3"/>
    <row r="60211" s="160" customFormat="1" x14ac:dyDescent="0.3"/>
    <row r="60212" s="160" customFormat="1" x14ac:dyDescent="0.3"/>
    <row r="60213" s="160" customFormat="1" x14ac:dyDescent="0.3"/>
    <row r="60214" s="160" customFormat="1" x14ac:dyDescent="0.3"/>
    <row r="60215" s="160" customFormat="1" x14ac:dyDescent="0.3"/>
    <row r="60216" s="160" customFormat="1" x14ac:dyDescent="0.3"/>
    <row r="60217" s="160" customFormat="1" x14ac:dyDescent="0.3"/>
    <row r="60218" s="160" customFormat="1" x14ac:dyDescent="0.3"/>
    <row r="60219" s="160" customFormat="1" x14ac:dyDescent="0.3"/>
    <row r="60220" s="160" customFormat="1" x14ac:dyDescent="0.3"/>
    <row r="60221" s="160" customFormat="1" x14ac:dyDescent="0.3"/>
    <row r="60222" s="160" customFormat="1" x14ac:dyDescent="0.3"/>
    <row r="60223" s="160" customFormat="1" x14ac:dyDescent="0.3"/>
    <row r="60224" s="160" customFormat="1" x14ac:dyDescent="0.3"/>
    <row r="60225" s="160" customFormat="1" x14ac:dyDescent="0.3"/>
    <row r="60226" s="160" customFormat="1" x14ac:dyDescent="0.3"/>
    <row r="60227" s="160" customFormat="1" x14ac:dyDescent="0.3"/>
    <row r="60228" s="160" customFormat="1" x14ac:dyDescent="0.3"/>
    <row r="60229" s="160" customFormat="1" x14ac:dyDescent="0.3"/>
    <row r="60230" s="160" customFormat="1" x14ac:dyDescent="0.3"/>
    <row r="60231" s="160" customFormat="1" x14ac:dyDescent="0.3"/>
    <row r="60232" s="160" customFormat="1" x14ac:dyDescent="0.3"/>
    <row r="60233" s="160" customFormat="1" x14ac:dyDescent="0.3"/>
    <row r="60234" s="160" customFormat="1" x14ac:dyDescent="0.3"/>
    <row r="60235" s="160" customFormat="1" x14ac:dyDescent="0.3"/>
    <row r="60236" s="160" customFormat="1" x14ac:dyDescent="0.3"/>
    <row r="60237" s="160" customFormat="1" x14ac:dyDescent="0.3"/>
    <row r="60238" s="160" customFormat="1" x14ac:dyDescent="0.3"/>
    <row r="60239" s="160" customFormat="1" x14ac:dyDescent="0.3"/>
    <row r="60240" s="160" customFormat="1" x14ac:dyDescent="0.3"/>
    <row r="60241" s="160" customFormat="1" x14ac:dyDescent="0.3"/>
    <row r="60242" s="160" customFormat="1" x14ac:dyDescent="0.3"/>
    <row r="60243" s="160" customFormat="1" x14ac:dyDescent="0.3"/>
    <row r="60244" s="160" customFormat="1" x14ac:dyDescent="0.3"/>
    <row r="60245" s="160" customFormat="1" x14ac:dyDescent="0.3"/>
    <row r="60246" s="160" customFormat="1" x14ac:dyDescent="0.3"/>
    <row r="60247" s="160" customFormat="1" x14ac:dyDescent="0.3"/>
    <row r="60248" s="160" customFormat="1" x14ac:dyDescent="0.3"/>
    <row r="60249" s="160" customFormat="1" x14ac:dyDescent="0.3"/>
    <row r="60250" s="160" customFormat="1" x14ac:dyDescent="0.3"/>
    <row r="60251" s="160" customFormat="1" x14ac:dyDescent="0.3"/>
    <row r="60252" s="160" customFormat="1" x14ac:dyDescent="0.3"/>
    <row r="60253" s="160" customFormat="1" x14ac:dyDescent="0.3"/>
    <row r="60254" s="160" customFormat="1" x14ac:dyDescent="0.3"/>
    <row r="60255" s="160" customFormat="1" x14ac:dyDescent="0.3"/>
    <row r="60256" s="160" customFormat="1" x14ac:dyDescent="0.3"/>
    <row r="60257" s="160" customFormat="1" x14ac:dyDescent="0.3"/>
    <row r="60258" s="160" customFormat="1" x14ac:dyDescent="0.3"/>
    <row r="60259" s="160" customFormat="1" x14ac:dyDescent="0.3"/>
    <row r="60260" s="160" customFormat="1" x14ac:dyDescent="0.3"/>
    <row r="60261" s="160" customFormat="1" x14ac:dyDescent="0.3"/>
    <row r="60262" s="160" customFormat="1" x14ac:dyDescent="0.3"/>
    <row r="60263" s="160" customFormat="1" x14ac:dyDescent="0.3"/>
    <row r="60264" s="160" customFormat="1" x14ac:dyDescent="0.3"/>
    <row r="60265" s="160" customFormat="1" x14ac:dyDescent="0.3"/>
    <row r="60266" s="160" customFormat="1" x14ac:dyDescent="0.3"/>
    <row r="60267" s="160" customFormat="1" x14ac:dyDescent="0.3"/>
    <row r="60268" s="160" customFormat="1" x14ac:dyDescent="0.3"/>
    <row r="60269" s="160" customFormat="1" x14ac:dyDescent="0.3"/>
    <row r="60270" s="160" customFormat="1" x14ac:dyDescent="0.3"/>
    <row r="60271" s="160" customFormat="1" x14ac:dyDescent="0.3"/>
    <row r="60272" s="160" customFormat="1" x14ac:dyDescent="0.3"/>
    <row r="60273" s="160" customFormat="1" x14ac:dyDescent="0.3"/>
    <row r="60274" s="160" customFormat="1" x14ac:dyDescent="0.3"/>
    <row r="60275" s="160" customFormat="1" x14ac:dyDescent="0.3"/>
    <row r="60276" s="160" customFormat="1" x14ac:dyDescent="0.3"/>
    <row r="60277" s="160" customFormat="1" x14ac:dyDescent="0.3"/>
    <row r="60278" s="160" customFormat="1" x14ac:dyDescent="0.3"/>
    <row r="60279" s="160" customFormat="1" x14ac:dyDescent="0.3"/>
    <row r="60280" s="160" customFormat="1" x14ac:dyDescent="0.3"/>
    <row r="60281" s="160" customFormat="1" x14ac:dyDescent="0.3"/>
    <row r="60282" s="160" customFormat="1" x14ac:dyDescent="0.3"/>
    <row r="60283" s="160" customFormat="1" x14ac:dyDescent="0.3"/>
    <row r="60284" s="160" customFormat="1" x14ac:dyDescent="0.3"/>
    <row r="60285" s="160" customFormat="1" x14ac:dyDescent="0.3"/>
    <row r="60286" s="160" customFormat="1" x14ac:dyDescent="0.3"/>
    <row r="60287" s="160" customFormat="1" x14ac:dyDescent="0.3"/>
    <row r="60288" s="160" customFormat="1" x14ac:dyDescent="0.3"/>
    <row r="60289" s="160" customFormat="1" x14ac:dyDescent="0.3"/>
    <row r="60290" s="160" customFormat="1" x14ac:dyDescent="0.3"/>
    <row r="60291" s="160" customFormat="1" x14ac:dyDescent="0.3"/>
    <row r="60292" s="160" customFormat="1" x14ac:dyDescent="0.3"/>
    <row r="60293" s="160" customFormat="1" x14ac:dyDescent="0.3"/>
    <row r="60294" s="160" customFormat="1" x14ac:dyDescent="0.3"/>
    <row r="60295" s="160" customFormat="1" x14ac:dyDescent="0.3"/>
    <row r="60296" s="160" customFormat="1" x14ac:dyDescent="0.3"/>
    <row r="60297" s="160" customFormat="1" x14ac:dyDescent="0.3"/>
    <row r="60298" s="160" customFormat="1" x14ac:dyDescent="0.3"/>
    <row r="60299" s="160" customFormat="1" x14ac:dyDescent="0.3"/>
    <row r="60300" s="160" customFormat="1" x14ac:dyDescent="0.3"/>
    <row r="60301" s="160" customFormat="1" x14ac:dyDescent="0.3"/>
    <row r="60302" s="160" customFormat="1" x14ac:dyDescent="0.3"/>
    <row r="60303" s="160" customFormat="1" x14ac:dyDescent="0.3"/>
    <row r="60304" s="160" customFormat="1" x14ac:dyDescent="0.3"/>
    <row r="60305" s="160" customFormat="1" x14ac:dyDescent="0.3"/>
    <row r="60306" s="160" customFormat="1" x14ac:dyDescent="0.3"/>
    <row r="60307" s="160" customFormat="1" x14ac:dyDescent="0.3"/>
    <row r="60308" s="160" customFormat="1" x14ac:dyDescent="0.3"/>
    <row r="60309" s="160" customFormat="1" x14ac:dyDescent="0.3"/>
    <row r="60310" s="160" customFormat="1" x14ac:dyDescent="0.3"/>
    <row r="60311" s="160" customFormat="1" x14ac:dyDescent="0.3"/>
    <row r="60312" s="160" customFormat="1" x14ac:dyDescent="0.3"/>
    <row r="60313" s="160" customFormat="1" x14ac:dyDescent="0.3"/>
    <row r="60314" s="160" customFormat="1" x14ac:dyDescent="0.3"/>
    <row r="60315" s="160" customFormat="1" x14ac:dyDescent="0.3"/>
    <row r="60316" s="160" customFormat="1" x14ac:dyDescent="0.3"/>
    <row r="60317" s="160" customFormat="1" x14ac:dyDescent="0.3"/>
    <row r="60318" s="160" customFormat="1" x14ac:dyDescent="0.3"/>
    <row r="60319" s="160" customFormat="1" x14ac:dyDescent="0.3"/>
    <row r="60320" s="160" customFormat="1" x14ac:dyDescent="0.3"/>
    <row r="60321" s="160" customFormat="1" x14ac:dyDescent="0.3"/>
    <row r="60322" s="160" customFormat="1" x14ac:dyDescent="0.3"/>
    <row r="60323" s="160" customFormat="1" x14ac:dyDescent="0.3"/>
    <row r="60324" s="160" customFormat="1" x14ac:dyDescent="0.3"/>
    <row r="60325" s="160" customFormat="1" x14ac:dyDescent="0.3"/>
    <row r="60326" s="160" customFormat="1" x14ac:dyDescent="0.3"/>
    <row r="60327" s="160" customFormat="1" x14ac:dyDescent="0.3"/>
    <row r="60328" s="160" customFormat="1" x14ac:dyDescent="0.3"/>
    <row r="60329" s="160" customFormat="1" x14ac:dyDescent="0.3"/>
    <row r="60330" s="160" customFormat="1" x14ac:dyDescent="0.3"/>
    <row r="60331" s="160" customFormat="1" x14ac:dyDescent="0.3"/>
    <row r="60332" s="160" customFormat="1" x14ac:dyDescent="0.3"/>
    <row r="60333" s="160" customFormat="1" x14ac:dyDescent="0.3"/>
    <row r="60334" s="160" customFormat="1" x14ac:dyDescent="0.3"/>
    <row r="60335" s="160" customFormat="1" x14ac:dyDescent="0.3"/>
    <row r="60336" s="160" customFormat="1" x14ac:dyDescent="0.3"/>
    <row r="60337" s="160" customFormat="1" x14ac:dyDescent="0.3"/>
    <row r="60338" s="160" customFormat="1" x14ac:dyDescent="0.3"/>
    <row r="60339" s="160" customFormat="1" x14ac:dyDescent="0.3"/>
    <row r="60340" s="160" customFormat="1" x14ac:dyDescent="0.3"/>
    <row r="60341" s="160" customFormat="1" x14ac:dyDescent="0.3"/>
    <row r="60342" s="160" customFormat="1" x14ac:dyDescent="0.3"/>
    <row r="60343" s="160" customFormat="1" x14ac:dyDescent="0.3"/>
    <row r="60344" s="160" customFormat="1" x14ac:dyDescent="0.3"/>
    <row r="60345" s="160" customFormat="1" x14ac:dyDescent="0.3"/>
    <row r="60346" s="160" customFormat="1" x14ac:dyDescent="0.3"/>
    <row r="60347" s="160" customFormat="1" x14ac:dyDescent="0.3"/>
    <row r="60348" s="160" customFormat="1" x14ac:dyDescent="0.3"/>
    <row r="60349" s="160" customFormat="1" x14ac:dyDescent="0.3"/>
    <row r="60350" s="160" customFormat="1" x14ac:dyDescent="0.3"/>
    <row r="60351" s="160" customFormat="1" x14ac:dyDescent="0.3"/>
    <row r="60352" s="160" customFormat="1" x14ac:dyDescent="0.3"/>
    <row r="60353" s="160" customFormat="1" x14ac:dyDescent="0.3"/>
    <row r="60354" s="160" customFormat="1" x14ac:dyDescent="0.3"/>
    <row r="60355" s="160" customFormat="1" x14ac:dyDescent="0.3"/>
    <row r="60356" s="160" customFormat="1" x14ac:dyDescent="0.3"/>
    <row r="60357" s="160" customFormat="1" x14ac:dyDescent="0.3"/>
    <row r="60358" s="160" customFormat="1" x14ac:dyDescent="0.3"/>
    <row r="60359" s="160" customFormat="1" x14ac:dyDescent="0.3"/>
    <row r="60360" s="160" customFormat="1" x14ac:dyDescent="0.3"/>
    <row r="60361" s="160" customFormat="1" x14ac:dyDescent="0.3"/>
    <row r="60362" s="160" customFormat="1" x14ac:dyDescent="0.3"/>
    <row r="60363" s="160" customFormat="1" x14ac:dyDescent="0.3"/>
    <row r="60364" s="160" customFormat="1" x14ac:dyDescent="0.3"/>
    <row r="60365" s="160" customFormat="1" x14ac:dyDescent="0.3"/>
    <row r="60366" s="160" customFormat="1" x14ac:dyDescent="0.3"/>
    <row r="60367" s="160" customFormat="1" x14ac:dyDescent="0.3"/>
    <row r="60368" s="160" customFormat="1" x14ac:dyDescent="0.3"/>
    <row r="60369" s="160" customFormat="1" x14ac:dyDescent="0.3"/>
    <row r="60370" s="160" customFormat="1" x14ac:dyDescent="0.3"/>
    <row r="60371" s="160" customFormat="1" x14ac:dyDescent="0.3"/>
    <row r="60372" s="160" customFormat="1" x14ac:dyDescent="0.3"/>
    <row r="60373" s="160" customFormat="1" x14ac:dyDescent="0.3"/>
    <row r="60374" s="160" customFormat="1" x14ac:dyDescent="0.3"/>
    <row r="60375" s="160" customFormat="1" x14ac:dyDescent="0.3"/>
    <row r="60376" s="160" customFormat="1" x14ac:dyDescent="0.3"/>
    <row r="60377" s="160" customFormat="1" x14ac:dyDescent="0.3"/>
    <row r="60378" s="160" customFormat="1" x14ac:dyDescent="0.3"/>
    <row r="60379" s="160" customFormat="1" x14ac:dyDescent="0.3"/>
    <row r="60380" s="160" customFormat="1" x14ac:dyDescent="0.3"/>
    <row r="60381" s="160" customFormat="1" x14ac:dyDescent="0.3"/>
    <row r="60382" s="160" customFormat="1" x14ac:dyDescent="0.3"/>
    <row r="60383" s="160" customFormat="1" x14ac:dyDescent="0.3"/>
    <row r="60384" s="160" customFormat="1" x14ac:dyDescent="0.3"/>
    <row r="60385" s="160" customFormat="1" x14ac:dyDescent="0.3"/>
    <row r="60386" s="160" customFormat="1" x14ac:dyDescent="0.3"/>
    <row r="60387" s="160" customFormat="1" x14ac:dyDescent="0.3"/>
    <row r="60388" s="160" customFormat="1" x14ac:dyDescent="0.3"/>
    <row r="60389" s="160" customFormat="1" x14ac:dyDescent="0.3"/>
    <row r="60390" s="160" customFormat="1" x14ac:dyDescent="0.3"/>
    <row r="60391" s="160" customFormat="1" x14ac:dyDescent="0.3"/>
    <row r="60392" s="160" customFormat="1" x14ac:dyDescent="0.3"/>
    <row r="60393" s="160" customFormat="1" x14ac:dyDescent="0.3"/>
    <row r="60394" s="160" customFormat="1" x14ac:dyDescent="0.3"/>
    <row r="60395" s="160" customFormat="1" x14ac:dyDescent="0.3"/>
    <row r="60396" s="160" customFormat="1" x14ac:dyDescent="0.3"/>
    <row r="60397" s="160" customFormat="1" x14ac:dyDescent="0.3"/>
    <row r="60398" s="160" customFormat="1" x14ac:dyDescent="0.3"/>
    <row r="60399" s="160" customFormat="1" x14ac:dyDescent="0.3"/>
    <row r="60400" s="160" customFormat="1" x14ac:dyDescent="0.3"/>
    <row r="60401" s="160" customFormat="1" x14ac:dyDescent="0.3"/>
    <row r="60402" s="160" customFormat="1" x14ac:dyDescent="0.3"/>
    <row r="60403" s="160" customFormat="1" x14ac:dyDescent="0.3"/>
    <row r="60404" s="160" customFormat="1" x14ac:dyDescent="0.3"/>
    <row r="60405" s="160" customFormat="1" x14ac:dyDescent="0.3"/>
    <row r="60406" s="160" customFormat="1" x14ac:dyDescent="0.3"/>
    <row r="60407" s="160" customFormat="1" x14ac:dyDescent="0.3"/>
    <row r="60408" s="160" customFormat="1" x14ac:dyDescent="0.3"/>
    <row r="60409" s="160" customFormat="1" x14ac:dyDescent="0.3"/>
    <row r="60410" s="160" customFormat="1" x14ac:dyDescent="0.3"/>
    <row r="60411" s="160" customFormat="1" x14ac:dyDescent="0.3"/>
    <row r="60412" s="160" customFormat="1" x14ac:dyDescent="0.3"/>
    <row r="60413" s="160" customFormat="1" x14ac:dyDescent="0.3"/>
    <row r="60414" s="160" customFormat="1" x14ac:dyDescent="0.3"/>
    <row r="60415" s="160" customFormat="1" x14ac:dyDescent="0.3"/>
    <row r="60416" s="160" customFormat="1" x14ac:dyDescent="0.3"/>
    <row r="60417" s="160" customFormat="1" x14ac:dyDescent="0.3"/>
    <row r="60418" s="160" customFormat="1" x14ac:dyDescent="0.3"/>
    <row r="60419" s="160" customFormat="1" x14ac:dyDescent="0.3"/>
    <row r="60420" s="160" customFormat="1" x14ac:dyDescent="0.3"/>
    <row r="60421" s="160" customFormat="1" x14ac:dyDescent="0.3"/>
    <row r="60422" s="160" customFormat="1" x14ac:dyDescent="0.3"/>
    <row r="60423" s="160" customFormat="1" x14ac:dyDescent="0.3"/>
    <row r="60424" s="160" customFormat="1" x14ac:dyDescent="0.3"/>
    <row r="60425" s="160" customFormat="1" x14ac:dyDescent="0.3"/>
    <row r="60426" s="160" customFormat="1" x14ac:dyDescent="0.3"/>
    <row r="60427" s="160" customFormat="1" x14ac:dyDescent="0.3"/>
    <row r="60428" s="160" customFormat="1" x14ac:dyDescent="0.3"/>
    <row r="60429" s="160" customFormat="1" x14ac:dyDescent="0.3"/>
    <row r="60430" s="160" customFormat="1" x14ac:dyDescent="0.3"/>
    <row r="60431" s="160" customFormat="1" x14ac:dyDescent="0.3"/>
    <row r="60432" s="160" customFormat="1" x14ac:dyDescent="0.3"/>
    <row r="60433" s="160" customFormat="1" x14ac:dyDescent="0.3"/>
    <row r="60434" s="160" customFormat="1" x14ac:dyDescent="0.3"/>
    <row r="60435" s="160" customFormat="1" x14ac:dyDescent="0.3"/>
    <row r="60436" s="160" customFormat="1" x14ac:dyDescent="0.3"/>
    <row r="60437" s="160" customFormat="1" x14ac:dyDescent="0.3"/>
    <row r="60438" s="160" customFormat="1" x14ac:dyDescent="0.3"/>
    <row r="60439" s="160" customFormat="1" x14ac:dyDescent="0.3"/>
    <row r="60440" s="160" customFormat="1" x14ac:dyDescent="0.3"/>
    <row r="60441" s="160" customFormat="1" x14ac:dyDescent="0.3"/>
    <row r="60442" s="160" customFormat="1" x14ac:dyDescent="0.3"/>
    <row r="60443" s="160" customFormat="1" x14ac:dyDescent="0.3"/>
    <row r="60444" s="160" customFormat="1" x14ac:dyDescent="0.3"/>
    <row r="60445" s="160" customFormat="1" x14ac:dyDescent="0.3"/>
    <row r="60446" s="160" customFormat="1" x14ac:dyDescent="0.3"/>
    <row r="60447" s="160" customFormat="1" x14ac:dyDescent="0.3"/>
    <row r="60448" s="160" customFormat="1" x14ac:dyDescent="0.3"/>
    <row r="60449" s="160" customFormat="1" x14ac:dyDescent="0.3"/>
    <row r="60450" s="160" customFormat="1" x14ac:dyDescent="0.3"/>
    <row r="60451" s="160" customFormat="1" x14ac:dyDescent="0.3"/>
    <row r="60452" s="160" customFormat="1" x14ac:dyDescent="0.3"/>
    <row r="60453" s="160" customFormat="1" x14ac:dyDescent="0.3"/>
    <row r="60454" s="160" customFormat="1" x14ac:dyDescent="0.3"/>
    <row r="60455" s="160" customFormat="1" x14ac:dyDescent="0.3"/>
    <row r="60456" s="160" customFormat="1" x14ac:dyDescent="0.3"/>
    <row r="60457" s="160" customFormat="1" x14ac:dyDescent="0.3"/>
    <row r="60458" s="160" customFormat="1" x14ac:dyDescent="0.3"/>
    <row r="60459" s="160" customFormat="1" x14ac:dyDescent="0.3"/>
    <row r="60460" s="160" customFormat="1" x14ac:dyDescent="0.3"/>
    <row r="60461" s="160" customFormat="1" x14ac:dyDescent="0.3"/>
    <row r="60462" s="160" customFormat="1" x14ac:dyDescent="0.3"/>
    <row r="60463" s="160" customFormat="1" x14ac:dyDescent="0.3"/>
    <row r="60464" s="160" customFormat="1" x14ac:dyDescent="0.3"/>
    <row r="60465" s="160" customFormat="1" x14ac:dyDescent="0.3"/>
    <row r="60466" s="160" customFormat="1" x14ac:dyDescent="0.3"/>
    <row r="60467" s="160" customFormat="1" x14ac:dyDescent="0.3"/>
    <row r="60468" s="160" customFormat="1" x14ac:dyDescent="0.3"/>
    <row r="60469" s="160" customFormat="1" x14ac:dyDescent="0.3"/>
    <row r="60470" s="160" customFormat="1" x14ac:dyDescent="0.3"/>
    <row r="60471" s="160" customFormat="1" x14ac:dyDescent="0.3"/>
    <row r="60472" s="160" customFormat="1" x14ac:dyDescent="0.3"/>
    <row r="60473" s="160" customFormat="1" x14ac:dyDescent="0.3"/>
    <row r="60474" s="160" customFormat="1" x14ac:dyDescent="0.3"/>
    <row r="60475" s="160" customFormat="1" x14ac:dyDescent="0.3"/>
    <row r="60476" s="160" customFormat="1" x14ac:dyDescent="0.3"/>
    <row r="60477" s="160" customFormat="1" x14ac:dyDescent="0.3"/>
    <row r="60478" s="160" customFormat="1" x14ac:dyDescent="0.3"/>
    <row r="60479" s="160" customFormat="1" x14ac:dyDescent="0.3"/>
    <row r="60480" s="160" customFormat="1" x14ac:dyDescent="0.3"/>
    <row r="60481" s="160" customFormat="1" x14ac:dyDescent="0.3"/>
    <row r="60482" s="160" customFormat="1" x14ac:dyDescent="0.3"/>
    <row r="60483" s="160" customFormat="1" x14ac:dyDescent="0.3"/>
    <row r="60484" s="160" customFormat="1" x14ac:dyDescent="0.3"/>
    <row r="60485" s="160" customFormat="1" x14ac:dyDescent="0.3"/>
    <row r="60486" s="160" customFormat="1" x14ac:dyDescent="0.3"/>
    <row r="60487" s="160" customFormat="1" x14ac:dyDescent="0.3"/>
    <row r="60488" s="160" customFormat="1" x14ac:dyDescent="0.3"/>
    <row r="60489" s="160" customFormat="1" x14ac:dyDescent="0.3"/>
    <row r="60490" s="160" customFormat="1" x14ac:dyDescent="0.3"/>
    <row r="60491" s="160" customFormat="1" x14ac:dyDescent="0.3"/>
    <row r="60492" s="160" customFormat="1" x14ac:dyDescent="0.3"/>
    <row r="60493" s="160" customFormat="1" x14ac:dyDescent="0.3"/>
    <row r="60494" s="160" customFormat="1" x14ac:dyDescent="0.3"/>
    <row r="60495" s="160" customFormat="1" x14ac:dyDescent="0.3"/>
    <row r="60496" s="160" customFormat="1" x14ac:dyDescent="0.3"/>
    <row r="60497" s="160" customFormat="1" x14ac:dyDescent="0.3"/>
    <row r="60498" s="160" customFormat="1" x14ac:dyDescent="0.3"/>
    <row r="60499" s="160" customFormat="1" x14ac:dyDescent="0.3"/>
    <row r="60500" s="160" customFormat="1" x14ac:dyDescent="0.3"/>
    <row r="60501" s="160" customFormat="1" x14ac:dyDescent="0.3"/>
    <row r="60502" s="160" customFormat="1" x14ac:dyDescent="0.3"/>
    <row r="60503" s="160" customFormat="1" x14ac:dyDescent="0.3"/>
    <row r="60504" s="160" customFormat="1" x14ac:dyDescent="0.3"/>
    <row r="60505" s="160" customFormat="1" x14ac:dyDescent="0.3"/>
    <row r="60506" s="160" customFormat="1" x14ac:dyDescent="0.3"/>
    <row r="60507" s="160" customFormat="1" x14ac:dyDescent="0.3"/>
    <row r="60508" s="160" customFormat="1" x14ac:dyDescent="0.3"/>
    <row r="60509" s="160" customFormat="1" x14ac:dyDescent="0.3"/>
    <row r="60510" s="160" customFormat="1" x14ac:dyDescent="0.3"/>
    <row r="60511" s="160" customFormat="1" x14ac:dyDescent="0.3"/>
    <row r="60512" s="160" customFormat="1" x14ac:dyDescent="0.3"/>
    <row r="60513" s="160" customFormat="1" x14ac:dyDescent="0.3"/>
    <row r="60514" s="160" customFormat="1" x14ac:dyDescent="0.3"/>
    <row r="60515" s="160" customFormat="1" x14ac:dyDescent="0.3"/>
    <row r="60516" s="160" customFormat="1" x14ac:dyDescent="0.3"/>
    <row r="60517" s="160" customFormat="1" x14ac:dyDescent="0.3"/>
    <row r="60518" s="160" customFormat="1" x14ac:dyDescent="0.3"/>
    <row r="60519" s="160" customFormat="1" x14ac:dyDescent="0.3"/>
    <row r="60520" s="160" customFormat="1" x14ac:dyDescent="0.3"/>
    <row r="60521" s="160" customFormat="1" x14ac:dyDescent="0.3"/>
    <row r="60522" s="160" customFormat="1" x14ac:dyDescent="0.3"/>
    <row r="60523" s="160" customFormat="1" x14ac:dyDescent="0.3"/>
    <row r="60524" s="160" customFormat="1" x14ac:dyDescent="0.3"/>
    <row r="60525" s="160" customFormat="1" x14ac:dyDescent="0.3"/>
    <row r="60526" s="160" customFormat="1" x14ac:dyDescent="0.3"/>
    <row r="60527" s="160" customFormat="1" x14ac:dyDescent="0.3"/>
    <row r="60528" s="160" customFormat="1" x14ac:dyDescent="0.3"/>
    <row r="60529" s="160" customFormat="1" x14ac:dyDescent="0.3"/>
    <row r="60530" s="160" customFormat="1" x14ac:dyDescent="0.3"/>
    <row r="60531" s="160" customFormat="1" x14ac:dyDescent="0.3"/>
    <row r="60532" s="160" customFormat="1" x14ac:dyDescent="0.3"/>
    <row r="60533" s="160" customFormat="1" x14ac:dyDescent="0.3"/>
    <row r="60534" s="160" customFormat="1" x14ac:dyDescent="0.3"/>
    <row r="60535" s="160" customFormat="1" x14ac:dyDescent="0.3"/>
    <row r="60536" s="160" customFormat="1" x14ac:dyDescent="0.3"/>
    <row r="60537" s="160" customFormat="1" x14ac:dyDescent="0.3"/>
    <row r="60538" s="160" customFormat="1" x14ac:dyDescent="0.3"/>
    <row r="60539" s="160" customFormat="1" x14ac:dyDescent="0.3"/>
    <row r="60540" s="160" customFormat="1" x14ac:dyDescent="0.3"/>
    <row r="60541" s="160" customFormat="1" x14ac:dyDescent="0.3"/>
    <row r="60542" s="160" customFormat="1" x14ac:dyDescent="0.3"/>
    <row r="60543" s="160" customFormat="1" x14ac:dyDescent="0.3"/>
    <row r="60544" s="160" customFormat="1" x14ac:dyDescent="0.3"/>
    <row r="60545" s="160" customFormat="1" x14ac:dyDescent="0.3"/>
    <row r="60546" s="160" customFormat="1" x14ac:dyDescent="0.3"/>
    <row r="60547" s="160" customFormat="1" x14ac:dyDescent="0.3"/>
    <row r="60548" s="160" customFormat="1" x14ac:dyDescent="0.3"/>
    <row r="60549" s="160" customFormat="1" x14ac:dyDescent="0.3"/>
    <row r="60550" s="160" customFormat="1" x14ac:dyDescent="0.3"/>
    <row r="60551" s="160" customFormat="1" x14ac:dyDescent="0.3"/>
    <row r="60552" s="160" customFormat="1" x14ac:dyDescent="0.3"/>
    <row r="60553" s="160" customFormat="1" x14ac:dyDescent="0.3"/>
    <row r="60554" s="160" customFormat="1" x14ac:dyDescent="0.3"/>
    <row r="60555" s="160" customFormat="1" x14ac:dyDescent="0.3"/>
    <row r="60556" s="160" customFormat="1" x14ac:dyDescent="0.3"/>
    <row r="60557" s="160" customFormat="1" x14ac:dyDescent="0.3"/>
    <row r="60558" s="160" customFormat="1" x14ac:dyDescent="0.3"/>
    <row r="60559" s="160" customFormat="1" x14ac:dyDescent="0.3"/>
    <row r="60560" s="160" customFormat="1" x14ac:dyDescent="0.3"/>
    <row r="60561" s="160" customFormat="1" x14ac:dyDescent="0.3"/>
    <row r="60562" s="160" customFormat="1" x14ac:dyDescent="0.3"/>
    <row r="60563" s="160" customFormat="1" x14ac:dyDescent="0.3"/>
    <row r="60564" s="160" customFormat="1" x14ac:dyDescent="0.3"/>
    <row r="60565" s="160" customFormat="1" x14ac:dyDescent="0.3"/>
    <row r="60566" s="160" customFormat="1" x14ac:dyDescent="0.3"/>
    <row r="60567" s="160" customFormat="1" x14ac:dyDescent="0.3"/>
    <row r="60568" s="160" customFormat="1" x14ac:dyDescent="0.3"/>
    <row r="60569" s="160" customFormat="1" x14ac:dyDescent="0.3"/>
    <row r="60570" s="160" customFormat="1" x14ac:dyDescent="0.3"/>
    <row r="60571" s="160" customFormat="1" x14ac:dyDescent="0.3"/>
    <row r="60572" s="160" customFormat="1" x14ac:dyDescent="0.3"/>
    <row r="60573" s="160" customFormat="1" x14ac:dyDescent="0.3"/>
    <row r="60574" s="160" customFormat="1" x14ac:dyDescent="0.3"/>
    <row r="60575" s="160" customFormat="1" x14ac:dyDescent="0.3"/>
    <row r="60576" s="160" customFormat="1" x14ac:dyDescent="0.3"/>
    <row r="60577" s="160" customFormat="1" x14ac:dyDescent="0.3"/>
    <row r="60578" s="160" customFormat="1" x14ac:dyDescent="0.3"/>
    <row r="60579" s="160" customFormat="1" x14ac:dyDescent="0.3"/>
    <row r="60580" s="160" customFormat="1" x14ac:dyDescent="0.3"/>
    <row r="60581" s="160" customFormat="1" x14ac:dyDescent="0.3"/>
    <row r="60582" s="160" customFormat="1" x14ac:dyDescent="0.3"/>
    <row r="60583" s="160" customFormat="1" x14ac:dyDescent="0.3"/>
    <row r="60584" s="160" customFormat="1" x14ac:dyDescent="0.3"/>
    <row r="60585" s="160" customFormat="1" x14ac:dyDescent="0.3"/>
    <row r="60586" s="160" customFormat="1" x14ac:dyDescent="0.3"/>
    <row r="60587" s="160" customFormat="1" x14ac:dyDescent="0.3"/>
    <row r="60588" s="160" customFormat="1" x14ac:dyDescent="0.3"/>
    <row r="60589" s="160" customFormat="1" x14ac:dyDescent="0.3"/>
    <row r="60590" s="160" customFormat="1" x14ac:dyDescent="0.3"/>
    <row r="60591" s="160" customFormat="1" x14ac:dyDescent="0.3"/>
    <row r="60592" s="160" customFormat="1" x14ac:dyDescent="0.3"/>
    <row r="60593" s="160" customFormat="1" x14ac:dyDescent="0.3"/>
    <row r="60594" s="160" customFormat="1" x14ac:dyDescent="0.3"/>
    <row r="60595" s="160" customFormat="1" x14ac:dyDescent="0.3"/>
    <row r="60596" s="160" customFormat="1" x14ac:dyDescent="0.3"/>
    <row r="60597" s="160" customFormat="1" x14ac:dyDescent="0.3"/>
    <row r="60598" s="160" customFormat="1" x14ac:dyDescent="0.3"/>
    <row r="60599" s="160" customFormat="1" x14ac:dyDescent="0.3"/>
    <row r="60600" s="160" customFormat="1" x14ac:dyDescent="0.3"/>
    <row r="60601" s="160" customFormat="1" x14ac:dyDescent="0.3"/>
    <row r="60602" s="160" customFormat="1" x14ac:dyDescent="0.3"/>
    <row r="60603" s="160" customFormat="1" x14ac:dyDescent="0.3"/>
    <row r="60604" s="160" customFormat="1" x14ac:dyDescent="0.3"/>
    <row r="60605" s="160" customFormat="1" x14ac:dyDescent="0.3"/>
    <row r="60606" s="160" customFormat="1" x14ac:dyDescent="0.3"/>
    <row r="60607" s="160" customFormat="1" x14ac:dyDescent="0.3"/>
    <row r="60608" s="160" customFormat="1" x14ac:dyDescent="0.3"/>
    <row r="60609" s="160" customFormat="1" x14ac:dyDescent="0.3"/>
    <row r="60610" s="160" customFormat="1" x14ac:dyDescent="0.3"/>
    <row r="60611" s="160" customFormat="1" x14ac:dyDescent="0.3"/>
    <row r="60612" s="160" customFormat="1" x14ac:dyDescent="0.3"/>
    <row r="60613" s="160" customFormat="1" x14ac:dyDescent="0.3"/>
    <row r="60614" s="160" customFormat="1" x14ac:dyDescent="0.3"/>
    <row r="60615" s="160" customFormat="1" x14ac:dyDescent="0.3"/>
    <row r="60616" s="160" customFormat="1" x14ac:dyDescent="0.3"/>
    <row r="60617" s="160" customFormat="1" x14ac:dyDescent="0.3"/>
    <row r="60618" s="160" customFormat="1" x14ac:dyDescent="0.3"/>
    <row r="60619" s="160" customFormat="1" x14ac:dyDescent="0.3"/>
    <row r="60620" s="160" customFormat="1" x14ac:dyDescent="0.3"/>
    <row r="60621" s="160" customFormat="1" x14ac:dyDescent="0.3"/>
    <row r="60622" s="160" customFormat="1" x14ac:dyDescent="0.3"/>
    <row r="60623" s="160" customFormat="1" x14ac:dyDescent="0.3"/>
    <row r="60624" s="160" customFormat="1" x14ac:dyDescent="0.3"/>
    <row r="60625" s="160" customFormat="1" x14ac:dyDescent="0.3"/>
    <row r="60626" s="160" customFormat="1" x14ac:dyDescent="0.3"/>
    <row r="60627" s="160" customFormat="1" x14ac:dyDescent="0.3"/>
    <row r="60628" s="160" customFormat="1" x14ac:dyDescent="0.3"/>
    <row r="60629" s="160" customFormat="1" x14ac:dyDescent="0.3"/>
    <row r="60630" s="160" customFormat="1" x14ac:dyDescent="0.3"/>
    <row r="60631" s="160" customFormat="1" x14ac:dyDescent="0.3"/>
    <row r="60632" s="160" customFormat="1" x14ac:dyDescent="0.3"/>
    <row r="60633" s="160" customFormat="1" x14ac:dyDescent="0.3"/>
    <row r="60634" s="160" customFormat="1" x14ac:dyDescent="0.3"/>
    <row r="60635" s="160" customFormat="1" x14ac:dyDescent="0.3"/>
    <row r="60636" s="160" customFormat="1" x14ac:dyDescent="0.3"/>
    <row r="60637" s="160" customFormat="1" x14ac:dyDescent="0.3"/>
    <row r="60638" s="160" customFormat="1" x14ac:dyDescent="0.3"/>
    <row r="60639" s="160" customFormat="1" x14ac:dyDescent="0.3"/>
    <row r="60640" s="160" customFormat="1" x14ac:dyDescent="0.3"/>
    <row r="60641" s="160" customFormat="1" x14ac:dyDescent="0.3"/>
    <row r="60642" s="160" customFormat="1" x14ac:dyDescent="0.3"/>
    <row r="60643" s="160" customFormat="1" x14ac:dyDescent="0.3"/>
    <row r="60644" s="160" customFormat="1" x14ac:dyDescent="0.3"/>
    <row r="60645" s="160" customFormat="1" x14ac:dyDescent="0.3"/>
    <row r="60646" s="160" customFormat="1" x14ac:dyDescent="0.3"/>
    <row r="60647" s="160" customFormat="1" x14ac:dyDescent="0.3"/>
    <row r="60648" s="160" customFormat="1" x14ac:dyDescent="0.3"/>
    <row r="60649" s="160" customFormat="1" x14ac:dyDescent="0.3"/>
    <row r="60650" s="160" customFormat="1" x14ac:dyDescent="0.3"/>
    <row r="60651" s="160" customFormat="1" x14ac:dyDescent="0.3"/>
    <row r="60652" s="160" customFormat="1" x14ac:dyDescent="0.3"/>
    <row r="60653" s="160" customFormat="1" x14ac:dyDescent="0.3"/>
    <row r="60654" s="160" customFormat="1" x14ac:dyDescent="0.3"/>
    <row r="60655" s="160" customFormat="1" x14ac:dyDescent="0.3"/>
    <row r="60656" s="160" customFormat="1" x14ac:dyDescent="0.3"/>
    <row r="60657" s="160" customFormat="1" x14ac:dyDescent="0.3"/>
    <row r="60658" s="160" customFormat="1" x14ac:dyDescent="0.3"/>
    <row r="60659" s="160" customFormat="1" x14ac:dyDescent="0.3"/>
    <row r="60660" s="160" customFormat="1" x14ac:dyDescent="0.3"/>
    <row r="60661" s="160" customFormat="1" x14ac:dyDescent="0.3"/>
    <row r="60662" s="160" customFormat="1" x14ac:dyDescent="0.3"/>
    <row r="60663" s="160" customFormat="1" x14ac:dyDescent="0.3"/>
    <row r="60664" s="160" customFormat="1" x14ac:dyDescent="0.3"/>
    <row r="60665" s="160" customFormat="1" x14ac:dyDescent="0.3"/>
    <row r="60666" s="160" customFormat="1" x14ac:dyDescent="0.3"/>
    <row r="60667" s="160" customFormat="1" x14ac:dyDescent="0.3"/>
    <row r="60668" s="160" customFormat="1" x14ac:dyDescent="0.3"/>
    <row r="60669" s="160" customFormat="1" x14ac:dyDescent="0.3"/>
    <row r="60670" s="160" customFormat="1" x14ac:dyDescent="0.3"/>
    <row r="60671" s="160" customFormat="1" x14ac:dyDescent="0.3"/>
    <row r="60672" s="160" customFormat="1" x14ac:dyDescent="0.3"/>
    <row r="60673" s="160" customFormat="1" x14ac:dyDescent="0.3"/>
    <row r="60674" s="160" customFormat="1" x14ac:dyDescent="0.3"/>
    <row r="60675" s="160" customFormat="1" x14ac:dyDescent="0.3"/>
    <row r="60676" s="160" customFormat="1" x14ac:dyDescent="0.3"/>
    <row r="60677" s="160" customFormat="1" x14ac:dyDescent="0.3"/>
    <row r="60678" s="160" customFormat="1" x14ac:dyDescent="0.3"/>
    <row r="60679" s="160" customFormat="1" x14ac:dyDescent="0.3"/>
    <row r="60680" s="160" customFormat="1" x14ac:dyDescent="0.3"/>
    <row r="60681" s="160" customFormat="1" x14ac:dyDescent="0.3"/>
    <row r="60682" s="160" customFormat="1" x14ac:dyDescent="0.3"/>
    <row r="60683" s="160" customFormat="1" x14ac:dyDescent="0.3"/>
    <row r="60684" s="160" customFormat="1" x14ac:dyDescent="0.3"/>
    <row r="60685" s="160" customFormat="1" x14ac:dyDescent="0.3"/>
    <row r="60686" s="160" customFormat="1" x14ac:dyDescent="0.3"/>
    <row r="60687" s="160" customFormat="1" x14ac:dyDescent="0.3"/>
    <row r="60688" s="160" customFormat="1" x14ac:dyDescent="0.3"/>
    <row r="60689" s="160" customFormat="1" x14ac:dyDescent="0.3"/>
    <row r="60690" s="160" customFormat="1" x14ac:dyDescent="0.3"/>
    <row r="60691" s="160" customFormat="1" x14ac:dyDescent="0.3"/>
    <row r="60692" s="160" customFormat="1" x14ac:dyDescent="0.3"/>
    <row r="60693" s="160" customFormat="1" x14ac:dyDescent="0.3"/>
    <row r="60694" s="160" customFormat="1" x14ac:dyDescent="0.3"/>
    <row r="60695" s="160" customFormat="1" x14ac:dyDescent="0.3"/>
    <row r="60696" s="160" customFormat="1" x14ac:dyDescent="0.3"/>
    <row r="60697" s="160" customFormat="1" x14ac:dyDescent="0.3"/>
    <row r="60698" s="160" customFormat="1" x14ac:dyDescent="0.3"/>
    <row r="60699" s="160" customFormat="1" x14ac:dyDescent="0.3"/>
    <row r="60700" s="160" customFormat="1" x14ac:dyDescent="0.3"/>
    <row r="60701" s="160" customFormat="1" x14ac:dyDescent="0.3"/>
    <row r="60702" s="160" customFormat="1" x14ac:dyDescent="0.3"/>
    <row r="60703" s="160" customFormat="1" x14ac:dyDescent="0.3"/>
    <row r="60704" s="160" customFormat="1" x14ac:dyDescent="0.3"/>
    <row r="60705" s="160" customFormat="1" x14ac:dyDescent="0.3"/>
    <row r="60706" s="160" customFormat="1" x14ac:dyDescent="0.3"/>
    <row r="60707" s="160" customFormat="1" x14ac:dyDescent="0.3"/>
    <row r="60708" s="160" customFormat="1" x14ac:dyDescent="0.3"/>
    <row r="60709" s="160" customFormat="1" x14ac:dyDescent="0.3"/>
    <row r="60710" s="160" customFormat="1" x14ac:dyDescent="0.3"/>
    <row r="60711" s="160" customFormat="1" x14ac:dyDescent="0.3"/>
    <row r="60712" s="160" customFormat="1" x14ac:dyDescent="0.3"/>
    <row r="60713" s="160" customFormat="1" x14ac:dyDescent="0.3"/>
    <row r="60714" s="160" customFormat="1" x14ac:dyDescent="0.3"/>
    <row r="60715" s="160" customFormat="1" x14ac:dyDescent="0.3"/>
    <row r="60716" s="160" customFormat="1" x14ac:dyDescent="0.3"/>
    <row r="60717" s="160" customFormat="1" x14ac:dyDescent="0.3"/>
    <row r="60718" s="160" customFormat="1" x14ac:dyDescent="0.3"/>
    <row r="60719" s="160" customFormat="1" x14ac:dyDescent="0.3"/>
    <row r="60720" s="160" customFormat="1" x14ac:dyDescent="0.3"/>
    <row r="60721" s="160" customFormat="1" x14ac:dyDescent="0.3"/>
    <row r="60722" s="160" customFormat="1" x14ac:dyDescent="0.3"/>
    <row r="60723" s="160" customFormat="1" x14ac:dyDescent="0.3"/>
    <row r="60724" s="160" customFormat="1" x14ac:dyDescent="0.3"/>
    <row r="60725" s="160" customFormat="1" x14ac:dyDescent="0.3"/>
    <row r="60726" s="160" customFormat="1" x14ac:dyDescent="0.3"/>
    <row r="60727" s="160" customFormat="1" x14ac:dyDescent="0.3"/>
    <row r="60728" s="160" customFormat="1" x14ac:dyDescent="0.3"/>
    <row r="60729" s="160" customFormat="1" x14ac:dyDescent="0.3"/>
    <row r="60730" s="160" customFormat="1" x14ac:dyDescent="0.3"/>
    <row r="60731" s="160" customFormat="1" x14ac:dyDescent="0.3"/>
    <row r="60732" s="160" customFormat="1" x14ac:dyDescent="0.3"/>
    <row r="60733" s="160" customFormat="1" x14ac:dyDescent="0.3"/>
    <row r="60734" s="160" customFormat="1" x14ac:dyDescent="0.3"/>
    <row r="60735" s="160" customFormat="1" x14ac:dyDescent="0.3"/>
    <row r="60736" s="160" customFormat="1" x14ac:dyDescent="0.3"/>
    <row r="60737" s="160" customFormat="1" x14ac:dyDescent="0.3"/>
    <row r="60738" s="160" customFormat="1" x14ac:dyDescent="0.3"/>
    <row r="60739" s="160" customFormat="1" x14ac:dyDescent="0.3"/>
    <row r="60740" s="160" customFormat="1" x14ac:dyDescent="0.3"/>
    <row r="60741" s="160" customFormat="1" x14ac:dyDescent="0.3"/>
    <row r="60742" s="160" customFormat="1" x14ac:dyDescent="0.3"/>
    <row r="60743" s="160" customFormat="1" x14ac:dyDescent="0.3"/>
    <row r="60744" s="160" customFormat="1" x14ac:dyDescent="0.3"/>
    <row r="60745" s="160" customFormat="1" x14ac:dyDescent="0.3"/>
    <row r="60746" s="160" customFormat="1" x14ac:dyDescent="0.3"/>
    <row r="60747" s="160" customFormat="1" x14ac:dyDescent="0.3"/>
    <row r="60748" s="160" customFormat="1" x14ac:dyDescent="0.3"/>
    <row r="60749" s="160" customFormat="1" x14ac:dyDescent="0.3"/>
    <row r="60750" s="160" customFormat="1" x14ac:dyDescent="0.3"/>
    <row r="60751" s="160" customFormat="1" x14ac:dyDescent="0.3"/>
    <row r="60752" s="160" customFormat="1" x14ac:dyDescent="0.3"/>
    <row r="60753" s="160" customFormat="1" x14ac:dyDescent="0.3"/>
    <row r="60754" s="160" customFormat="1" x14ac:dyDescent="0.3"/>
    <row r="60755" s="160" customFormat="1" x14ac:dyDescent="0.3"/>
    <row r="60756" s="160" customFormat="1" x14ac:dyDescent="0.3"/>
    <row r="60757" s="160" customFormat="1" x14ac:dyDescent="0.3"/>
    <row r="60758" s="160" customFormat="1" x14ac:dyDescent="0.3"/>
    <row r="60759" s="160" customFormat="1" x14ac:dyDescent="0.3"/>
    <row r="60760" s="160" customFormat="1" x14ac:dyDescent="0.3"/>
    <row r="60761" s="160" customFormat="1" x14ac:dyDescent="0.3"/>
    <row r="60762" s="160" customFormat="1" x14ac:dyDescent="0.3"/>
    <row r="60763" s="160" customFormat="1" x14ac:dyDescent="0.3"/>
    <row r="60764" s="160" customFormat="1" x14ac:dyDescent="0.3"/>
    <row r="60765" s="160" customFormat="1" x14ac:dyDescent="0.3"/>
    <row r="60766" s="160" customFormat="1" x14ac:dyDescent="0.3"/>
    <row r="60767" s="160" customFormat="1" x14ac:dyDescent="0.3"/>
    <row r="60768" s="160" customFormat="1" x14ac:dyDescent="0.3"/>
    <row r="60769" s="160" customFormat="1" x14ac:dyDescent="0.3"/>
    <row r="60770" s="160" customFormat="1" x14ac:dyDescent="0.3"/>
    <row r="60771" s="160" customFormat="1" x14ac:dyDescent="0.3"/>
    <row r="60772" s="160" customFormat="1" x14ac:dyDescent="0.3"/>
    <row r="60773" s="160" customFormat="1" x14ac:dyDescent="0.3"/>
    <row r="60774" s="160" customFormat="1" x14ac:dyDescent="0.3"/>
    <row r="60775" s="160" customFormat="1" x14ac:dyDescent="0.3"/>
    <row r="60776" s="160" customFormat="1" x14ac:dyDescent="0.3"/>
    <row r="60777" s="160" customFormat="1" x14ac:dyDescent="0.3"/>
    <row r="60778" s="160" customFormat="1" x14ac:dyDescent="0.3"/>
    <row r="60779" s="160" customFormat="1" x14ac:dyDescent="0.3"/>
    <row r="60780" s="160" customFormat="1" x14ac:dyDescent="0.3"/>
    <row r="60781" s="160" customFormat="1" x14ac:dyDescent="0.3"/>
    <row r="60782" s="160" customFormat="1" x14ac:dyDescent="0.3"/>
    <row r="60783" s="160" customFormat="1" x14ac:dyDescent="0.3"/>
    <row r="60784" s="160" customFormat="1" x14ac:dyDescent="0.3"/>
    <row r="60785" s="160" customFormat="1" x14ac:dyDescent="0.3"/>
    <row r="60786" s="160" customFormat="1" x14ac:dyDescent="0.3"/>
    <row r="60787" s="160" customFormat="1" x14ac:dyDescent="0.3"/>
    <row r="60788" s="160" customFormat="1" x14ac:dyDescent="0.3"/>
    <row r="60789" s="160" customFormat="1" x14ac:dyDescent="0.3"/>
    <row r="60790" s="160" customFormat="1" x14ac:dyDescent="0.3"/>
    <row r="60791" s="160" customFormat="1" x14ac:dyDescent="0.3"/>
    <row r="60792" s="160" customFormat="1" x14ac:dyDescent="0.3"/>
    <row r="60793" s="160" customFormat="1" x14ac:dyDescent="0.3"/>
    <row r="60794" s="160" customFormat="1" x14ac:dyDescent="0.3"/>
    <row r="60795" s="160" customFormat="1" x14ac:dyDescent="0.3"/>
    <row r="60796" s="160" customFormat="1" x14ac:dyDescent="0.3"/>
    <row r="60797" s="160" customFormat="1" x14ac:dyDescent="0.3"/>
    <row r="60798" s="160" customFormat="1" x14ac:dyDescent="0.3"/>
    <row r="60799" s="160" customFormat="1" x14ac:dyDescent="0.3"/>
    <row r="60800" s="160" customFormat="1" x14ac:dyDescent="0.3"/>
    <row r="60801" s="160" customFormat="1" x14ac:dyDescent="0.3"/>
    <row r="60802" s="160" customFormat="1" x14ac:dyDescent="0.3"/>
    <row r="60803" s="160" customFormat="1" x14ac:dyDescent="0.3"/>
    <row r="60804" s="160" customFormat="1" x14ac:dyDescent="0.3"/>
    <row r="60805" s="160" customFormat="1" x14ac:dyDescent="0.3"/>
    <row r="60806" s="160" customFormat="1" x14ac:dyDescent="0.3"/>
    <row r="60807" s="160" customFormat="1" x14ac:dyDescent="0.3"/>
    <row r="60808" s="160" customFormat="1" x14ac:dyDescent="0.3"/>
    <row r="60809" s="160" customFormat="1" x14ac:dyDescent="0.3"/>
    <row r="60810" s="160" customFormat="1" x14ac:dyDescent="0.3"/>
    <row r="60811" s="160" customFormat="1" x14ac:dyDescent="0.3"/>
    <row r="60812" s="160" customFormat="1" x14ac:dyDescent="0.3"/>
    <row r="60813" s="160" customFormat="1" x14ac:dyDescent="0.3"/>
    <row r="60814" s="160" customFormat="1" x14ac:dyDescent="0.3"/>
    <row r="60815" s="160" customFormat="1" x14ac:dyDescent="0.3"/>
    <row r="60816" s="160" customFormat="1" x14ac:dyDescent="0.3"/>
    <row r="60817" s="160" customFormat="1" x14ac:dyDescent="0.3"/>
    <row r="60818" s="160" customFormat="1" x14ac:dyDescent="0.3"/>
    <row r="60819" s="160" customFormat="1" x14ac:dyDescent="0.3"/>
    <row r="60820" s="160" customFormat="1" x14ac:dyDescent="0.3"/>
    <row r="60821" s="160" customFormat="1" x14ac:dyDescent="0.3"/>
    <row r="60822" s="160" customFormat="1" x14ac:dyDescent="0.3"/>
    <row r="60823" s="160" customFormat="1" x14ac:dyDescent="0.3"/>
    <row r="60824" s="160" customFormat="1" x14ac:dyDescent="0.3"/>
    <row r="60825" s="160" customFormat="1" x14ac:dyDescent="0.3"/>
    <row r="60826" s="160" customFormat="1" x14ac:dyDescent="0.3"/>
    <row r="60827" s="160" customFormat="1" x14ac:dyDescent="0.3"/>
    <row r="60828" s="160" customFormat="1" x14ac:dyDescent="0.3"/>
    <row r="60829" s="160" customFormat="1" x14ac:dyDescent="0.3"/>
    <row r="60830" s="160" customFormat="1" x14ac:dyDescent="0.3"/>
    <row r="60831" s="160" customFormat="1" x14ac:dyDescent="0.3"/>
    <row r="60832" s="160" customFormat="1" x14ac:dyDescent="0.3"/>
    <row r="60833" s="160" customFormat="1" x14ac:dyDescent="0.3"/>
    <row r="60834" s="160" customFormat="1" x14ac:dyDescent="0.3"/>
    <row r="60835" s="160" customFormat="1" x14ac:dyDescent="0.3"/>
    <row r="60836" s="160" customFormat="1" x14ac:dyDescent="0.3"/>
    <row r="60837" s="160" customFormat="1" x14ac:dyDescent="0.3"/>
    <row r="60838" s="160" customFormat="1" x14ac:dyDescent="0.3"/>
    <row r="60839" s="160" customFormat="1" x14ac:dyDescent="0.3"/>
    <row r="60840" s="160" customFormat="1" x14ac:dyDescent="0.3"/>
    <row r="60841" s="160" customFormat="1" x14ac:dyDescent="0.3"/>
    <row r="60842" s="160" customFormat="1" x14ac:dyDescent="0.3"/>
    <row r="60843" s="160" customFormat="1" x14ac:dyDescent="0.3"/>
    <row r="60844" s="160" customFormat="1" x14ac:dyDescent="0.3"/>
    <row r="60845" s="160" customFormat="1" x14ac:dyDescent="0.3"/>
    <row r="60846" s="160" customFormat="1" x14ac:dyDescent="0.3"/>
    <row r="60847" s="160" customFormat="1" x14ac:dyDescent="0.3"/>
    <row r="60848" s="160" customFormat="1" x14ac:dyDescent="0.3"/>
    <row r="60849" s="160" customFormat="1" x14ac:dyDescent="0.3"/>
    <row r="60850" s="160" customFormat="1" x14ac:dyDescent="0.3"/>
    <row r="60851" s="160" customFormat="1" x14ac:dyDescent="0.3"/>
    <row r="60852" s="160" customFormat="1" x14ac:dyDescent="0.3"/>
    <row r="60853" s="160" customFormat="1" x14ac:dyDescent="0.3"/>
    <row r="60854" s="160" customFormat="1" x14ac:dyDescent="0.3"/>
    <row r="60855" s="160" customFormat="1" x14ac:dyDescent="0.3"/>
    <row r="60856" s="160" customFormat="1" x14ac:dyDescent="0.3"/>
    <row r="60857" s="160" customFormat="1" x14ac:dyDescent="0.3"/>
    <row r="60858" s="160" customFormat="1" x14ac:dyDescent="0.3"/>
    <row r="60859" s="160" customFormat="1" x14ac:dyDescent="0.3"/>
    <row r="60860" s="160" customFormat="1" x14ac:dyDescent="0.3"/>
    <row r="60861" s="160" customFormat="1" x14ac:dyDescent="0.3"/>
    <row r="60862" s="160" customFormat="1" x14ac:dyDescent="0.3"/>
    <row r="60863" s="160" customFormat="1" x14ac:dyDescent="0.3"/>
    <row r="60864" s="160" customFormat="1" x14ac:dyDescent="0.3"/>
    <row r="60865" s="160" customFormat="1" x14ac:dyDescent="0.3"/>
    <row r="60866" s="160" customFormat="1" x14ac:dyDescent="0.3"/>
    <row r="60867" s="160" customFormat="1" x14ac:dyDescent="0.3"/>
    <row r="60868" s="160" customFormat="1" x14ac:dyDescent="0.3"/>
    <row r="60869" s="160" customFormat="1" x14ac:dyDescent="0.3"/>
    <row r="60870" s="160" customFormat="1" x14ac:dyDescent="0.3"/>
    <row r="60871" s="160" customFormat="1" x14ac:dyDescent="0.3"/>
    <row r="60872" s="160" customFormat="1" x14ac:dyDescent="0.3"/>
    <row r="60873" s="160" customFormat="1" x14ac:dyDescent="0.3"/>
    <row r="60874" s="160" customFormat="1" x14ac:dyDescent="0.3"/>
    <row r="60875" s="160" customFormat="1" x14ac:dyDescent="0.3"/>
    <row r="60876" s="160" customFormat="1" x14ac:dyDescent="0.3"/>
    <row r="60877" s="160" customFormat="1" x14ac:dyDescent="0.3"/>
    <row r="60878" s="160" customFormat="1" x14ac:dyDescent="0.3"/>
    <row r="60879" s="160" customFormat="1" x14ac:dyDescent="0.3"/>
    <row r="60880" s="160" customFormat="1" x14ac:dyDescent="0.3"/>
    <row r="60881" s="160" customFormat="1" x14ac:dyDescent="0.3"/>
    <row r="60882" s="160" customFormat="1" x14ac:dyDescent="0.3"/>
    <row r="60883" s="160" customFormat="1" x14ac:dyDescent="0.3"/>
    <row r="60884" s="160" customFormat="1" x14ac:dyDescent="0.3"/>
    <row r="60885" s="160" customFormat="1" x14ac:dyDescent="0.3"/>
    <row r="60886" s="160" customFormat="1" x14ac:dyDescent="0.3"/>
    <row r="60887" s="160" customFormat="1" x14ac:dyDescent="0.3"/>
    <row r="60888" s="160" customFormat="1" x14ac:dyDescent="0.3"/>
    <row r="60889" s="160" customFormat="1" x14ac:dyDescent="0.3"/>
    <row r="60890" s="160" customFormat="1" x14ac:dyDescent="0.3"/>
    <row r="60891" s="160" customFormat="1" x14ac:dyDescent="0.3"/>
    <row r="60892" s="160" customFormat="1" x14ac:dyDescent="0.3"/>
    <row r="60893" s="160" customFormat="1" x14ac:dyDescent="0.3"/>
    <row r="60894" s="160" customFormat="1" x14ac:dyDescent="0.3"/>
    <row r="60895" s="160" customFormat="1" x14ac:dyDescent="0.3"/>
    <row r="60896" s="160" customFormat="1" x14ac:dyDescent="0.3"/>
    <row r="60897" s="160" customFormat="1" x14ac:dyDescent="0.3"/>
    <row r="60898" s="160" customFormat="1" x14ac:dyDescent="0.3"/>
    <row r="60899" s="160" customFormat="1" x14ac:dyDescent="0.3"/>
    <row r="60900" s="160" customFormat="1" x14ac:dyDescent="0.3"/>
    <row r="60901" s="160" customFormat="1" x14ac:dyDescent="0.3"/>
    <row r="60902" s="160" customFormat="1" x14ac:dyDescent="0.3"/>
    <row r="60903" s="160" customFormat="1" x14ac:dyDescent="0.3"/>
    <row r="60904" s="160" customFormat="1" x14ac:dyDescent="0.3"/>
    <row r="60905" s="160" customFormat="1" x14ac:dyDescent="0.3"/>
    <row r="60906" s="160" customFormat="1" x14ac:dyDescent="0.3"/>
    <row r="60907" s="160" customFormat="1" x14ac:dyDescent="0.3"/>
    <row r="60908" s="160" customFormat="1" x14ac:dyDescent="0.3"/>
    <row r="60909" s="160" customFormat="1" x14ac:dyDescent="0.3"/>
    <row r="60910" s="160" customFormat="1" x14ac:dyDescent="0.3"/>
    <row r="60911" s="160" customFormat="1" x14ac:dyDescent="0.3"/>
    <row r="60912" s="160" customFormat="1" x14ac:dyDescent="0.3"/>
    <row r="60913" s="160" customFormat="1" x14ac:dyDescent="0.3"/>
    <row r="60914" s="160" customFormat="1" x14ac:dyDescent="0.3"/>
    <row r="60915" s="160" customFormat="1" x14ac:dyDescent="0.3"/>
    <row r="60916" s="160" customFormat="1" x14ac:dyDescent="0.3"/>
    <row r="60917" s="160" customFormat="1" x14ac:dyDescent="0.3"/>
    <row r="60918" s="160" customFormat="1" x14ac:dyDescent="0.3"/>
    <row r="60919" s="160" customFormat="1" x14ac:dyDescent="0.3"/>
    <row r="60920" s="160" customFormat="1" x14ac:dyDescent="0.3"/>
    <row r="60921" s="160" customFormat="1" x14ac:dyDescent="0.3"/>
    <row r="60922" s="160" customFormat="1" x14ac:dyDescent="0.3"/>
    <row r="60923" s="160" customFormat="1" x14ac:dyDescent="0.3"/>
    <row r="60924" s="160" customFormat="1" x14ac:dyDescent="0.3"/>
    <row r="60925" s="160" customFormat="1" x14ac:dyDescent="0.3"/>
    <row r="60926" s="160" customFormat="1" x14ac:dyDescent="0.3"/>
    <row r="60927" s="160" customFormat="1" x14ac:dyDescent="0.3"/>
    <row r="60928" s="160" customFormat="1" x14ac:dyDescent="0.3"/>
    <row r="60929" s="160" customFormat="1" x14ac:dyDescent="0.3"/>
    <row r="60930" s="160" customFormat="1" x14ac:dyDescent="0.3"/>
    <row r="60931" s="160" customFormat="1" x14ac:dyDescent="0.3"/>
    <row r="60932" s="160" customFormat="1" x14ac:dyDescent="0.3"/>
    <row r="60933" s="160" customFormat="1" x14ac:dyDescent="0.3"/>
    <row r="60934" s="160" customFormat="1" x14ac:dyDescent="0.3"/>
    <row r="60935" s="160" customFormat="1" x14ac:dyDescent="0.3"/>
    <row r="60936" s="160" customFormat="1" x14ac:dyDescent="0.3"/>
    <row r="60937" s="160" customFormat="1" x14ac:dyDescent="0.3"/>
    <row r="60938" s="160" customFormat="1" x14ac:dyDescent="0.3"/>
    <row r="60939" s="160" customFormat="1" x14ac:dyDescent="0.3"/>
    <row r="60940" s="160" customFormat="1" x14ac:dyDescent="0.3"/>
    <row r="60941" s="160" customFormat="1" x14ac:dyDescent="0.3"/>
    <row r="60942" s="160" customFormat="1" x14ac:dyDescent="0.3"/>
    <row r="60943" s="160" customFormat="1" x14ac:dyDescent="0.3"/>
    <row r="60944" s="160" customFormat="1" x14ac:dyDescent="0.3"/>
    <row r="60945" s="160" customFormat="1" x14ac:dyDescent="0.3"/>
    <row r="60946" s="160" customFormat="1" x14ac:dyDescent="0.3"/>
    <row r="60947" s="160" customFormat="1" x14ac:dyDescent="0.3"/>
    <row r="60948" s="160" customFormat="1" x14ac:dyDescent="0.3"/>
    <row r="60949" s="160" customFormat="1" x14ac:dyDescent="0.3"/>
    <row r="60950" s="160" customFormat="1" x14ac:dyDescent="0.3"/>
    <row r="60951" s="160" customFormat="1" x14ac:dyDescent="0.3"/>
    <row r="60952" s="160" customFormat="1" x14ac:dyDescent="0.3"/>
    <row r="60953" s="160" customFormat="1" x14ac:dyDescent="0.3"/>
    <row r="60954" s="160" customFormat="1" x14ac:dyDescent="0.3"/>
    <row r="60955" s="160" customFormat="1" x14ac:dyDescent="0.3"/>
    <row r="60956" s="160" customFormat="1" x14ac:dyDescent="0.3"/>
    <row r="60957" s="160" customFormat="1" x14ac:dyDescent="0.3"/>
    <row r="60958" s="160" customFormat="1" x14ac:dyDescent="0.3"/>
    <row r="60959" s="160" customFormat="1" x14ac:dyDescent="0.3"/>
    <row r="60960" s="160" customFormat="1" x14ac:dyDescent="0.3"/>
    <row r="60961" s="160" customFormat="1" x14ac:dyDescent="0.3"/>
    <row r="60962" s="160" customFormat="1" x14ac:dyDescent="0.3"/>
    <row r="60963" s="160" customFormat="1" x14ac:dyDescent="0.3"/>
    <row r="60964" s="160" customFormat="1" x14ac:dyDescent="0.3"/>
    <row r="60965" s="160" customFormat="1" x14ac:dyDescent="0.3"/>
    <row r="60966" s="160" customFormat="1" x14ac:dyDescent="0.3"/>
    <row r="60967" s="160" customFormat="1" x14ac:dyDescent="0.3"/>
    <row r="60968" s="160" customFormat="1" x14ac:dyDescent="0.3"/>
    <row r="60969" s="160" customFormat="1" x14ac:dyDescent="0.3"/>
    <row r="60970" s="160" customFormat="1" x14ac:dyDescent="0.3"/>
    <row r="60971" s="160" customFormat="1" x14ac:dyDescent="0.3"/>
    <row r="60972" s="160" customFormat="1" x14ac:dyDescent="0.3"/>
    <row r="60973" s="160" customFormat="1" x14ac:dyDescent="0.3"/>
    <row r="60974" s="160" customFormat="1" x14ac:dyDescent="0.3"/>
    <row r="60975" s="160" customFormat="1" x14ac:dyDescent="0.3"/>
    <row r="60976" s="160" customFormat="1" x14ac:dyDescent="0.3"/>
    <row r="60977" s="160" customFormat="1" x14ac:dyDescent="0.3"/>
    <row r="60978" s="160" customFormat="1" x14ac:dyDescent="0.3"/>
    <row r="60979" s="160" customFormat="1" x14ac:dyDescent="0.3"/>
    <row r="60980" s="160" customFormat="1" x14ac:dyDescent="0.3"/>
    <row r="60981" s="160" customFormat="1" x14ac:dyDescent="0.3"/>
    <row r="60982" s="160" customFormat="1" x14ac:dyDescent="0.3"/>
    <row r="60983" s="160" customFormat="1" x14ac:dyDescent="0.3"/>
    <row r="60984" s="160" customFormat="1" x14ac:dyDescent="0.3"/>
    <row r="60985" s="160" customFormat="1" x14ac:dyDescent="0.3"/>
    <row r="60986" s="160" customFormat="1" x14ac:dyDescent="0.3"/>
    <row r="60987" s="160" customFormat="1" x14ac:dyDescent="0.3"/>
    <row r="60988" s="160" customFormat="1" x14ac:dyDescent="0.3"/>
    <row r="60989" s="160" customFormat="1" x14ac:dyDescent="0.3"/>
    <row r="60990" s="160" customFormat="1" x14ac:dyDescent="0.3"/>
    <row r="60991" s="160" customFormat="1" x14ac:dyDescent="0.3"/>
    <row r="60992" s="160" customFormat="1" x14ac:dyDescent="0.3"/>
    <row r="60993" s="160" customFormat="1" x14ac:dyDescent="0.3"/>
    <row r="60994" s="160" customFormat="1" x14ac:dyDescent="0.3"/>
    <row r="60995" s="160" customFormat="1" x14ac:dyDescent="0.3"/>
    <row r="60996" s="160" customFormat="1" x14ac:dyDescent="0.3"/>
    <row r="60997" s="160" customFormat="1" x14ac:dyDescent="0.3"/>
    <row r="60998" s="160" customFormat="1" x14ac:dyDescent="0.3"/>
    <row r="60999" s="160" customFormat="1" x14ac:dyDescent="0.3"/>
    <row r="61000" s="160" customFormat="1" x14ac:dyDescent="0.3"/>
    <row r="61001" s="160" customFormat="1" x14ac:dyDescent="0.3"/>
    <row r="61002" s="160" customFormat="1" x14ac:dyDescent="0.3"/>
    <row r="61003" s="160" customFormat="1" x14ac:dyDescent="0.3"/>
    <row r="61004" s="160" customFormat="1" x14ac:dyDescent="0.3"/>
    <row r="61005" s="160" customFormat="1" x14ac:dyDescent="0.3"/>
    <row r="61006" s="160" customFormat="1" x14ac:dyDescent="0.3"/>
    <row r="61007" s="160" customFormat="1" x14ac:dyDescent="0.3"/>
    <row r="61008" s="160" customFormat="1" x14ac:dyDescent="0.3"/>
    <row r="61009" s="160" customFormat="1" x14ac:dyDescent="0.3"/>
    <row r="61010" s="160" customFormat="1" x14ac:dyDescent="0.3"/>
    <row r="61011" s="160" customFormat="1" x14ac:dyDescent="0.3"/>
    <row r="61012" s="160" customFormat="1" x14ac:dyDescent="0.3"/>
    <row r="61013" s="160" customFormat="1" x14ac:dyDescent="0.3"/>
    <row r="61014" s="160" customFormat="1" x14ac:dyDescent="0.3"/>
    <row r="61015" s="160" customFormat="1" x14ac:dyDescent="0.3"/>
    <row r="61016" s="160" customFormat="1" x14ac:dyDescent="0.3"/>
    <row r="61017" s="160" customFormat="1" x14ac:dyDescent="0.3"/>
    <row r="61018" s="160" customFormat="1" x14ac:dyDescent="0.3"/>
    <row r="61019" s="160" customFormat="1" x14ac:dyDescent="0.3"/>
    <row r="61020" s="160" customFormat="1" x14ac:dyDescent="0.3"/>
    <row r="61021" s="160" customFormat="1" x14ac:dyDescent="0.3"/>
    <row r="61022" s="160" customFormat="1" x14ac:dyDescent="0.3"/>
    <row r="61023" s="160" customFormat="1" x14ac:dyDescent="0.3"/>
    <row r="61024" s="160" customFormat="1" x14ac:dyDescent="0.3"/>
    <row r="61025" s="160" customFormat="1" x14ac:dyDescent="0.3"/>
    <row r="61026" s="160" customFormat="1" x14ac:dyDescent="0.3"/>
    <row r="61027" s="160" customFormat="1" x14ac:dyDescent="0.3"/>
    <row r="61028" s="160" customFormat="1" x14ac:dyDescent="0.3"/>
    <row r="61029" s="160" customFormat="1" x14ac:dyDescent="0.3"/>
    <row r="61030" s="160" customFormat="1" x14ac:dyDescent="0.3"/>
    <row r="61031" s="160" customFormat="1" x14ac:dyDescent="0.3"/>
    <row r="61032" s="160" customFormat="1" x14ac:dyDescent="0.3"/>
    <row r="61033" s="160" customFormat="1" x14ac:dyDescent="0.3"/>
    <row r="61034" s="160" customFormat="1" x14ac:dyDescent="0.3"/>
    <row r="61035" s="160" customFormat="1" x14ac:dyDescent="0.3"/>
    <row r="61036" s="160" customFormat="1" x14ac:dyDescent="0.3"/>
    <row r="61037" s="160" customFormat="1" x14ac:dyDescent="0.3"/>
    <row r="61038" s="160" customFormat="1" x14ac:dyDescent="0.3"/>
    <row r="61039" s="160" customFormat="1" x14ac:dyDescent="0.3"/>
    <row r="61040" s="160" customFormat="1" x14ac:dyDescent="0.3"/>
    <row r="61041" s="160" customFormat="1" x14ac:dyDescent="0.3"/>
    <row r="61042" s="160" customFormat="1" x14ac:dyDescent="0.3"/>
    <row r="61043" s="160" customFormat="1" x14ac:dyDescent="0.3"/>
    <row r="61044" s="160" customFormat="1" x14ac:dyDescent="0.3"/>
    <row r="61045" s="160" customFormat="1" x14ac:dyDescent="0.3"/>
    <row r="61046" s="160" customFormat="1" x14ac:dyDescent="0.3"/>
    <row r="61047" s="160" customFormat="1" x14ac:dyDescent="0.3"/>
    <row r="61048" s="160" customFormat="1" x14ac:dyDescent="0.3"/>
    <row r="61049" s="160" customFormat="1" x14ac:dyDescent="0.3"/>
    <row r="61050" s="160" customFormat="1" x14ac:dyDescent="0.3"/>
    <row r="61051" s="160" customFormat="1" x14ac:dyDescent="0.3"/>
    <row r="61052" s="160" customFormat="1" x14ac:dyDescent="0.3"/>
    <row r="61053" s="160" customFormat="1" x14ac:dyDescent="0.3"/>
    <row r="61054" s="160" customFormat="1" x14ac:dyDescent="0.3"/>
    <row r="61055" s="160" customFormat="1" x14ac:dyDescent="0.3"/>
    <row r="61056" s="160" customFormat="1" x14ac:dyDescent="0.3"/>
    <row r="61057" s="160" customFormat="1" x14ac:dyDescent="0.3"/>
    <row r="61058" s="160" customFormat="1" x14ac:dyDescent="0.3"/>
    <row r="61059" s="160" customFormat="1" x14ac:dyDescent="0.3"/>
    <row r="61060" s="160" customFormat="1" x14ac:dyDescent="0.3"/>
    <row r="61061" s="160" customFormat="1" x14ac:dyDescent="0.3"/>
    <row r="61062" s="160" customFormat="1" x14ac:dyDescent="0.3"/>
    <row r="61063" s="160" customFormat="1" x14ac:dyDescent="0.3"/>
    <row r="61064" s="160" customFormat="1" x14ac:dyDescent="0.3"/>
    <row r="61065" s="160" customFormat="1" x14ac:dyDescent="0.3"/>
    <row r="61066" s="160" customFormat="1" x14ac:dyDescent="0.3"/>
    <row r="61067" s="160" customFormat="1" x14ac:dyDescent="0.3"/>
    <row r="61068" s="160" customFormat="1" x14ac:dyDescent="0.3"/>
    <row r="61069" s="160" customFormat="1" x14ac:dyDescent="0.3"/>
    <row r="61070" s="160" customFormat="1" x14ac:dyDescent="0.3"/>
    <row r="61071" s="160" customFormat="1" x14ac:dyDescent="0.3"/>
    <row r="61072" s="160" customFormat="1" x14ac:dyDescent="0.3"/>
    <row r="61073" s="160" customFormat="1" x14ac:dyDescent="0.3"/>
    <row r="61074" s="160" customFormat="1" x14ac:dyDescent="0.3"/>
    <row r="61075" s="160" customFormat="1" x14ac:dyDescent="0.3"/>
    <row r="61076" s="160" customFormat="1" x14ac:dyDescent="0.3"/>
    <row r="61077" s="160" customFormat="1" x14ac:dyDescent="0.3"/>
    <row r="61078" s="160" customFormat="1" x14ac:dyDescent="0.3"/>
    <row r="61079" s="160" customFormat="1" x14ac:dyDescent="0.3"/>
    <row r="61080" s="160" customFormat="1" x14ac:dyDescent="0.3"/>
    <row r="61081" s="160" customFormat="1" x14ac:dyDescent="0.3"/>
    <row r="61082" s="160" customFormat="1" x14ac:dyDescent="0.3"/>
    <row r="61083" s="160" customFormat="1" x14ac:dyDescent="0.3"/>
    <row r="61084" s="160" customFormat="1" x14ac:dyDescent="0.3"/>
    <row r="61085" s="160" customFormat="1" x14ac:dyDescent="0.3"/>
    <row r="61086" s="160" customFormat="1" x14ac:dyDescent="0.3"/>
    <row r="61087" s="160" customFormat="1" x14ac:dyDescent="0.3"/>
    <row r="61088" s="160" customFormat="1" x14ac:dyDescent="0.3"/>
    <row r="61089" s="160" customFormat="1" x14ac:dyDescent="0.3"/>
    <row r="61090" s="160" customFormat="1" x14ac:dyDescent="0.3"/>
    <row r="61091" s="160" customFormat="1" x14ac:dyDescent="0.3"/>
    <row r="61092" s="160" customFormat="1" x14ac:dyDescent="0.3"/>
    <row r="61093" s="160" customFormat="1" x14ac:dyDescent="0.3"/>
    <row r="61094" s="160" customFormat="1" x14ac:dyDescent="0.3"/>
    <row r="61095" s="160" customFormat="1" x14ac:dyDescent="0.3"/>
    <row r="61096" s="160" customFormat="1" x14ac:dyDescent="0.3"/>
    <row r="61097" s="160" customFormat="1" x14ac:dyDescent="0.3"/>
    <row r="61098" s="160" customFormat="1" x14ac:dyDescent="0.3"/>
    <row r="61099" s="160" customFormat="1" x14ac:dyDescent="0.3"/>
    <row r="61100" s="160" customFormat="1" x14ac:dyDescent="0.3"/>
    <row r="61101" s="160" customFormat="1" x14ac:dyDescent="0.3"/>
    <row r="61102" s="160" customFormat="1" x14ac:dyDescent="0.3"/>
    <row r="61103" s="160" customFormat="1" x14ac:dyDescent="0.3"/>
    <row r="61104" s="160" customFormat="1" x14ac:dyDescent="0.3"/>
    <row r="61105" s="160" customFormat="1" x14ac:dyDescent="0.3"/>
    <row r="61106" s="160" customFormat="1" x14ac:dyDescent="0.3"/>
    <row r="61107" s="160" customFormat="1" x14ac:dyDescent="0.3"/>
    <row r="61108" s="160" customFormat="1" x14ac:dyDescent="0.3"/>
    <row r="61109" s="160" customFormat="1" x14ac:dyDescent="0.3"/>
    <row r="61110" s="160" customFormat="1" x14ac:dyDescent="0.3"/>
    <row r="61111" s="160" customFormat="1" x14ac:dyDescent="0.3"/>
    <row r="61112" s="160" customFormat="1" x14ac:dyDescent="0.3"/>
    <row r="61113" s="160" customFormat="1" x14ac:dyDescent="0.3"/>
    <row r="61114" s="160" customFormat="1" x14ac:dyDescent="0.3"/>
    <row r="61115" s="160" customFormat="1" x14ac:dyDescent="0.3"/>
    <row r="61116" s="160" customFormat="1" x14ac:dyDescent="0.3"/>
    <row r="61117" s="160" customFormat="1" x14ac:dyDescent="0.3"/>
    <row r="61118" s="160" customFormat="1" x14ac:dyDescent="0.3"/>
    <row r="61119" s="160" customFormat="1" x14ac:dyDescent="0.3"/>
    <row r="61120" s="160" customFormat="1" x14ac:dyDescent="0.3"/>
    <row r="61121" s="160" customFormat="1" x14ac:dyDescent="0.3"/>
    <row r="61122" s="160" customFormat="1" x14ac:dyDescent="0.3"/>
    <row r="61123" s="160" customFormat="1" x14ac:dyDescent="0.3"/>
    <row r="61124" s="160" customFormat="1" x14ac:dyDescent="0.3"/>
    <row r="61125" s="160" customFormat="1" x14ac:dyDescent="0.3"/>
    <row r="61126" s="160" customFormat="1" x14ac:dyDescent="0.3"/>
    <row r="61127" s="160" customFormat="1" x14ac:dyDescent="0.3"/>
    <row r="61128" s="160" customFormat="1" x14ac:dyDescent="0.3"/>
    <row r="61129" s="160" customFormat="1" x14ac:dyDescent="0.3"/>
    <row r="61130" s="160" customFormat="1" x14ac:dyDescent="0.3"/>
    <row r="61131" s="160" customFormat="1" x14ac:dyDescent="0.3"/>
    <row r="61132" s="160" customFormat="1" x14ac:dyDescent="0.3"/>
    <row r="61133" s="160" customFormat="1" x14ac:dyDescent="0.3"/>
    <row r="61134" s="160" customFormat="1" x14ac:dyDescent="0.3"/>
    <row r="61135" s="160" customFormat="1" x14ac:dyDescent="0.3"/>
    <row r="61136" s="160" customFormat="1" x14ac:dyDescent="0.3"/>
    <row r="61137" s="160" customFormat="1" x14ac:dyDescent="0.3"/>
    <row r="61138" s="160" customFormat="1" x14ac:dyDescent="0.3"/>
    <row r="61139" s="160" customFormat="1" x14ac:dyDescent="0.3"/>
    <row r="61140" s="160" customFormat="1" x14ac:dyDescent="0.3"/>
    <row r="61141" s="160" customFormat="1" x14ac:dyDescent="0.3"/>
    <row r="61142" s="160" customFormat="1" x14ac:dyDescent="0.3"/>
    <row r="61143" s="160" customFormat="1" x14ac:dyDescent="0.3"/>
    <row r="61144" s="160" customFormat="1" x14ac:dyDescent="0.3"/>
    <row r="61145" s="160" customFormat="1" x14ac:dyDescent="0.3"/>
    <row r="61146" s="160" customFormat="1" x14ac:dyDescent="0.3"/>
    <row r="61147" s="160" customFormat="1" x14ac:dyDescent="0.3"/>
    <row r="61148" s="160" customFormat="1" x14ac:dyDescent="0.3"/>
    <row r="61149" s="160" customFormat="1" x14ac:dyDescent="0.3"/>
    <row r="61150" s="160" customFormat="1" x14ac:dyDescent="0.3"/>
    <row r="61151" s="160" customFormat="1" x14ac:dyDescent="0.3"/>
    <row r="61152" s="160" customFormat="1" x14ac:dyDescent="0.3"/>
    <row r="61153" s="160" customFormat="1" x14ac:dyDescent="0.3"/>
    <row r="61154" s="160" customFormat="1" x14ac:dyDescent="0.3"/>
    <row r="61155" s="160" customFormat="1" x14ac:dyDescent="0.3"/>
    <row r="61156" s="160" customFormat="1" x14ac:dyDescent="0.3"/>
    <row r="61157" s="160" customFormat="1" x14ac:dyDescent="0.3"/>
    <row r="61158" s="160" customFormat="1" x14ac:dyDescent="0.3"/>
    <row r="61159" s="160" customFormat="1" x14ac:dyDescent="0.3"/>
    <row r="61160" s="160" customFormat="1" x14ac:dyDescent="0.3"/>
    <row r="61161" s="160" customFormat="1" x14ac:dyDescent="0.3"/>
    <row r="61162" s="160" customFormat="1" x14ac:dyDescent="0.3"/>
    <row r="61163" s="160" customFormat="1" x14ac:dyDescent="0.3"/>
    <row r="61164" s="160" customFormat="1" x14ac:dyDescent="0.3"/>
    <row r="61165" s="160" customFormat="1" x14ac:dyDescent="0.3"/>
    <row r="61166" s="160" customFormat="1" x14ac:dyDescent="0.3"/>
    <row r="61167" s="160" customFormat="1" x14ac:dyDescent="0.3"/>
    <row r="61168" s="160" customFormat="1" x14ac:dyDescent="0.3"/>
    <row r="61169" s="160" customFormat="1" x14ac:dyDescent="0.3"/>
    <row r="61170" s="160" customFormat="1" x14ac:dyDescent="0.3"/>
    <row r="61171" s="160" customFormat="1" x14ac:dyDescent="0.3"/>
    <row r="61172" s="160" customFormat="1" x14ac:dyDescent="0.3"/>
    <row r="61173" s="160" customFormat="1" x14ac:dyDescent="0.3"/>
    <row r="61174" s="160" customFormat="1" x14ac:dyDescent="0.3"/>
    <row r="61175" s="160" customFormat="1" x14ac:dyDescent="0.3"/>
    <row r="61176" s="160" customFormat="1" x14ac:dyDescent="0.3"/>
    <row r="61177" s="160" customFormat="1" x14ac:dyDescent="0.3"/>
    <row r="61178" s="160" customFormat="1" x14ac:dyDescent="0.3"/>
    <row r="61179" s="160" customFormat="1" x14ac:dyDescent="0.3"/>
    <row r="61180" s="160" customFormat="1" x14ac:dyDescent="0.3"/>
    <row r="61181" s="160" customFormat="1" x14ac:dyDescent="0.3"/>
    <row r="61182" s="160" customFormat="1" x14ac:dyDescent="0.3"/>
    <row r="61183" s="160" customFormat="1" x14ac:dyDescent="0.3"/>
    <row r="61184" s="160" customFormat="1" x14ac:dyDescent="0.3"/>
    <row r="61185" s="160" customFormat="1" x14ac:dyDescent="0.3"/>
    <row r="61186" s="160" customFormat="1" x14ac:dyDescent="0.3"/>
    <row r="61187" s="160" customFormat="1" x14ac:dyDescent="0.3"/>
    <row r="61188" s="160" customFormat="1" x14ac:dyDescent="0.3"/>
    <row r="61189" s="160" customFormat="1" x14ac:dyDescent="0.3"/>
    <row r="61190" s="160" customFormat="1" x14ac:dyDescent="0.3"/>
    <row r="61191" s="160" customFormat="1" x14ac:dyDescent="0.3"/>
    <row r="61192" s="160" customFormat="1" x14ac:dyDescent="0.3"/>
    <row r="61193" s="160" customFormat="1" x14ac:dyDescent="0.3"/>
    <row r="61194" s="160" customFormat="1" x14ac:dyDescent="0.3"/>
    <row r="61195" s="160" customFormat="1" x14ac:dyDescent="0.3"/>
    <row r="61196" s="160" customFormat="1" x14ac:dyDescent="0.3"/>
    <row r="61197" s="160" customFormat="1" x14ac:dyDescent="0.3"/>
    <row r="61198" s="160" customFormat="1" x14ac:dyDescent="0.3"/>
    <row r="61199" s="160" customFormat="1" x14ac:dyDescent="0.3"/>
    <row r="61200" s="160" customFormat="1" x14ac:dyDescent="0.3"/>
    <row r="61201" s="160" customFormat="1" x14ac:dyDescent="0.3"/>
    <row r="61202" s="160" customFormat="1" x14ac:dyDescent="0.3"/>
    <row r="61203" s="160" customFormat="1" x14ac:dyDescent="0.3"/>
    <row r="61204" s="160" customFormat="1" x14ac:dyDescent="0.3"/>
    <row r="61205" s="160" customFormat="1" x14ac:dyDescent="0.3"/>
    <row r="61206" s="160" customFormat="1" x14ac:dyDescent="0.3"/>
    <row r="61207" s="160" customFormat="1" x14ac:dyDescent="0.3"/>
    <row r="61208" s="160" customFormat="1" x14ac:dyDescent="0.3"/>
    <row r="61209" s="160" customFormat="1" x14ac:dyDescent="0.3"/>
    <row r="61210" s="160" customFormat="1" x14ac:dyDescent="0.3"/>
    <row r="61211" s="160" customFormat="1" x14ac:dyDescent="0.3"/>
    <row r="61212" s="160" customFormat="1" x14ac:dyDescent="0.3"/>
    <row r="61213" s="160" customFormat="1" x14ac:dyDescent="0.3"/>
    <row r="61214" s="160" customFormat="1" x14ac:dyDescent="0.3"/>
    <row r="61215" s="160" customFormat="1" x14ac:dyDescent="0.3"/>
    <row r="61216" s="160" customFormat="1" x14ac:dyDescent="0.3"/>
    <row r="61217" s="160" customFormat="1" x14ac:dyDescent="0.3"/>
    <row r="61218" s="160" customFormat="1" x14ac:dyDescent="0.3"/>
    <row r="61219" s="160" customFormat="1" x14ac:dyDescent="0.3"/>
    <row r="61220" s="160" customFormat="1" x14ac:dyDescent="0.3"/>
    <row r="61221" s="160" customFormat="1" x14ac:dyDescent="0.3"/>
    <row r="61222" s="160" customFormat="1" x14ac:dyDescent="0.3"/>
    <row r="61223" s="160" customFormat="1" x14ac:dyDescent="0.3"/>
    <row r="61224" s="160" customFormat="1" x14ac:dyDescent="0.3"/>
    <row r="61225" s="160" customFormat="1" x14ac:dyDescent="0.3"/>
    <row r="61226" s="160" customFormat="1" x14ac:dyDescent="0.3"/>
    <row r="61227" s="160" customFormat="1" x14ac:dyDescent="0.3"/>
    <row r="61228" s="160" customFormat="1" x14ac:dyDescent="0.3"/>
    <row r="61229" s="160" customFormat="1" x14ac:dyDescent="0.3"/>
    <row r="61230" s="160" customFormat="1" x14ac:dyDescent="0.3"/>
    <row r="61231" s="160" customFormat="1" x14ac:dyDescent="0.3"/>
    <row r="61232" s="160" customFormat="1" x14ac:dyDescent="0.3"/>
    <row r="61233" s="160" customFormat="1" x14ac:dyDescent="0.3"/>
    <row r="61234" s="160" customFormat="1" x14ac:dyDescent="0.3"/>
    <row r="61235" s="160" customFormat="1" x14ac:dyDescent="0.3"/>
    <row r="61236" s="160" customFormat="1" x14ac:dyDescent="0.3"/>
    <row r="61237" s="160" customFormat="1" x14ac:dyDescent="0.3"/>
    <row r="61238" s="160" customFormat="1" x14ac:dyDescent="0.3"/>
    <row r="61239" s="160" customFormat="1" x14ac:dyDescent="0.3"/>
    <row r="61240" s="160" customFormat="1" x14ac:dyDescent="0.3"/>
    <row r="61241" s="160" customFormat="1" x14ac:dyDescent="0.3"/>
    <row r="61242" s="160" customFormat="1" x14ac:dyDescent="0.3"/>
    <row r="61243" s="160" customFormat="1" x14ac:dyDescent="0.3"/>
    <row r="61244" s="160" customFormat="1" x14ac:dyDescent="0.3"/>
    <row r="61245" s="160" customFormat="1" x14ac:dyDescent="0.3"/>
    <row r="61246" s="160" customFormat="1" x14ac:dyDescent="0.3"/>
    <row r="61247" s="160" customFormat="1" x14ac:dyDescent="0.3"/>
    <row r="61248" s="160" customFormat="1" x14ac:dyDescent="0.3"/>
    <row r="61249" s="160" customFormat="1" x14ac:dyDescent="0.3"/>
    <row r="61250" s="160" customFormat="1" x14ac:dyDescent="0.3"/>
    <row r="61251" s="160" customFormat="1" x14ac:dyDescent="0.3"/>
    <row r="61252" s="160" customFormat="1" x14ac:dyDescent="0.3"/>
    <row r="61253" s="160" customFormat="1" x14ac:dyDescent="0.3"/>
    <row r="61254" s="160" customFormat="1" x14ac:dyDescent="0.3"/>
    <row r="61255" s="160" customFormat="1" x14ac:dyDescent="0.3"/>
    <row r="61256" s="160" customFormat="1" x14ac:dyDescent="0.3"/>
    <row r="61257" s="160" customFormat="1" x14ac:dyDescent="0.3"/>
    <row r="61258" s="160" customFormat="1" x14ac:dyDescent="0.3"/>
    <row r="61259" s="160" customFormat="1" x14ac:dyDescent="0.3"/>
    <row r="61260" s="160" customFormat="1" x14ac:dyDescent="0.3"/>
    <row r="61261" s="160" customFormat="1" x14ac:dyDescent="0.3"/>
    <row r="61262" s="160" customFormat="1" x14ac:dyDescent="0.3"/>
    <row r="61263" s="160" customFormat="1" x14ac:dyDescent="0.3"/>
    <row r="61264" s="160" customFormat="1" x14ac:dyDescent="0.3"/>
    <row r="61265" s="160" customFormat="1" x14ac:dyDescent="0.3"/>
    <row r="61266" s="160" customFormat="1" x14ac:dyDescent="0.3"/>
    <row r="61267" s="160" customFormat="1" x14ac:dyDescent="0.3"/>
    <row r="61268" s="160" customFormat="1" x14ac:dyDescent="0.3"/>
    <row r="61269" s="160" customFormat="1" x14ac:dyDescent="0.3"/>
    <row r="61270" s="160" customFormat="1" x14ac:dyDescent="0.3"/>
    <row r="61271" s="160" customFormat="1" x14ac:dyDescent="0.3"/>
    <row r="61272" s="160" customFormat="1" x14ac:dyDescent="0.3"/>
    <row r="61273" s="160" customFormat="1" x14ac:dyDescent="0.3"/>
    <row r="61274" s="160" customFormat="1" x14ac:dyDescent="0.3"/>
    <row r="61275" s="160" customFormat="1" x14ac:dyDescent="0.3"/>
    <row r="61276" s="160" customFormat="1" x14ac:dyDescent="0.3"/>
    <row r="61277" s="160" customFormat="1" x14ac:dyDescent="0.3"/>
    <row r="61278" s="160" customFormat="1" x14ac:dyDescent="0.3"/>
    <row r="61279" s="160" customFormat="1" x14ac:dyDescent="0.3"/>
    <row r="61280" s="160" customFormat="1" x14ac:dyDescent="0.3"/>
    <row r="61281" s="160" customFormat="1" x14ac:dyDescent="0.3"/>
    <row r="61282" s="160" customFormat="1" x14ac:dyDescent="0.3"/>
    <row r="61283" s="160" customFormat="1" x14ac:dyDescent="0.3"/>
    <row r="61284" s="160" customFormat="1" x14ac:dyDescent="0.3"/>
    <row r="61285" s="160" customFormat="1" x14ac:dyDescent="0.3"/>
    <row r="61286" s="160" customFormat="1" x14ac:dyDescent="0.3"/>
    <row r="61287" s="160" customFormat="1" x14ac:dyDescent="0.3"/>
    <row r="61288" s="160" customFormat="1" x14ac:dyDescent="0.3"/>
    <row r="61289" s="160" customFormat="1" x14ac:dyDescent="0.3"/>
    <row r="61290" s="160" customFormat="1" x14ac:dyDescent="0.3"/>
    <row r="61291" s="160" customFormat="1" x14ac:dyDescent="0.3"/>
    <row r="61292" s="160" customFormat="1" x14ac:dyDescent="0.3"/>
    <row r="61293" s="160" customFormat="1" x14ac:dyDescent="0.3"/>
    <row r="61294" s="160" customFormat="1" x14ac:dyDescent="0.3"/>
    <row r="61295" s="160" customFormat="1" x14ac:dyDescent="0.3"/>
    <row r="61296" s="160" customFormat="1" x14ac:dyDescent="0.3"/>
    <row r="61297" s="160" customFormat="1" x14ac:dyDescent="0.3"/>
    <row r="61298" s="160" customFormat="1" x14ac:dyDescent="0.3"/>
    <row r="61299" s="160" customFormat="1" x14ac:dyDescent="0.3"/>
    <row r="61300" s="160" customFormat="1" x14ac:dyDescent="0.3"/>
    <row r="61301" s="160" customFormat="1" x14ac:dyDescent="0.3"/>
    <row r="61302" s="160" customFormat="1" x14ac:dyDescent="0.3"/>
    <row r="61303" s="160" customFormat="1" x14ac:dyDescent="0.3"/>
    <row r="61304" s="160" customFormat="1" x14ac:dyDescent="0.3"/>
    <row r="61305" s="160" customFormat="1" x14ac:dyDescent="0.3"/>
    <row r="61306" s="160" customFormat="1" x14ac:dyDescent="0.3"/>
    <row r="61307" s="160" customFormat="1" x14ac:dyDescent="0.3"/>
    <row r="61308" s="160" customFormat="1" x14ac:dyDescent="0.3"/>
    <row r="61309" s="160" customFormat="1" x14ac:dyDescent="0.3"/>
    <row r="61310" s="160" customFormat="1" x14ac:dyDescent="0.3"/>
    <row r="61311" s="160" customFormat="1" x14ac:dyDescent="0.3"/>
    <row r="61312" s="160" customFormat="1" x14ac:dyDescent="0.3"/>
    <row r="61313" s="160" customFormat="1" x14ac:dyDescent="0.3"/>
    <row r="61314" s="160" customFormat="1" x14ac:dyDescent="0.3"/>
    <row r="61315" s="160" customFormat="1" x14ac:dyDescent="0.3"/>
    <row r="61316" s="160" customFormat="1" x14ac:dyDescent="0.3"/>
    <row r="61317" s="160" customFormat="1" x14ac:dyDescent="0.3"/>
    <row r="61318" s="160" customFormat="1" x14ac:dyDescent="0.3"/>
    <row r="61319" s="160" customFormat="1" x14ac:dyDescent="0.3"/>
    <row r="61320" s="160" customFormat="1" x14ac:dyDescent="0.3"/>
    <row r="61321" s="160" customFormat="1" x14ac:dyDescent="0.3"/>
    <row r="61322" s="160" customFormat="1" x14ac:dyDescent="0.3"/>
    <row r="61323" s="160" customFormat="1" x14ac:dyDescent="0.3"/>
    <row r="61324" s="160" customFormat="1" x14ac:dyDescent="0.3"/>
    <row r="61325" s="160" customFormat="1" x14ac:dyDescent="0.3"/>
    <row r="61326" s="160" customFormat="1" x14ac:dyDescent="0.3"/>
    <row r="61327" s="160" customFormat="1" x14ac:dyDescent="0.3"/>
    <row r="61328" s="160" customFormat="1" x14ac:dyDescent="0.3"/>
    <row r="61329" s="160" customFormat="1" x14ac:dyDescent="0.3"/>
    <row r="61330" s="160" customFormat="1" x14ac:dyDescent="0.3"/>
    <row r="61331" s="160" customFormat="1" x14ac:dyDescent="0.3"/>
    <row r="61332" s="160" customFormat="1" x14ac:dyDescent="0.3"/>
    <row r="61333" s="160" customFormat="1" x14ac:dyDescent="0.3"/>
    <row r="61334" s="160" customFormat="1" x14ac:dyDescent="0.3"/>
    <row r="61335" s="160" customFormat="1" x14ac:dyDescent="0.3"/>
    <row r="61336" s="160" customFormat="1" x14ac:dyDescent="0.3"/>
    <row r="61337" s="160" customFormat="1" x14ac:dyDescent="0.3"/>
    <row r="61338" s="160" customFormat="1" x14ac:dyDescent="0.3"/>
    <row r="61339" s="160" customFormat="1" x14ac:dyDescent="0.3"/>
    <row r="61340" s="160" customFormat="1" x14ac:dyDescent="0.3"/>
    <row r="61341" s="160" customFormat="1" x14ac:dyDescent="0.3"/>
    <row r="61342" s="160" customFormat="1" x14ac:dyDescent="0.3"/>
    <row r="61343" s="160" customFormat="1" x14ac:dyDescent="0.3"/>
    <row r="61344" s="160" customFormat="1" x14ac:dyDescent="0.3"/>
    <row r="61345" s="160" customFormat="1" x14ac:dyDescent="0.3"/>
    <row r="61346" s="160" customFormat="1" x14ac:dyDescent="0.3"/>
    <row r="61347" s="160" customFormat="1" x14ac:dyDescent="0.3"/>
    <row r="61348" s="160" customFormat="1" x14ac:dyDescent="0.3"/>
    <row r="61349" s="160" customFormat="1" x14ac:dyDescent="0.3"/>
    <row r="61350" s="160" customFormat="1" x14ac:dyDescent="0.3"/>
    <row r="61351" s="160" customFormat="1" x14ac:dyDescent="0.3"/>
    <row r="61352" s="160" customFormat="1" x14ac:dyDescent="0.3"/>
    <row r="61353" s="160" customFormat="1" x14ac:dyDescent="0.3"/>
    <row r="61354" s="160" customFormat="1" x14ac:dyDescent="0.3"/>
    <row r="61355" s="160" customFormat="1" x14ac:dyDescent="0.3"/>
    <row r="61356" s="160" customFormat="1" x14ac:dyDescent="0.3"/>
    <row r="61357" s="160" customFormat="1" x14ac:dyDescent="0.3"/>
    <row r="61358" s="160" customFormat="1" x14ac:dyDescent="0.3"/>
    <row r="61359" s="160" customFormat="1" x14ac:dyDescent="0.3"/>
    <row r="61360" s="160" customFormat="1" x14ac:dyDescent="0.3"/>
    <row r="61361" s="160" customFormat="1" x14ac:dyDescent="0.3"/>
    <row r="61362" s="160" customFormat="1" x14ac:dyDescent="0.3"/>
    <row r="61363" s="160" customFormat="1" x14ac:dyDescent="0.3"/>
    <row r="61364" s="160" customFormat="1" x14ac:dyDescent="0.3"/>
    <row r="61365" s="160" customFormat="1" x14ac:dyDescent="0.3"/>
    <row r="61366" s="160" customFormat="1" x14ac:dyDescent="0.3"/>
    <row r="61367" s="160" customFormat="1" x14ac:dyDescent="0.3"/>
    <row r="61368" s="160" customFormat="1" x14ac:dyDescent="0.3"/>
    <row r="61369" s="160" customFormat="1" x14ac:dyDescent="0.3"/>
    <row r="61370" s="160" customFormat="1" x14ac:dyDescent="0.3"/>
    <row r="61371" s="160" customFormat="1" x14ac:dyDescent="0.3"/>
    <row r="61372" s="160" customFormat="1" x14ac:dyDescent="0.3"/>
    <row r="61373" s="160" customFormat="1" x14ac:dyDescent="0.3"/>
    <row r="61374" s="160" customFormat="1" x14ac:dyDescent="0.3"/>
    <row r="61375" s="160" customFormat="1" x14ac:dyDescent="0.3"/>
    <row r="61376" s="160" customFormat="1" x14ac:dyDescent="0.3"/>
    <row r="61377" s="160" customFormat="1" x14ac:dyDescent="0.3"/>
    <row r="61378" s="160" customFormat="1" x14ac:dyDescent="0.3"/>
    <row r="61379" s="160" customFormat="1" x14ac:dyDescent="0.3"/>
    <row r="61380" s="160" customFormat="1" x14ac:dyDescent="0.3"/>
    <row r="61381" s="160" customFormat="1" x14ac:dyDescent="0.3"/>
    <row r="61382" s="160" customFormat="1" x14ac:dyDescent="0.3"/>
    <row r="61383" s="160" customFormat="1" x14ac:dyDescent="0.3"/>
    <row r="61384" s="160" customFormat="1" x14ac:dyDescent="0.3"/>
    <row r="61385" s="160" customFormat="1" x14ac:dyDescent="0.3"/>
    <row r="61386" s="160" customFormat="1" x14ac:dyDescent="0.3"/>
    <row r="61387" s="160" customFormat="1" x14ac:dyDescent="0.3"/>
    <row r="61388" s="160" customFormat="1" x14ac:dyDescent="0.3"/>
    <row r="61389" s="160" customFormat="1" x14ac:dyDescent="0.3"/>
    <row r="61390" s="160" customFormat="1" x14ac:dyDescent="0.3"/>
    <row r="61391" s="160" customFormat="1" x14ac:dyDescent="0.3"/>
    <row r="61392" s="160" customFormat="1" x14ac:dyDescent="0.3"/>
    <row r="61393" s="160" customFormat="1" x14ac:dyDescent="0.3"/>
    <row r="61394" s="160" customFormat="1" x14ac:dyDescent="0.3"/>
    <row r="61395" s="160" customFormat="1" x14ac:dyDescent="0.3"/>
    <row r="61396" s="160" customFormat="1" x14ac:dyDescent="0.3"/>
    <row r="61397" s="160" customFormat="1" x14ac:dyDescent="0.3"/>
    <row r="61398" s="160" customFormat="1" x14ac:dyDescent="0.3"/>
    <row r="61399" s="160" customFormat="1" x14ac:dyDescent="0.3"/>
    <row r="61400" s="160" customFormat="1" x14ac:dyDescent="0.3"/>
    <row r="61401" s="160" customFormat="1" x14ac:dyDescent="0.3"/>
    <row r="61402" s="160" customFormat="1" x14ac:dyDescent="0.3"/>
    <row r="61403" s="160" customFormat="1" x14ac:dyDescent="0.3"/>
    <row r="61404" s="160" customFormat="1" x14ac:dyDescent="0.3"/>
    <row r="61405" s="160" customFormat="1" x14ac:dyDescent="0.3"/>
    <row r="61406" s="160" customFormat="1" x14ac:dyDescent="0.3"/>
    <row r="61407" s="160" customFormat="1" x14ac:dyDescent="0.3"/>
    <row r="61408" s="160" customFormat="1" x14ac:dyDescent="0.3"/>
    <row r="61409" s="160" customFormat="1" x14ac:dyDescent="0.3"/>
    <row r="61410" s="160" customFormat="1" x14ac:dyDescent="0.3"/>
    <row r="61411" s="160" customFormat="1" x14ac:dyDescent="0.3"/>
    <row r="61412" s="160" customFormat="1" x14ac:dyDescent="0.3"/>
    <row r="61413" s="160" customFormat="1" x14ac:dyDescent="0.3"/>
    <row r="61414" s="160" customFormat="1" x14ac:dyDescent="0.3"/>
    <row r="61415" s="160" customFormat="1" x14ac:dyDescent="0.3"/>
    <row r="61416" s="160" customFormat="1" x14ac:dyDescent="0.3"/>
    <row r="61417" s="160" customFormat="1" x14ac:dyDescent="0.3"/>
    <row r="61418" s="160" customFormat="1" x14ac:dyDescent="0.3"/>
    <row r="61419" s="160" customFormat="1" x14ac:dyDescent="0.3"/>
    <row r="61420" s="160" customFormat="1" x14ac:dyDescent="0.3"/>
    <row r="61421" s="160" customFormat="1" x14ac:dyDescent="0.3"/>
    <row r="61422" s="160" customFormat="1" x14ac:dyDescent="0.3"/>
    <row r="61423" s="160" customFormat="1" x14ac:dyDescent="0.3"/>
    <row r="61424" s="160" customFormat="1" x14ac:dyDescent="0.3"/>
    <row r="61425" s="160" customFormat="1" x14ac:dyDescent="0.3"/>
    <row r="61426" s="160" customFormat="1" x14ac:dyDescent="0.3"/>
    <row r="61427" s="160" customFormat="1" x14ac:dyDescent="0.3"/>
    <row r="61428" s="160" customFormat="1" x14ac:dyDescent="0.3"/>
    <row r="61429" s="160" customFormat="1" x14ac:dyDescent="0.3"/>
    <row r="61430" s="160" customFormat="1" x14ac:dyDescent="0.3"/>
    <row r="61431" s="160" customFormat="1" x14ac:dyDescent="0.3"/>
    <row r="61432" s="160" customFormat="1" x14ac:dyDescent="0.3"/>
    <row r="61433" s="160" customFormat="1" x14ac:dyDescent="0.3"/>
    <row r="61434" s="160" customFormat="1" x14ac:dyDescent="0.3"/>
    <row r="61435" s="160" customFormat="1" x14ac:dyDescent="0.3"/>
    <row r="61436" s="160" customFormat="1" x14ac:dyDescent="0.3"/>
    <row r="61437" s="160" customFormat="1" x14ac:dyDescent="0.3"/>
    <row r="61438" s="160" customFormat="1" x14ac:dyDescent="0.3"/>
    <row r="61439" s="160" customFormat="1" x14ac:dyDescent="0.3"/>
    <row r="61440" s="160" customFormat="1" x14ac:dyDescent="0.3"/>
    <row r="61441" s="160" customFormat="1" x14ac:dyDescent="0.3"/>
    <row r="61442" s="160" customFormat="1" x14ac:dyDescent="0.3"/>
    <row r="61443" s="160" customFormat="1" x14ac:dyDescent="0.3"/>
    <row r="61444" s="160" customFormat="1" x14ac:dyDescent="0.3"/>
    <row r="61445" s="160" customFormat="1" x14ac:dyDescent="0.3"/>
    <row r="61446" s="160" customFormat="1" x14ac:dyDescent="0.3"/>
    <row r="61447" s="160" customFormat="1" x14ac:dyDescent="0.3"/>
    <row r="61448" s="160" customFormat="1" x14ac:dyDescent="0.3"/>
    <row r="61449" s="160" customFormat="1" x14ac:dyDescent="0.3"/>
    <row r="61450" s="160" customFormat="1" x14ac:dyDescent="0.3"/>
    <row r="61451" s="160" customFormat="1" x14ac:dyDescent="0.3"/>
    <row r="61452" s="160" customFormat="1" x14ac:dyDescent="0.3"/>
    <row r="61453" s="160" customFormat="1" x14ac:dyDescent="0.3"/>
    <row r="61454" s="160" customFormat="1" x14ac:dyDescent="0.3"/>
    <row r="61455" s="160" customFormat="1" x14ac:dyDescent="0.3"/>
    <row r="61456" s="160" customFormat="1" x14ac:dyDescent="0.3"/>
    <row r="61457" s="160" customFormat="1" x14ac:dyDescent="0.3"/>
    <row r="61458" s="160" customFormat="1" x14ac:dyDescent="0.3"/>
    <row r="61459" s="160" customFormat="1" x14ac:dyDescent="0.3"/>
    <row r="61460" s="160" customFormat="1" x14ac:dyDescent="0.3"/>
    <row r="61461" s="160" customFormat="1" x14ac:dyDescent="0.3"/>
    <row r="61462" s="160" customFormat="1" x14ac:dyDescent="0.3"/>
    <row r="61463" s="160" customFormat="1" x14ac:dyDescent="0.3"/>
    <row r="61464" s="160" customFormat="1" x14ac:dyDescent="0.3"/>
    <row r="61465" s="160" customFormat="1" x14ac:dyDescent="0.3"/>
    <row r="61466" s="160" customFormat="1" x14ac:dyDescent="0.3"/>
    <row r="61467" s="160" customFormat="1" x14ac:dyDescent="0.3"/>
    <row r="61468" s="160" customFormat="1" x14ac:dyDescent="0.3"/>
    <row r="61469" s="160" customFormat="1" x14ac:dyDescent="0.3"/>
    <row r="61470" s="160" customFormat="1" x14ac:dyDescent="0.3"/>
    <row r="61471" s="160" customFormat="1" x14ac:dyDescent="0.3"/>
    <row r="61472" s="160" customFormat="1" x14ac:dyDescent="0.3"/>
    <row r="61473" s="160" customFormat="1" x14ac:dyDescent="0.3"/>
    <row r="61474" s="160" customFormat="1" x14ac:dyDescent="0.3"/>
    <row r="61475" s="160" customFormat="1" x14ac:dyDescent="0.3"/>
    <row r="61476" s="160" customFormat="1" x14ac:dyDescent="0.3"/>
    <row r="61477" s="160" customFormat="1" x14ac:dyDescent="0.3"/>
    <row r="61478" s="160" customFormat="1" x14ac:dyDescent="0.3"/>
    <row r="61479" s="160" customFormat="1" x14ac:dyDescent="0.3"/>
    <row r="61480" s="160" customFormat="1" x14ac:dyDescent="0.3"/>
    <row r="61481" s="160" customFormat="1" x14ac:dyDescent="0.3"/>
    <row r="61482" s="160" customFormat="1" x14ac:dyDescent="0.3"/>
    <row r="61483" s="160" customFormat="1" x14ac:dyDescent="0.3"/>
    <row r="61484" s="160" customFormat="1" x14ac:dyDescent="0.3"/>
    <row r="61485" s="160" customFormat="1" x14ac:dyDescent="0.3"/>
    <row r="61486" s="160" customFormat="1" x14ac:dyDescent="0.3"/>
    <row r="61487" s="160" customFormat="1" x14ac:dyDescent="0.3"/>
    <row r="61488" s="160" customFormat="1" x14ac:dyDescent="0.3"/>
    <row r="61489" s="160" customFormat="1" x14ac:dyDescent="0.3"/>
    <row r="61490" s="160" customFormat="1" x14ac:dyDescent="0.3"/>
    <row r="61491" s="160" customFormat="1" x14ac:dyDescent="0.3"/>
    <row r="61492" s="160" customFormat="1" x14ac:dyDescent="0.3"/>
    <row r="61493" s="160" customFormat="1" x14ac:dyDescent="0.3"/>
    <row r="61494" s="160" customFormat="1" x14ac:dyDescent="0.3"/>
    <row r="61495" s="160" customFormat="1" x14ac:dyDescent="0.3"/>
    <row r="61496" s="160" customFormat="1" x14ac:dyDescent="0.3"/>
    <row r="61497" s="160" customFormat="1" x14ac:dyDescent="0.3"/>
    <row r="61498" s="160" customFormat="1" x14ac:dyDescent="0.3"/>
    <row r="61499" s="160" customFormat="1" x14ac:dyDescent="0.3"/>
    <row r="61500" s="160" customFormat="1" x14ac:dyDescent="0.3"/>
    <row r="61501" s="160" customFormat="1" x14ac:dyDescent="0.3"/>
    <row r="61502" s="160" customFormat="1" x14ac:dyDescent="0.3"/>
    <row r="61503" s="160" customFormat="1" x14ac:dyDescent="0.3"/>
    <row r="61504" s="160" customFormat="1" x14ac:dyDescent="0.3"/>
    <row r="61505" s="160" customFormat="1" x14ac:dyDescent="0.3"/>
    <row r="61506" s="160" customFormat="1" x14ac:dyDescent="0.3"/>
    <row r="61507" s="160" customFormat="1" x14ac:dyDescent="0.3"/>
    <row r="61508" s="160" customFormat="1" x14ac:dyDescent="0.3"/>
    <row r="61509" s="160" customFormat="1" x14ac:dyDescent="0.3"/>
    <row r="61510" s="160" customFormat="1" x14ac:dyDescent="0.3"/>
    <row r="61511" s="160" customFormat="1" x14ac:dyDescent="0.3"/>
    <row r="61512" s="160" customFormat="1" x14ac:dyDescent="0.3"/>
    <row r="61513" s="160" customFormat="1" x14ac:dyDescent="0.3"/>
    <row r="61514" s="160" customFormat="1" x14ac:dyDescent="0.3"/>
    <row r="61515" s="160" customFormat="1" x14ac:dyDescent="0.3"/>
    <row r="61516" s="160" customFormat="1" x14ac:dyDescent="0.3"/>
    <row r="61517" s="160" customFormat="1" x14ac:dyDescent="0.3"/>
    <row r="61518" s="160" customFormat="1" x14ac:dyDescent="0.3"/>
    <row r="61519" s="160" customFormat="1" x14ac:dyDescent="0.3"/>
    <row r="61520" s="160" customFormat="1" x14ac:dyDescent="0.3"/>
    <row r="61521" s="160" customFormat="1" x14ac:dyDescent="0.3"/>
    <row r="61522" s="160" customFormat="1" x14ac:dyDescent="0.3"/>
    <row r="61523" s="160" customFormat="1" x14ac:dyDescent="0.3"/>
    <row r="61524" s="160" customFormat="1" x14ac:dyDescent="0.3"/>
    <row r="61525" s="160" customFormat="1" x14ac:dyDescent="0.3"/>
    <row r="61526" s="160" customFormat="1" x14ac:dyDescent="0.3"/>
    <row r="61527" s="160" customFormat="1" x14ac:dyDescent="0.3"/>
    <row r="61528" s="160" customFormat="1" x14ac:dyDescent="0.3"/>
    <row r="61529" s="160" customFormat="1" x14ac:dyDescent="0.3"/>
    <row r="61530" s="160" customFormat="1" x14ac:dyDescent="0.3"/>
    <row r="61531" s="160" customFormat="1" x14ac:dyDescent="0.3"/>
    <row r="61532" s="160" customFormat="1" x14ac:dyDescent="0.3"/>
    <row r="61533" s="160" customFormat="1" x14ac:dyDescent="0.3"/>
    <row r="61534" s="160" customFormat="1" x14ac:dyDescent="0.3"/>
    <row r="61535" s="160" customFormat="1" x14ac:dyDescent="0.3"/>
    <row r="61536" s="160" customFormat="1" x14ac:dyDescent="0.3"/>
    <row r="61537" s="160" customFormat="1" x14ac:dyDescent="0.3"/>
    <row r="61538" s="160" customFormat="1" x14ac:dyDescent="0.3"/>
    <row r="61539" s="160" customFormat="1" x14ac:dyDescent="0.3"/>
    <row r="61540" s="160" customFormat="1" x14ac:dyDescent="0.3"/>
    <row r="61541" s="160" customFormat="1" x14ac:dyDescent="0.3"/>
    <row r="61542" s="160" customFormat="1" x14ac:dyDescent="0.3"/>
    <row r="61543" s="160" customFormat="1" x14ac:dyDescent="0.3"/>
    <row r="61544" s="160" customFormat="1" x14ac:dyDescent="0.3"/>
    <row r="61545" s="160" customFormat="1" x14ac:dyDescent="0.3"/>
    <row r="61546" s="160" customFormat="1" x14ac:dyDescent="0.3"/>
    <row r="61547" s="160" customFormat="1" x14ac:dyDescent="0.3"/>
    <row r="61548" s="160" customFormat="1" x14ac:dyDescent="0.3"/>
    <row r="61549" s="160" customFormat="1" x14ac:dyDescent="0.3"/>
    <row r="61550" s="160" customFormat="1" x14ac:dyDescent="0.3"/>
    <row r="61551" s="160" customFormat="1" x14ac:dyDescent="0.3"/>
    <row r="61552" s="160" customFormat="1" x14ac:dyDescent="0.3"/>
    <row r="61553" s="160" customFormat="1" x14ac:dyDescent="0.3"/>
    <row r="61554" s="160" customFormat="1" x14ac:dyDescent="0.3"/>
    <row r="61555" s="160" customFormat="1" x14ac:dyDescent="0.3"/>
    <row r="61556" s="160" customFormat="1" x14ac:dyDescent="0.3"/>
    <row r="61557" s="160" customFormat="1" x14ac:dyDescent="0.3"/>
    <row r="61558" s="160" customFormat="1" x14ac:dyDescent="0.3"/>
    <row r="61559" s="160" customFormat="1" x14ac:dyDescent="0.3"/>
    <row r="61560" s="160" customFormat="1" x14ac:dyDescent="0.3"/>
    <row r="61561" s="160" customFormat="1" x14ac:dyDescent="0.3"/>
    <row r="61562" s="160" customFormat="1" x14ac:dyDescent="0.3"/>
    <row r="61563" s="160" customFormat="1" x14ac:dyDescent="0.3"/>
    <row r="61564" s="160" customFormat="1" x14ac:dyDescent="0.3"/>
    <row r="61565" s="160" customFormat="1" x14ac:dyDescent="0.3"/>
    <row r="61566" s="160" customFormat="1" x14ac:dyDescent="0.3"/>
    <row r="61567" s="160" customFormat="1" x14ac:dyDescent="0.3"/>
    <row r="61568" s="160" customFormat="1" x14ac:dyDescent="0.3"/>
    <row r="61569" s="160" customFormat="1" x14ac:dyDescent="0.3"/>
    <row r="61570" s="160" customFormat="1" x14ac:dyDescent="0.3"/>
    <row r="61571" s="160" customFormat="1" x14ac:dyDescent="0.3"/>
    <row r="61572" s="160" customFormat="1" x14ac:dyDescent="0.3"/>
    <row r="61573" s="160" customFormat="1" x14ac:dyDescent="0.3"/>
    <row r="61574" s="160" customFormat="1" x14ac:dyDescent="0.3"/>
    <row r="61575" s="160" customFormat="1" x14ac:dyDescent="0.3"/>
    <row r="61576" s="160" customFormat="1" x14ac:dyDescent="0.3"/>
    <row r="61577" s="160" customFormat="1" x14ac:dyDescent="0.3"/>
    <row r="61578" s="160" customFormat="1" x14ac:dyDescent="0.3"/>
    <row r="61579" s="160" customFormat="1" x14ac:dyDescent="0.3"/>
    <row r="61580" s="160" customFormat="1" x14ac:dyDescent="0.3"/>
    <row r="61581" s="160" customFormat="1" x14ac:dyDescent="0.3"/>
    <row r="61582" s="160" customFormat="1" x14ac:dyDescent="0.3"/>
    <row r="61583" s="160" customFormat="1" x14ac:dyDescent="0.3"/>
    <row r="61584" s="160" customFormat="1" x14ac:dyDescent="0.3"/>
    <row r="61585" s="160" customFormat="1" x14ac:dyDescent="0.3"/>
    <row r="61586" s="160" customFormat="1" x14ac:dyDescent="0.3"/>
    <row r="61587" s="160" customFormat="1" x14ac:dyDescent="0.3"/>
    <row r="61588" s="160" customFormat="1" x14ac:dyDescent="0.3"/>
    <row r="61589" s="160" customFormat="1" x14ac:dyDescent="0.3"/>
    <row r="61590" s="160" customFormat="1" x14ac:dyDescent="0.3"/>
    <row r="61591" s="160" customFormat="1" x14ac:dyDescent="0.3"/>
    <row r="61592" s="160" customFormat="1" x14ac:dyDescent="0.3"/>
    <row r="61593" s="160" customFormat="1" x14ac:dyDescent="0.3"/>
    <row r="61594" s="160" customFormat="1" x14ac:dyDescent="0.3"/>
    <row r="61595" s="160" customFormat="1" x14ac:dyDescent="0.3"/>
    <row r="61596" s="160" customFormat="1" x14ac:dyDescent="0.3"/>
    <row r="61597" s="160" customFormat="1" x14ac:dyDescent="0.3"/>
    <row r="61598" s="160" customFormat="1" x14ac:dyDescent="0.3"/>
    <row r="61599" s="160" customFormat="1" x14ac:dyDescent="0.3"/>
    <row r="61600" s="160" customFormat="1" x14ac:dyDescent="0.3"/>
    <row r="61601" s="160" customFormat="1" x14ac:dyDescent="0.3"/>
    <row r="61602" s="160" customFormat="1" x14ac:dyDescent="0.3"/>
    <row r="61603" s="160" customFormat="1" x14ac:dyDescent="0.3"/>
    <row r="61604" s="160" customFormat="1" x14ac:dyDescent="0.3"/>
    <row r="61605" s="160" customFormat="1" x14ac:dyDescent="0.3"/>
    <row r="61606" s="160" customFormat="1" x14ac:dyDescent="0.3"/>
    <row r="61607" s="160" customFormat="1" x14ac:dyDescent="0.3"/>
    <row r="61608" s="160" customFormat="1" x14ac:dyDescent="0.3"/>
    <row r="61609" s="160" customFormat="1" x14ac:dyDescent="0.3"/>
    <row r="61610" s="160" customFormat="1" x14ac:dyDescent="0.3"/>
    <row r="61611" s="160" customFormat="1" x14ac:dyDescent="0.3"/>
    <row r="61612" s="160" customFormat="1" x14ac:dyDescent="0.3"/>
    <row r="61613" s="160" customFormat="1" x14ac:dyDescent="0.3"/>
    <row r="61614" s="160" customFormat="1" x14ac:dyDescent="0.3"/>
    <row r="61615" s="160" customFormat="1" x14ac:dyDescent="0.3"/>
    <row r="61616" s="160" customFormat="1" x14ac:dyDescent="0.3"/>
    <row r="61617" s="160" customFormat="1" x14ac:dyDescent="0.3"/>
    <row r="61618" s="160" customFormat="1" x14ac:dyDescent="0.3"/>
    <row r="61619" s="160" customFormat="1" x14ac:dyDescent="0.3"/>
    <row r="61620" s="160" customFormat="1" x14ac:dyDescent="0.3"/>
    <row r="61621" s="160" customFormat="1" x14ac:dyDescent="0.3"/>
    <row r="61622" s="160" customFormat="1" x14ac:dyDescent="0.3"/>
    <row r="61623" s="160" customFormat="1" x14ac:dyDescent="0.3"/>
    <row r="61624" s="160" customFormat="1" x14ac:dyDescent="0.3"/>
    <row r="61625" s="160" customFormat="1" x14ac:dyDescent="0.3"/>
    <row r="61626" s="160" customFormat="1" x14ac:dyDescent="0.3"/>
    <row r="61627" s="160" customFormat="1" x14ac:dyDescent="0.3"/>
    <row r="61628" s="160" customFormat="1" x14ac:dyDescent="0.3"/>
    <row r="61629" s="160" customFormat="1" x14ac:dyDescent="0.3"/>
    <row r="61630" s="160" customFormat="1" x14ac:dyDescent="0.3"/>
    <row r="61631" s="160" customFormat="1" x14ac:dyDescent="0.3"/>
    <row r="61632" s="160" customFormat="1" x14ac:dyDescent="0.3"/>
    <row r="61633" s="160" customFormat="1" x14ac:dyDescent="0.3"/>
    <row r="61634" s="160" customFormat="1" x14ac:dyDescent="0.3"/>
    <row r="61635" s="160" customFormat="1" x14ac:dyDescent="0.3"/>
    <row r="61636" s="160" customFormat="1" x14ac:dyDescent="0.3"/>
    <row r="61637" s="160" customFormat="1" x14ac:dyDescent="0.3"/>
    <row r="61638" s="160" customFormat="1" x14ac:dyDescent="0.3"/>
    <row r="61639" s="160" customFormat="1" x14ac:dyDescent="0.3"/>
    <row r="61640" s="160" customFormat="1" x14ac:dyDescent="0.3"/>
    <row r="61641" s="160" customFormat="1" x14ac:dyDescent="0.3"/>
    <row r="61642" s="160" customFormat="1" x14ac:dyDescent="0.3"/>
    <row r="61643" s="160" customFormat="1" x14ac:dyDescent="0.3"/>
    <row r="61644" s="160" customFormat="1" x14ac:dyDescent="0.3"/>
    <row r="61645" s="160" customFormat="1" x14ac:dyDescent="0.3"/>
    <row r="61646" s="160" customFormat="1" x14ac:dyDescent="0.3"/>
    <row r="61647" s="160" customFormat="1" x14ac:dyDescent="0.3"/>
    <row r="61648" s="160" customFormat="1" x14ac:dyDescent="0.3"/>
    <row r="61649" s="160" customFormat="1" x14ac:dyDescent="0.3"/>
    <row r="61650" s="160" customFormat="1" x14ac:dyDescent="0.3"/>
    <row r="61651" s="160" customFormat="1" x14ac:dyDescent="0.3"/>
    <row r="61652" s="160" customFormat="1" x14ac:dyDescent="0.3"/>
    <row r="61653" s="160" customFormat="1" x14ac:dyDescent="0.3"/>
    <row r="61654" s="160" customFormat="1" x14ac:dyDescent="0.3"/>
    <row r="61655" s="160" customFormat="1" x14ac:dyDescent="0.3"/>
    <row r="61656" s="160" customFormat="1" x14ac:dyDescent="0.3"/>
    <row r="61657" s="160" customFormat="1" x14ac:dyDescent="0.3"/>
    <row r="61658" s="160" customFormat="1" x14ac:dyDescent="0.3"/>
    <row r="61659" s="160" customFormat="1" x14ac:dyDescent="0.3"/>
    <row r="61660" s="160" customFormat="1" x14ac:dyDescent="0.3"/>
    <row r="61661" s="160" customFormat="1" x14ac:dyDescent="0.3"/>
    <row r="61662" s="160" customFormat="1" x14ac:dyDescent="0.3"/>
    <row r="61663" s="160" customFormat="1" x14ac:dyDescent="0.3"/>
    <row r="61664" s="160" customFormat="1" x14ac:dyDescent="0.3"/>
    <row r="61665" s="160" customFormat="1" x14ac:dyDescent="0.3"/>
    <row r="61666" s="160" customFormat="1" x14ac:dyDescent="0.3"/>
    <row r="61667" s="160" customFormat="1" x14ac:dyDescent="0.3"/>
    <row r="61668" s="160" customFormat="1" x14ac:dyDescent="0.3"/>
    <row r="61669" s="160" customFormat="1" x14ac:dyDescent="0.3"/>
    <row r="61670" s="160" customFormat="1" x14ac:dyDescent="0.3"/>
    <row r="61671" s="160" customFormat="1" x14ac:dyDescent="0.3"/>
    <row r="61672" s="160" customFormat="1" x14ac:dyDescent="0.3"/>
    <row r="61673" s="160" customFormat="1" x14ac:dyDescent="0.3"/>
    <row r="61674" s="160" customFormat="1" x14ac:dyDescent="0.3"/>
    <row r="61675" s="160" customFormat="1" x14ac:dyDescent="0.3"/>
    <row r="61676" s="160" customFormat="1" x14ac:dyDescent="0.3"/>
    <row r="61677" s="160" customFormat="1" x14ac:dyDescent="0.3"/>
    <row r="61678" s="160" customFormat="1" x14ac:dyDescent="0.3"/>
    <row r="61679" s="160" customFormat="1" x14ac:dyDescent="0.3"/>
    <row r="61680" s="160" customFormat="1" x14ac:dyDescent="0.3"/>
    <row r="61681" s="160" customFormat="1" x14ac:dyDescent="0.3"/>
    <row r="61682" s="160" customFormat="1" x14ac:dyDescent="0.3"/>
    <row r="61683" s="160" customFormat="1" x14ac:dyDescent="0.3"/>
    <row r="61684" s="160" customFormat="1" x14ac:dyDescent="0.3"/>
    <row r="61685" s="160" customFormat="1" x14ac:dyDescent="0.3"/>
    <row r="61686" s="160" customFormat="1" x14ac:dyDescent="0.3"/>
    <row r="61687" s="160" customFormat="1" x14ac:dyDescent="0.3"/>
    <row r="61688" s="160" customFormat="1" x14ac:dyDescent="0.3"/>
    <row r="61689" s="160" customFormat="1" x14ac:dyDescent="0.3"/>
    <row r="61690" s="160" customFormat="1" x14ac:dyDescent="0.3"/>
    <row r="61691" s="160" customFormat="1" x14ac:dyDescent="0.3"/>
    <row r="61692" s="160" customFormat="1" x14ac:dyDescent="0.3"/>
    <row r="61693" s="160" customFormat="1" x14ac:dyDescent="0.3"/>
    <row r="61694" s="160" customFormat="1" x14ac:dyDescent="0.3"/>
    <row r="61695" s="160" customFormat="1" x14ac:dyDescent="0.3"/>
    <row r="61696" s="160" customFormat="1" x14ac:dyDescent="0.3"/>
    <row r="61697" s="160" customFormat="1" x14ac:dyDescent="0.3"/>
    <row r="61698" s="160" customFormat="1" x14ac:dyDescent="0.3"/>
    <row r="61699" s="160" customFormat="1" x14ac:dyDescent="0.3"/>
    <row r="61700" s="160" customFormat="1" x14ac:dyDescent="0.3"/>
    <row r="61701" s="160" customFormat="1" x14ac:dyDescent="0.3"/>
    <row r="61702" s="160" customFormat="1" x14ac:dyDescent="0.3"/>
    <row r="61703" s="160" customFormat="1" x14ac:dyDescent="0.3"/>
    <row r="61704" s="160" customFormat="1" x14ac:dyDescent="0.3"/>
    <row r="61705" s="160" customFormat="1" x14ac:dyDescent="0.3"/>
    <row r="61706" s="160" customFormat="1" x14ac:dyDescent="0.3"/>
    <row r="61707" s="160" customFormat="1" x14ac:dyDescent="0.3"/>
    <row r="61708" s="160" customFormat="1" x14ac:dyDescent="0.3"/>
    <row r="61709" s="160" customFormat="1" x14ac:dyDescent="0.3"/>
    <row r="61710" s="160" customFormat="1" x14ac:dyDescent="0.3"/>
    <row r="61711" s="160" customFormat="1" x14ac:dyDescent="0.3"/>
    <row r="61712" s="160" customFormat="1" x14ac:dyDescent="0.3"/>
    <row r="61713" s="160" customFormat="1" x14ac:dyDescent="0.3"/>
    <row r="61714" s="160" customFormat="1" x14ac:dyDescent="0.3"/>
    <row r="61715" s="160" customFormat="1" x14ac:dyDescent="0.3"/>
    <row r="61716" s="160" customFormat="1" x14ac:dyDescent="0.3"/>
    <row r="61717" s="160" customFormat="1" x14ac:dyDescent="0.3"/>
    <row r="61718" s="160" customFormat="1" x14ac:dyDescent="0.3"/>
    <row r="61719" s="160" customFormat="1" x14ac:dyDescent="0.3"/>
    <row r="61720" s="160" customFormat="1" x14ac:dyDescent="0.3"/>
    <row r="61721" s="160" customFormat="1" x14ac:dyDescent="0.3"/>
    <row r="61722" s="160" customFormat="1" x14ac:dyDescent="0.3"/>
    <row r="61723" s="160" customFormat="1" x14ac:dyDescent="0.3"/>
    <row r="61724" s="160" customFormat="1" x14ac:dyDescent="0.3"/>
    <row r="61725" s="160" customFormat="1" x14ac:dyDescent="0.3"/>
    <row r="61726" s="160" customFormat="1" x14ac:dyDescent="0.3"/>
    <row r="61727" s="160" customFormat="1" x14ac:dyDescent="0.3"/>
    <row r="61728" s="160" customFormat="1" x14ac:dyDescent="0.3"/>
    <row r="61729" s="160" customFormat="1" x14ac:dyDescent="0.3"/>
    <row r="61730" s="160" customFormat="1" x14ac:dyDescent="0.3"/>
    <row r="61731" s="160" customFormat="1" x14ac:dyDescent="0.3"/>
    <row r="61732" s="160" customFormat="1" x14ac:dyDescent="0.3"/>
    <row r="61733" s="160" customFormat="1" x14ac:dyDescent="0.3"/>
    <row r="61734" s="160" customFormat="1" x14ac:dyDescent="0.3"/>
    <row r="61735" s="160" customFormat="1" x14ac:dyDescent="0.3"/>
    <row r="61736" s="160" customFormat="1" x14ac:dyDescent="0.3"/>
    <row r="61737" s="160" customFormat="1" x14ac:dyDescent="0.3"/>
    <row r="61738" s="160" customFormat="1" x14ac:dyDescent="0.3"/>
    <row r="61739" s="160" customFormat="1" x14ac:dyDescent="0.3"/>
    <row r="61740" s="160" customFormat="1" x14ac:dyDescent="0.3"/>
    <row r="61741" s="160" customFormat="1" x14ac:dyDescent="0.3"/>
    <row r="61742" s="160" customFormat="1" x14ac:dyDescent="0.3"/>
    <row r="61743" s="160" customFormat="1" x14ac:dyDescent="0.3"/>
    <row r="61744" s="160" customFormat="1" x14ac:dyDescent="0.3"/>
    <row r="61745" s="160" customFormat="1" x14ac:dyDescent="0.3"/>
    <row r="61746" s="160" customFormat="1" x14ac:dyDescent="0.3"/>
    <row r="61747" s="160" customFormat="1" x14ac:dyDescent="0.3"/>
    <row r="61748" s="160" customFormat="1" x14ac:dyDescent="0.3"/>
    <row r="61749" s="160" customFormat="1" x14ac:dyDescent="0.3"/>
    <row r="61750" s="160" customFormat="1" x14ac:dyDescent="0.3"/>
    <row r="61751" s="160" customFormat="1" x14ac:dyDescent="0.3"/>
    <row r="61752" s="160" customFormat="1" x14ac:dyDescent="0.3"/>
    <row r="61753" s="160" customFormat="1" x14ac:dyDescent="0.3"/>
    <row r="61754" s="160" customFormat="1" x14ac:dyDescent="0.3"/>
    <row r="61755" s="160" customFormat="1" x14ac:dyDescent="0.3"/>
    <row r="61756" s="160" customFormat="1" x14ac:dyDescent="0.3"/>
    <row r="61757" s="160" customFormat="1" x14ac:dyDescent="0.3"/>
    <row r="61758" s="160" customFormat="1" x14ac:dyDescent="0.3"/>
    <row r="61759" s="160" customFormat="1" x14ac:dyDescent="0.3"/>
    <row r="61760" s="160" customFormat="1" x14ac:dyDescent="0.3"/>
    <row r="61761" s="160" customFormat="1" x14ac:dyDescent="0.3"/>
    <row r="61762" s="160" customFormat="1" x14ac:dyDescent="0.3"/>
    <row r="61763" s="160" customFormat="1" x14ac:dyDescent="0.3"/>
    <row r="61764" s="160" customFormat="1" x14ac:dyDescent="0.3"/>
    <row r="61765" s="160" customFormat="1" x14ac:dyDescent="0.3"/>
    <row r="61766" s="160" customFormat="1" x14ac:dyDescent="0.3"/>
    <row r="61767" s="160" customFormat="1" x14ac:dyDescent="0.3"/>
    <row r="61768" s="160" customFormat="1" x14ac:dyDescent="0.3"/>
    <row r="61769" s="160" customFormat="1" x14ac:dyDescent="0.3"/>
    <row r="61770" s="160" customFormat="1" x14ac:dyDescent="0.3"/>
    <row r="61771" s="160" customFormat="1" x14ac:dyDescent="0.3"/>
    <row r="61772" s="160" customFormat="1" x14ac:dyDescent="0.3"/>
    <row r="61773" s="160" customFormat="1" x14ac:dyDescent="0.3"/>
    <row r="61774" s="160" customFormat="1" x14ac:dyDescent="0.3"/>
    <row r="61775" s="160" customFormat="1" x14ac:dyDescent="0.3"/>
    <row r="61776" s="160" customFormat="1" x14ac:dyDescent="0.3"/>
    <row r="61777" s="160" customFormat="1" x14ac:dyDescent="0.3"/>
    <row r="61778" s="160" customFormat="1" x14ac:dyDescent="0.3"/>
    <row r="61779" s="160" customFormat="1" x14ac:dyDescent="0.3"/>
    <row r="61780" s="160" customFormat="1" x14ac:dyDescent="0.3"/>
    <row r="61781" s="160" customFormat="1" x14ac:dyDescent="0.3"/>
    <row r="61782" s="160" customFormat="1" x14ac:dyDescent="0.3"/>
    <row r="61783" s="160" customFormat="1" x14ac:dyDescent="0.3"/>
    <row r="61784" s="160" customFormat="1" x14ac:dyDescent="0.3"/>
    <row r="61785" s="160" customFormat="1" x14ac:dyDescent="0.3"/>
    <row r="61786" s="160" customFormat="1" x14ac:dyDescent="0.3"/>
    <row r="61787" s="160" customFormat="1" x14ac:dyDescent="0.3"/>
    <row r="61788" s="160" customFormat="1" x14ac:dyDescent="0.3"/>
    <row r="61789" s="160" customFormat="1" x14ac:dyDescent="0.3"/>
    <row r="61790" s="160" customFormat="1" x14ac:dyDescent="0.3"/>
    <row r="61791" s="160" customFormat="1" x14ac:dyDescent="0.3"/>
    <row r="61792" s="160" customFormat="1" x14ac:dyDescent="0.3"/>
    <row r="61793" s="160" customFormat="1" x14ac:dyDescent="0.3"/>
    <row r="61794" s="160" customFormat="1" x14ac:dyDescent="0.3"/>
    <row r="61795" s="160" customFormat="1" x14ac:dyDescent="0.3"/>
    <row r="61796" s="160" customFormat="1" x14ac:dyDescent="0.3"/>
    <row r="61797" s="160" customFormat="1" x14ac:dyDescent="0.3"/>
    <row r="61798" s="160" customFormat="1" x14ac:dyDescent="0.3"/>
    <row r="61799" s="160" customFormat="1" x14ac:dyDescent="0.3"/>
    <row r="61800" s="160" customFormat="1" x14ac:dyDescent="0.3"/>
    <row r="61801" s="160" customFormat="1" x14ac:dyDescent="0.3"/>
    <row r="61802" s="160" customFormat="1" x14ac:dyDescent="0.3"/>
    <row r="61803" s="160" customFormat="1" x14ac:dyDescent="0.3"/>
    <row r="61804" s="160" customFormat="1" x14ac:dyDescent="0.3"/>
    <row r="61805" s="160" customFormat="1" x14ac:dyDescent="0.3"/>
    <row r="61806" s="160" customFormat="1" x14ac:dyDescent="0.3"/>
    <row r="61807" s="160" customFormat="1" x14ac:dyDescent="0.3"/>
    <row r="61808" s="160" customFormat="1" x14ac:dyDescent="0.3"/>
    <row r="61809" s="160" customFormat="1" x14ac:dyDescent="0.3"/>
    <row r="61810" s="160" customFormat="1" x14ac:dyDescent="0.3"/>
    <row r="61811" s="160" customFormat="1" x14ac:dyDescent="0.3"/>
    <row r="61812" s="160" customFormat="1" x14ac:dyDescent="0.3"/>
    <row r="61813" s="160" customFormat="1" x14ac:dyDescent="0.3"/>
    <row r="61814" s="160" customFormat="1" x14ac:dyDescent="0.3"/>
    <row r="61815" s="160" customFormat="1" x14ac:dyDescent="0.3"/>
    <row r="61816" s="160" customFormat="1" x14ac:dyDescent="0.3"/>
    <row r="61817" s="160" customFormat="1" x14ac:dyDescent="0.3"/>
    <row r="61818" s="160" customFormat="1" x14ac:dyDescent="0.3"/>
    <row r="61819" s="160" customFormat="1" x14ac:dyDescent="0.3"/>
    <row r="61820" s="160" customFormat="1" x14ac:dyDescent="0.3"/>
    <row r="61821" s="160" customFormat="1" x14ac:dyDescent="0.3"/>
    <row r="61822" s="160" customFormat="1" x14ac:dyDescent="0.3"/>
    <row r="61823" s="160" customFormat="1" x14ac:dyDescent="0.3"/>
    <row r="61824" s="160" customFormat="1" x14ac:dyDescent="0.3"/>
    <row r="61825" s="160" customFormat="1" x14ac:dyDescent="0.3"/>
    <row r="61826" s="160" customFormat="1" x14ac:dyDescent="0.3"/>
    <row r="61827" s="160" customFormat="1" x14ac:dyDescent="0.3"/>
    <row r="61828" s="160" customFormat="1" x14ac:dyDescent="0.3"/>
    <row r="61829" s="160" customFormat="1" x14ac:dyDescent="0.3"/>
    <row r="61830" s="160" customFormat="1" x14ac:dyDescent="0.3"/>
    <row r="61831" s="160" customFormat="1" x14ac:dyDescent="0.3"/>
    <row r="61832" s="160" customFormat="1" x14ac:dyDescent="0.3"/>
    <row r="61833" s="160" customFormat="1" x14ac:dyDescent="0.3"/>
    <row r="61834" s="160" customFormat="1" x14ac:dyDescent="0.3"/>
    <row r="61835" s="160" customFormat="1" x14ac:dyDescent="0.3"/>
    <row r="61836" s="160" customFormat="1" x14ac:dyDescent="0.3"/>
    <row r="61837" s="160" customFormat="1" x14ac:dyDescent="0.3"/>
    <row r="61838" s="160" customFormat="1" x14ac:dyDescent="0.3"/>
    <row r="61839" s="160" customFormat="1" x14ac:dyDescent="0.3"/>
    <row r="61840" s="160" customFormat="1" x14ac:dyDescent="0.3"/>
    <row r="61841" s="160" customFormat="1" x14ac:dyDescent="0.3"/>
    <row r="61842" s="160" customFormat="1" x14ac:dyDescent="0.3"/>
    <row r="61843" s="160" customFormat="1" x14ac:dyDescent="0.3"/>
    <row r="61844" s="160" customFormat="1" x14ac:dyDescent="0.3"/>
    <row r="61845" s="160" customFormat="1" x14ac:dyDescent="0.3"/>
    <row r="61846" s="160" customFormat="1" x14ac:dyDescent="0.3"/>
    <row r="61847" s="160" customFormat="1" x14ac:dyDescent="0.3"/>
    <row r="61848" s="160" customFormat="1" x14ac:dyDescent="0.3"/>
    <row r="61849" s="160" customFormat="1" x14ac:dyDescent="0.3"/>
    <row r="61850" s="160" customFormat="1" x14ac:dyDescent="0.3"/>
    <row r="61851" s="160" customFormat="1" x14ac:dyDescent="0.3"/>
    <row r="61852" s="160" customFormat="1" x14ac:dyDescent="0.3"/>
    <row r="61853" s="160" customFormat="1" x14ac:dyDescent="0.3"/>
    <row r="61854" s="160" customFormat="1" x14ac:dyDescent="0.3"/>
    <row r="61855" s="160" customFormat="1" x14ac:dyDescent="0.3"/>
    <row r="61856" s="160" customFormat="1" x14ac:dyDescent="0.3"/>
    <row r="61857" s="160" customFormat="1" x14ac:dyDescent="0.3"/>
    <row r="61858" s="160" customFormat="1" x14ac:dyDescent="0.3"/>
    <row r="61859" s="160" customFormat="1" x14ac:dyDescent="0.3"/>
    <row r="61860" s="160" customFormat="1" x14ac:dyDescent="0.3"/>
    <row r="61861" s="160" customFormat="1" x14ac:dyDescent="0.3"/>
    <row r="61862" s="160" customFormat="1" x14ac:dyDescent="0.3"/>
    <row r="61863" s="160" customFormat="1" x14ac:dyDescent="0.3"/>
    <row r="61864" s="160" customFormat="1" x14ac:dyDescent="0.3"/>
    <row r="61865" s="160" customFormat="1" x14ac:dyDescent="0.3"/>
    <row r="61866" s="160" customFormat="1" x14ac:dyDescent="0.3"/>
    <row r="61867" s="160" customFormat="1" x14ac:dyDescent="0.3"/>
    <row r="61868" s="160" customFormat="1" x14ac:dyDescent="0.3"/>
    <row r="61869" s="160" customFormat="1" x14ac:dyDescent="0.3"/>
    <row r="61870" s="160" customFormat="1" x14ac:dyDescent="0.3"/>
    <row r="61871" s="160" customFormat="1" x14ac:dyDescent="0.3"/>
    <row r="61872" s="160" customFormat="1" x14ac:dyDescent="0.3"/>
    <row r="61873" s="160" customFormat="1" x14ac:dyDescent="0.3"/>
    <row r="61874" s="160" customFormat="1" x14ac:dyDescent="0.3"/>
    <row r="61875" s="160" customFormat="1" x14ac:dyDescent="0.3"/>
    <row r="61876" s="160" customFormat="1" x14ac:dyDescent="0.3"/>
    <row r="61877" s="160" customFormat="1" x14ac:dyDescent="0.3"/>
    <row r="61878" s="160" customFormat="1" x14ac:dyDescent="0.3"/>
    <row r="61879" s="160" customFormat="1" x14ac:dyDescent="0.3"/>
    <row r="61880" s="160" customFormat="1" x14ac:dyDescent="0.3"/>
    <row r="61881" s="160" customFormat="1" x14ac:dyDescent="0.3"/>
    <row r="61882" s="160" customFormat="1" x14ac:dyDescent="0.3"/>
    <row r="61883" s="160" customFormat="1" x14ac:dyDescent="0.3"/>
    <row r="61884" s="160" customFormat="1" x14ac:dyDescent="0.3"/>
    <row r="61885" s="160" customFormat="1" x14ac:dyDescent="0.3"/>
    <row r="61886" s="160" customFormat="1" x14ac:dyDescent="0.3"/>
    <row r="61887" s="160" customFormat="1" x14ac:dyDescent="0.3"/>
    <row r="61888" s="160" customFormat="1" x14ac:dyDescent="0.3"/>
    <row r="61889" s="160" customFormat="1" x14ac:dyDescent="0.3"/>
    <row r="61890" s="160" customFormat="1" x14ac:dyDescent="0.3"/>
    <row r="61891" s="160" customFormat="1" x14ac:dyDescent="0.3"/>
    <row r="61892" s="160" customFormat="1" x14ac:dyDescent="0.3"/>
    <row r="61893" s="160" customFormat="1" x14ac:dyDescent="0.3"/>
    <row r="61894" s="160" customFormat="1" x14ac:dyDescent="0.3"/>
    <row r="61895" s="160" customFormat="1" x14ac:dyDescent="0.3"/>
    <row r="61896" s="160" customFormat="1" x14ac:dyDescent="0.3"/>
    <row r="61897" s="160" customFormat="1" x14ac:dyDescent="0.3"/>
    <row r="61898" s="160" customFormat="1" x14ac:dyDescent="0.3"/>
    <row r="61899" s="160" customFormat="1" x14ac:dyDescent="0.3"/>
    <row r="61900" s="160" customFormat="1" x14ac:dyDescent="0.3"/>
    <row r="61901" s="160" customFormat="1" x14ac:dyDescent="0.3"/>
    <row r="61902" s="160" customFormat="1" x14ac:dyDescent="0.3"/>
    <row r="61903" s="160" customFormat="1" x14ac:dyDescent="0.3"/>
    <row r="61904" s="160" customFormat="1" x14ac:dyDescent="0.3"/>
    <row r="61905" s="160" customFormat="1" x14ac:dyDescent="0.3"/>
    <row r="61906" s="160" customFormat="1" x14ac:dyDescent="0.3"/>
    <row r="61907" s="160" customFormat="1" x14ac:dyDescent="0.3"/>
    <row r="61908" s="160" customFormat="1" x14ac:dyDescent="0.3"/>
    <row r="61909" s="160" customFormat="1" x14ac:dyDescent="0.3"/>
    <row r="61910" s="160" customFormat="1" x14ac:dyDescent="0.3"/>
    <row r="61911" s="160" customFormat="1" x14ac:dyDescent="0.3"/>
    <row r="61912" s="160" customFormat="1" x14ac:dyDescent="0.3"/>
    <row r="61913" s="160" customFormat="1" x14ac:dyDescent="0.3"/>
    <row r="61914" s="160" customFormat="1" x14ac:dyDescent="0.3"/>
    <row r="61915" s="160" customFormat="1" x14ac:dyDescent="0.3"/>
    <row r="61916" s="160" customFormat="1" x14ac:dyDescent="0.3"/>
    <row r="61917" s="160" customFormat="1" x14ac:dyDescent="0.3"/>
    <row r="61918" s="160" customFormat="1" x14ac:dyDescent="0.3"/>
    <row r="61919" s="160" customFormat="1" x14ac:dyDescent="0.3"/>
    <row r="61920" s="160" customFormat="1" x14ac:dyDescent="0.3"/>
    <row r="61921" s="160" customFormat="1" x14ac:dyDescent="0.3"/>
    <row r="61922" s="160" customFormat="1" x14ac:dyDescent="0.3"/>
    <row r="61923" s="160" customFormat="1" x14ac:dyDescent="0.3"/>
    <row r="61924" s="160" customFormat="1" x14ac:dyDescent="0.3"/>
    <row r="61925" s="160" customFormat="1" x14ac:dyDescent="0.3"/>
    <row r="61926" s="160" customFormat="1" x14ac:dyDescent="0.3"/>
    <row r="61927" s="160" customFormat="1" x14ac:dyDescent="0.3"/>
    <row r="61928" s="160" customFormat="1" x14ac:dyDescent="0.3"/>
    <row r="61929" s="160" customFormat="1" x14ac:dyDescent="0.3"/>
    <row r="61930" s="160" customFormat="1" x14ac:dyDescent="0.3"/>
    <row r="61931" s="160" customFormat="1" x14ac:dyDescent="0.3"/>
    <row r="61932" s="160" customFormat="1" x14ac:dyDescent="0.3"/>
    <row r="61933" s="160" customFormat="1" x14ac:dyDescent="0.3"/>
    <row r="61934" s="160" customFormat="1" x14ac:dyDescent="0.3"/>
    <row r="61935" s="160" customFormat="1" x14ac:dyDescent="0.3"/>
    <row r="61936" s="160" customFormat="1" x14ac:dyDescent="0.3"/>
    <row r="61937" s="160" customFormat="1" x14ac:dyDescent="0.3"/>
    <row r="61938" s="160" customFormat="1" x14ac:dyDescent="0.3"/>
    <row r="61939" s="160" customFormat="1" x14ac:dyDescent="0.3"/>
    <row r="61940" s="160" customFormat="1" x14ac:dyDescent="0.3"/>
    <row r="61941" s="160" customFormat="1" x14ac:dyDescent="0.3"/>
    <row r="61942" s="160" customFormat="1" x14ac:dyDescent="0.3"/>
    <row r="61943" s="160" customFormat="1" x14ac:dyDescent="0.3"/>
    <row r="61944" s="160" customFormat="1" x14ac:dyDescent="0.3"/>
    <row r="61945" s="160" customFormat="1" x14ac:dyDescent="0.3"/>
    <row r="61946" s="160" customFormat="1" x14ac:dyDescent="0.3"/>
    <row r="61947" s="160" customFormat="1" x14ac:dyDescent="0.3"/>
    <row r="61948" s="160" customFormat="1" x14ac:dyDescent="0.3"/>
    <row r="61949" s="160" customFormat="1" x14ac:dyDescent="0.3"/>
    <row r="61950" s="160" customFormat="1" x14ac:dyDescent="0.3"/>
    <row r="61951" s="160" customFormat="1" x14ac:dyDescent="0.3"/>
    <row r="61952" s="160" customFormat="1" x14ac:dyDescent="0.3"/>
    <row r="61953" s="160" customFormat="1" x14ac:dyDescent="0.3"/>
    <row r="61954" s="160" customFormat="1" x14ac:dyDescent="0.3"/>
    <row r="61955" s="160" customFormat="1" x14ac:dyDescent="0.3"/>
    <row r="61956" s="160" customFormat="1" x14ac:dyDescent="0.3"/>
    <row r="61957" s="160" customFormat="1" x14ac:dyDescent="0.3"/>
    <row r="61958" s="160" customFormat="1" x14ac:dyDescent="0.3"/>
    <row r="61959" s="160" customFormat="1" x14ac:dyDescent="0.3"/>
    <row r="61960" s="160" customFormat="1" x14ac:dyDescent="0.3"/>
    <row r="61961" s="160" customFormat="1" x14ac:dyDescent="0.3"/>
    <row r="61962" s="160" customFormat="1" x14ac:dyDescent="0.3"/>
    <row r="61963" s="160" customFormat="1" x14ac:dyDescent="0.3"/>
    <row r="61964" s="160" customFormat="1" x14ac:dyDescent="0.3"/>
    <row r="61965" s="160" customFormat="1" x14ac:dyDescent="0.3"/>
    <row r="61966" s="160" customFormat="1" x14ac:dyDescent="0.3"/>
    <row r="61967" s="160" customFormat="1" x14ac:dyDescent="0.3"/>
    <row r="61968" s="160" customFormat="1" x14ac:dyDescent="0.3"/>
    <row r="61969" s="160" customFormat="1" x14ac:dyDescent="0.3"/>
    <row r="61970" s="160" customFormat="1" x14ac:dyDescent="0.3"/>
    <row r="61971" s="160" customFormat="1" x14ac:dyDescent="0.3"/>
    <row r="61972" s="160" customFormat="1" x14ac:dyDescent="0.3"/>
    <row r="61973" s="160" customFormat="1" x14ac:dyDescent="0.3"/>
    <row r="61974" s="160" customFormat="1" x14ac:dyDescent="0.3"/>
    <row r="61975" s="160" customFormat="1" x14ac:dyDescent="0.3"/>
    <row r="61976" s="160" customFormat="1" x14ac:dyDescent="0.3"/>
    <row r="61977" s="160" customFormat="1" x14ac:dyDescent="0.3"/>
    <row r="61978" s="160" customFormat="1" x14ac:dyDescent="0.3"/>
    <row r="61979" s="160" customFormat="1" x14ac:dyDescent="0.3"/>
    <row r="61980" s="160" customFormat="1" x14ac:dyDescent="0.3"/>
    <row r="61981" s="160" customFormat="1" x14ac:dyDescent="0.3"/>
    <row r="61982" s="160" customFormat="1" x14ac:dyDescent="0.3"/>
    <row r="61983" s="160" customFormat="1" x14ac:dyDescent="0.3"/>
    <row r="61984" s="160" customFormat="1" x14ac:dyDescent="0.3"/>
    <row r="61985" s="160" customFormat="1" x14ac:dyDescent="0.3"/>
    <row r="61986" s="160" customFormat="1" x14ac:dyDescent="0.3"/>
    <row r="61987" s="160" customFormat="1" x14ac:dyDescent="0.3"/>
    <row r="61988" s="160" customFormat="1" x14ac:dyDescent="0.3"/>
    <row r="61989" s="160" customFormat="1" x14ac:dyDescent="0.3"/>
    <row r="61990" s="160" customFormat="1" x14ac:dyDescent="0.3"/>
    <row r="61991" s="160" customFormat="1" x14ac:dyDescent="0.3"/>
    <row r="61992" s="160" customFormat="1" x14ac:dyDescent="0.3"/>
    <row r="61993" s="160" customFormat="1" x14ac:dyDescent="0.3"/>
    <row r="61994" s="160" customFormat="1" x14ac:dyDescent="0.3"/>
    <row r="61995" s="160" customFormat="1" x14ac:dyDescent="0.3"/>
    <row r="61996" s="160" customFormat="1" x14ac:dyDescent="0.3"/>
    <row r="61997" s="160" customFormat="1" x14ac:dyDescent="0.3"/>
    <row r="61998" s="160" customFormat="1" x14ac:dyDescent="0.3"/>
    <row r="61999" s="160" customFormat="1" x14ac:dyDescent="0.3"/>
    <row r="62000" s="160" customFormat="1" x14ac:dyDescent="0.3"/>
    <row r="62001" s="160" customFormat="1" x14ac:dyDescent="0.3"/>
    <row r="62002" s="160" customFormat="1" x14ac:dyDescent="0.3"/>
    <row r="62003" s="160" customFormat="1" x14ac:dyDescent="0.3"/>
    <row r="62004" s="160" customFormat="1" x14ac:dyDescent="0.3"/>
    <row r="62005" s="160" customFormat="1" x14ac:dyDescent="0.3"/>
    <row r="62006" s="160" customFormat="1" x14ac:dyDescent="0.3"/>
    <row r="62007" s="160" customFormat="1" x14ac:dyDescent="0.3"/>
    <row r="62008" s="160" customFormat="1" x14ac:dyDescent="0.3"/>
    <row r="62009" s="160" customFormat="1" x14ac:dyDescent="0.3"/>
    <row r="62010" s="160" customFormat="1" x14ac:dyDescent="0.3"/>
    <row r="62011" s="160" customFormat="1" x14ac:dyDescent="0.3"/>
    <row r="62012" s="160" customFormat="1" x14ac:dyDescent="0.3"/>
    <row r="62013" s="160" customFormat="1" x14ac:dyDescent="0.3"/>
    <row r="62014" s="160" customFormat="1" x14ac:dyDescent="0.3"/>
    <row r="62015" s="160" customFormat="1" x14ac:dyDescent="0.3"/>
    <row r="62016" s="160" customFormat="1" x14ac:dyDescent="0.3"/>
    <row r="62017" s="160" customFormat="1" x14ac:dyDescent="0.3"/>
    <row r="62018" s="160" customFormat="1" x14ac:dyDescent="0.3"/>
    <row r="62019" s="160" customFormat="1" x14ac:dyDescent="0.3"/>
    <row r="62020" s="160" customFormat="1" x14ac:dyDescent="0.3"/>
    <row r="62021" s="160" customFormat="1" x14ac:dyDescent="0.3"/>
    <row r="62022" s="160" customFormat="1" x14ac:dyDescent="0.3"/>
    <row r="62023" s="160" customFormat="1" x14ac:dyDescent="0.3"/>
    <row r="62024" s="160" customFormat="1" x14ac:dyDescent="0.3"/>
    <row r="62025" s="160" customFormat="1" x14ac:dyDescent="0.3"/>
    <row r="62026" s="160" customFormat="1" x14ac:dyDescent="0.3"/>
    <row r="62027" s="160" customFormat="1" x14ac:dyDescent="0.3"/>
    <row r="62028" s="160" customFormat="1" x14ac:dyDescent="0.3"/>
    <row r="62029" s="160" customFormat="1" x14ac:dyDescent="0.3"/>
    <row r="62030" s="160" customFormat="1" x14ac:dyDescent="0.3"/>
    <row r="62031" s="160" customFormat="1" x14ac:dyDescent="0.3"/>
    <row r="62032" s="160" customFormat="1" x14ac:dyDescent="0.3"/>
    <row r="62033" s="160" customFormat="1" x14ac:dyDescent="0.3"/>
    <row r="62034" s="160" customFormat="1" x14ac:dyDescent="0.3"/>
    <row r="62035" s="160" customFormat="1" x14ac:dyDescent="0.3"/>
    <row r="62036" s="160" customFormat="1" x14ac:dyDescent="0.3"/>
    <row r="62037" s="160" customFormat="1" x14ac:dyDescent="0.3"/>
    <row r="62038" s="160" customFormat="1" x14ac:dyDescent="0.3"/>
    <row r="62039" s="160" customFormat="1" x14ac:dyDescent="0.3"/>
    <row r="62040" s="160" customFormat="1" x14ac:dyDescent="0.3"/>
    <row r="62041" s="160" customFormat="1" x14ac:dyDescent="0.3"/>
    <row r="62042" s="160" customFormat="1" x14ac:dyDescent="0.3"/>
    <row r="62043" s="160" customFormat="1" x14ac:dyDescent="0.3"/>
    <row r="62044" s="160" customFormat="1" x14ac:dyDescent="0.3"/>
    <row r="62045" s="160" customFormat="1" x14ac:dyDescent="0.3"/>
    <row r="62046" s="160" customFormat="1" x14ac:dyDescent="0.3"/>
    <row r="62047" s="160" customFormat="1" x14ac:dyDescent="0.3"/>
    <row r="62048" s="160" customFormat="1" x14ac:dyDescent="0.3"/>
    <row r="62049" s="160" customFormat="1" x14ac:dyDescent="0.3"/>
    <row r="62050" s="160" customFormat="1" x14ac:dyDescent="0.3"/>
    <row r="62051" s="160" customFormat="1" x14ac:dyDescent="0.3"/>
    <row r="62052" s="160" customFormat="1" x14ac:dyDescent="0.3"/>
    <row r="62053" s="160" customFormat="1" x14ac:dyDescent="0.3"/>
    <row r="62054" s="160" customFormat="1" x14ac:dyDescent="0.3"/>
    <row r="62055" s="160" customFormat="1" x14ac:dyDescent="0.3"/>
    <row r="62056" s="160" customFormat="1" x14ac:dyDescent="0.3"/>
    <row r="62057" s="160" customFormat="1" x14ac:dyDescent="0.3"/>
    <row r="62058" s="160" customFormat="1" x14ac:dyDescent="0.3"/>
    <row r="62059" s="160" customFormat="1" x14ac:dyDescent="0.3"/>
    <row r="62060" s="160" customFormat="1" x14ac:dyDescent="0.3"/>
    <row r="62061" s="160" customFormat="1" x14ac:dyDescent="0.3"/>
    <row r="62062" s="160" customFormat="1" x14ac:dyDescent="0.3"/>
    <row r="62063" s="160" customFormat="1" x14ac:dyDescent="0.3"/>
    <row r="62064" s="160" customFormat="1" x14ac:dyDescent="0.3"/>
    <row r="62065" s="160" customFormat="1" x14ac:dyDescent="0.3"/>
    <row r="62066" s="160" customFormat="1" x14ac:dyDescent="0.3"/>
    <row r="62067" s="160" customFormat="1" x14ac:dyDescent="0.3"/>
    <row r="62068" s="160" customFormat="1" x14ac:dyDescent="0.3"/>
    <row r="62069" s="160" customFormat="1" x14ac:dyDescent="0.3"/>
    <row r="62070" s="160" customFormat="1" x14ac:dyDescent="0.3"/>
    <row r="62071" s="160" customFormat="1" x14ac:dyDescent="0.3"/>
    <row r="62072" s="160" customFormat="1" x14ac:dyDescent="0.3"/>
    <row r="62073" s="160" customFormat="1" x14ac:dyDescent="0.3"/>
    <row r="62074" s="160" customFormat="1" x14ac:dyDescent="0.3"/>
    <row r="62075" s="160" customFormat="1" x14ac:dyDescent="0.3"/>
    <row r="62076" s="160" customFormat="1" x14ac:dyDescent="0.3"/>
    <row r="62077" s="160" customFormat="1" x14ac:dyDescent="0.3"/>
    <row r="62078" s="160" customFormat="1" x14ac:dyDescent="0.3"/>
    <row r="62079" s="160" customFormat="1" x14ac:dyDescent="0.3"/>
    <row r="62080" s="160" customFormat="1" x14ac:dyDescent="0.3"/>
    <row r="62081" s="160" customFormat="1" x14ac:dyDescent="0.3"/>
    <row r="62082" s="160" customFormat="1" x14ac:dyDescent="0.3"/>
    <row r="62083" s="160" customFormat="1" x14ac:dyDescent="0.3"/>
    <row r="62084" s="160" customFormat="1" x14ac:dyDescent="0.3"/>
    <row r="62085" s="160" customFormat="1" x14ac:dyDescent="0.3"/>
    <row r="62086" s="160" customFormat="1" x14ac:dyDescent="0.3"/>
    <row r="62087" s="160" customFormat="1" x14ac:dyDescent="0.3"/>
    <row r="62088" s="160" customFormat="1" x14ac:dyDescent="0.3"/>
    <row r="62089" s="160" customFormat="1" x14ac:dyDescent="0.3"/>
    <row r="62090" s="160" customFormat="1" x14ac:dyDescent="0.3"/>
    <row r="62091" s="160" customFormat="1" x14ac:dyDescent="0.3"/>
    <row r="62092" s="160" customFormat="1" x14ac:dyDescent="0.3"/>
    <row r="62093" s="160" customFormat="1" x14ac:dyDescent="0.3"/>
    <row r="62094" s="160" customFormat="1" x14ac:dyDescent="0.3"/>
    <row r="62095" s="160" customFormat="1" x14ac:dyDescent="0.3"/>
    <row r="62096" s="160" customFormat="1" x14ac:dyDescent="0.3"/>
    <row r="62097" s="160" customFormat="1" x14ac:dyDescent="0.3"/>
    <row r="62098" s="160" customFormat="1" x14ac:dyDescent="0.3"/>
    <row r="62099" s="160" customFormat="1" x14ac:dyDescent="0.3"/>
    <row r="62100" s="160" customFormat="1" x14ac:dyDescent="0.3"/>
    <row r="62101" s="160" customFormat="1" x14ac:dyDescent="0.3"/>
    <row r="62102" s="160" customFormat="1" x14ac:dyDescent="0.3"/>
    <row r="62103" s="160" customFormat="1" x14ac:dyDescent="0.3"/>
    <row r="62104" s="160" customFormat="1" x14ac:dyDescent="0.3"/>
    <row r="62105" s="160" customFormat="1" x14ac:dyDescent="0.3"/>
    <row r="62106" s="160" customFormat="1" x14ac:dyDescent="0.3"/>
    <row r="62107" s="160" customFormat="1" x14ac:dyDescent="0.3"/>
    <row r="62108" s="160" customFormat="1" x14ac:dyDescent="0.3"/>
    <row r="62109" s="160" customFormat="1" x14ac:dyDescent="0.3"/>
    <row r="62110" s="160" customFormat="1" x14ac:dyDescent="0.3"/>
    <row r="62111" s="160" customFormat="1" x14ac:dyDescent="0.3"/>
    <row r="62112" s="160" customFormat="1" x14ac:dyDescent="0.3"/>
    <row r="62113" s="160" customFormat="1" x14ac:dyDescent="0.3"/>
    <row r="62114" s="160" customFormat="1" x14ac:dyDescent="0.3"/>
    <row r="62115" s="160" customFormat="1" x14ac:dyDescent="0.3"/>
    <row r="62116" s="160" customFormat="1" x14ac:dyDescent="0.3"/>
    <row r="62117" s="160" customFormat="1" x14ac:dyDescent="0.3"/>
    <row r="62118" s="160" customFormat="1" x14ac:dyDescent="0.3"/>
    <row r="62119" s="160" customFormat="1" x14ac:dyDescent="0.3"/>
    <row r="62120" s="160" customFormat="1" x14ac:dyDescent="0.3"/>
    <row r="62121" s="160" customFormat="1" x14ac:dyDescent="0.3"/>
    <row r="62122" s="160" customFormat="1" x14ac:dyDescent="0.3"/>
    <row r="62123" s="160" customFormat="1" x14ac:dyDescent="0.3"/>
    <row r="62124" s="160" customFormat="1" x14ac:dyDescent="0.3"/>
    <row r="62125" s="160" customFormat="1" x14ac:dyDescent="0.3"/>
    <row r="62126" s="160" customFormat="1" x14ac:dyDescent="0.3"/>
    <row r="62127" s="160" customFormat="1" x14ac:dyDescent="0.3"/>
    <row r="62128" s="160" customFormat="1" x14ac:dyDescent="0.3"/>
    <row r="62129" s="160" customFormat="1" x14ac:dyDescent="0.3"/>
    <row r="62130" s="160" customFormat="1" x14ac:dyDescent="0.3"/>
    <row r="62131" s="160" customFormat="1" x14ac:dyDescent="0.3"/>
    <row r="62132" s="160" customFormat="1" x14ac:dyDescent="0.3"/>
    <row r="62133" s="160" customFormat="1" x14ac:dyDescent="0.3"/>
    <row r="62134" s="160" customFormat="1" x14ac:dyDescent="0.3"/>
    <row r="62135" s="160" customFormat="1" x14ac:dyDescent="0.3"/>
    <row r="62136" s="160" customFormat="1" x14ac:dyDescent="0.3"/>
    <row r="62137" s="160" customFormat="1" x14ac:dyDescent="0.3"/>
    <row r="62138" s="160" customFormat="1" x14ac:dyDescent="0.3"/>
    <row r="62139" s="160" customFormat="1" x14ac:dyDescent="0.3"/>
    <row r="62140" s="160" customFormat="1" x14ac:dyDescent="0.3"/>
    <row r="62141" s="160" customFormat="1" x14ac:dyDescent="0.3"/>
    <row r="62142" s="160" customFormat="1" x14ac:dyDescent="0.3"/>
    <row r="62143" s="160" customFormat="1" x14ac:dyDescent="0.3"/>
    <row r="62144" s="160" customFormat="1" x14ac:dyDescent="0.3"/>
    <row r="62145" s="160" customFormat="1" x14ac:dyDescent="0.3"/>
    <row r="62146" s="160" customFormat="1" x14ac:dyDescent="0.3"/>
    <row r="62147" s="160" customFormat="1" x14ac:dyDescent="0.3"/>
    <row r="62148" s="160" customFormat="1" x14ac:dyDescent="0.3"/>
    <row r="62149" s="160" customFormat="1" x14ac:dyDescent="0.3"/>
    <row r="62150" s="160" customFormat="1" x14ac:dyDescent="0.3"/>
    <row r="62151" s="160" customFormat="1" x14ac:dyDescent="0.3"/>
    <row r="62152" s="160" customFormat="1" x14ac:dyDescent="0.3"/>
    <row r="62153" s="160" customFormat="1" x14ac:dyDescent="0.3"/>
    <row r="62154" s="160" customFormat="1" x14ac:dyDescent="0.3"/>
    <row r="62155" s="160" customFormat="1" x14ac:dyDescent="0.3"/>
    <row r="62156" s="160" customFormat="1" x14ac:dyDescent="0.3"/>
    <row r="62157" s="160" customFormat="1" x14ac:dyDescent="0.3"/>
    <row r="62158" s="160" customFormat="1" x14ac:dyDescent="0.3"/>
    <row r="62159" s="160" customFormat="1" x14ac:dyDescent="0.3"/>
    <row r="62160" s="160" customFormat="1" x14ac:dyDescent="0.3"/>
    <row r="62161" s="160" customFormat="1" x14ac:dyDescent="0.3"/>
    <row r="62162" s="160" customFormat="1" x14ac:dyDescent="0.3"/>
    <row r="62163" s="160" customFormat="1" x14ac:dyDescent="0.3"/>
    <row r="62164" s="160" customFormat="1" x14ac:dyDescent="0.3"/>
    <row r="62165" s="160" customFormat="1" x14ac:dyDescent="0.3"/>
    <row r="62166" s="160" customFormat="1" x14ac:dyDescent="0.3"/>
    <row r="62167" s="160" customFormat="1" x14ac:dyDescent="0.3"/>
    <row r="62168" s="160" customFormat="1" x14ac:dyDescent="0.3"/>
    <row r="62169" s="160" customFormat="1" x14ac:dyDescent="0.3"/>
    <row r="62170" s="160" customFormat="1" x14ac:dyDescent="0.3"/>
    <row r="62171" s="160" customFormat="1" x14ac:dyDescent="0.3"/>
    <row r="62172" s="160" customFormat="1" x14ac:dyDescent="0.3"/>
    <row r="62173" s="160" customFormat="1" x14ac:dyDescent="0.3"/>
    <row r="62174" s="160" customFormat="1" x14ac:dyDescent="0.3"/>
    <row r="62175" s="160" customFormat="1" x14ac:dyDescent="0.3"/>
    <row r="62176" s="160" customFormat="1" x14ac:dyDescent="0.3"/>
    <row r="62177" s="160" customFormat="1" x14ac:dyDescent="0.3"/>
    <row r="62178" s="160" customFormat="1" x14ac:dyDescent="0.3"/>
    <row r="62179" s="160" customFormat="1" x14ac:dyDescent="0.3"/>
    <row r="62180" s="160" customFormat="1" x14ac:dyDescent="0.3"/>
    <row r="62181" s="160" customFormat="1" x14ac:dyDescent="0.3"/>
    <row r="62182" s="160" customFormat="1" x14ac:dyDescent="0.3"/>
    <row r="62183" s="160" customFormat="1" x14ac:dyDescent="0.3"/>
    <row r="62184" s="160" customFormat="1" x14ac:dyDescent="0.3"/>
    <row r="62185" s="160" customFormat="1" x14ac:dyDescent="0.3"/>
    <row r="62186" s="160" customFormat="1" x14ac:dyDescent="0.3"/>
    <row r="62187" s="160" customFormat="1" x14ac:dyDescent="0.3"/>
    <row r="62188" s="160" customFormat="1" x14ac:dyDescent="0.3"/>
    <row r="62189" s="160" customFormat="1" x14ac:dyDescent="0.3"/>
    <row r="62190" s="160" customFormat="1" x14ac:dyDescent="0.3"/>
    <row r="62191" s="160" customFormat="1" x14ac:dyDescent="0.3"/>
    <row r="62192" s="160" customFormat="1" x14ac:dyDescent="0.3"/>
    <row r="62193" s="160" customFormat="1" x14ac:dyDescent="0.3"/>
    <row r="62194" s="160" customFormat="1" x14ac:dyDescent="0.3"/>
    <row r="62195" s="160" customFormat="1" x14ac:dyDescent="0.3"/>
    <row r="62196" s="160" customFormat="1" x14ac:dyDescent="0.3"/>
    <row r="62197" s="160" customFormat="1" x14ac:dyDescent="0.3"/>
    <row r="62198" s="160" customFormat="1" x14ac:dyDescent="0.3"/>
    <row r="62199" s="160" customFormat="1" x14ac:dyDescent="0.3"/>
    <row r="62200" s="160" customFormat="1" x14ac:dyDescent="0.3"/>
    <row r="62201" s="160" customFormat="1" x14ac:dyDescent="0.3"/>
    <row r="62202" s="160" customFormat="1" x14ac:dyDescent="0.3"/>
    <row r="62203" s="160" customFormat="1" x14ac:dyDescent="0.3"/>
    <row r="62204" s="160" customFormat="1" x14ac:dyDescent="0.3"/>
    <row r="62205" s="160" customFormat="1" x14ac:dyDescent="0.3"/>
    <row r="62206" s="160" customFormat="1" x14ac:dyDescent="0.3"/>
    <row r="62207" s="160" customFormat="1" x14ac:dyDescent="0.3"/>
    <row r="62208" s="160" customFormat="1" x14ac:dyDescent="0.3"/>
    <row r="62209" s="160" customFormat="1" x14ac:dyDescent="0.3"/>
    <row r="62210" s="160" customFormat="1" x14ac:dyDescent="0.3"/>
    <row r="62211" s="160" customFormat="1" x14ac:dyDescent="0.3"/>
    <row r="62212" s="160" customFormat="1" x14ac:dyDescent="0.3"/>
    <row r="62213" s="160" customFormat="1" x14ac:dyDescent="0.3"/>
    <row r="62214" s="160" customFormat="1" x14ac:dyDescent="0.3"/>
    <row r="62215" s="160" customFormat="1" x14ac:dyDescent="0.3"/>
    <row r="62216" s="160" customFormat="1" x14ac:dyDescent="0.3"/>
    <row r="62217" s="160" customFormat="1" x14ac:dyDescent="0.3"/>
    <row r="62218" s="160" customFormat="1" x14ac:dyDescent="0.3"/>
    <row r="62219" s="160" customFormat="1" x14ac:dyDescent="0.3"/>
    <row r="62220" s="160" customFormat="1" x14ac:dyDescent="0.3"/>
    <row r="62221" s="160" customFormat="1" x14ac:dyDescent="0.3"/>
    <row r="62222" s="160" customFormat="1" x14ac:dyDescent="0.3"/>
    <row r="62223" s="160" customFormat="1" x14ac:dyDescent="0.3"/>
    <row r="62224" s="160" customFormat="1" x14ac:dyDescent="0.3"/>
    <row r="62225" s="160" customFormat="1" x14ac:dyDescent="0.3"/>
    <row r="62226" s="160" customFormat="1" x14ac:dyDescent="0.3"/>
    <row r="62227" s="160" customFormat="1" x14ac:dyDescent="0.3"/>
    <row r="62228" s="160" customFormat="1" x14ac:dyDescent="0.3"/>
    <row r="62229" s="160" customFormat="1" x14ac:dyDescent="0.3"/>
    <row r="62230" s="160" customFormat="1" x14ac:dyDescent="0.3"/>
    <row r="62231" s="160" customFormat="1" x14ac:dyDescent="0.3"/>
    <row r="62232" s="160" customFormat="1" x14ac:dyDescent="0.3"/>
    <row r="62233" s="160" customFormat="1" x14ac:dyDescent="0.3"/>
    <row r="62234" s="160" customFormat="1" x14ac:dyDescent="0.3"/>
    <row r="62235" s="160" customFormat="1" x14ac:dyDescent="0.3"/>
    <row r="62236" s="160" customFormat="1" x14ac:dyDescent="0.3"/>
    <row r="62237" s="160" customFormat="1" x14ac:dyDescent="0.3"/>
    <row r="62238" s="160" customFormat="1" x14ac:dyDescent="0.3"/>
    <row r="62239" s="160" customFormat="1" x14ac:dyDescent="0.3"/>
    <row r="62240" s="160" customFormat="1" x14ac:dyDescent="0.3"/>
    <row r="62241" s="160" customFormat="1" x14ac:dyDescent="0.3"/>
    <row r="62242" s="160" customFormat="1" x14ac:dyDescent="0.3"/>
    <row r="62243" s="160" customFormat="1" x14ac:dyDescent="0.3"/>
    <row r="62244" s="160" customFormat="1" x14ac:dyDescent="0.3"/>
    <row r="62245" s="160" customFormat="1" x14ac:dyDescent="0.3"/>
    <row r="62246" s="160" customFormat="1" x14ac:dyDescent="0.3"/>
    <row r="62247" s="160" customFormat="1" x14ac:dyDescent="0.3"/>
    <row r="62248" s="160" customFormat="1" x14ac:dyDescent="0.3"/>
    <row r="62249" s="160" customFormat="1" x14ac:dyDescent="0.3"/>
    <row r="62250" s="160" customFormat="1" x14ac:dyDescent="0.3"/>
    <row r="62251" s="160" customFormat="1" x14ac:dyDescent="0.3"/>
    <row r="62252" s="160" customFormat="1" x14ac:dyDescent="0.3"/>
    <row r="62253" s="160" customFormat="1" x14ac:dyDescent="0.3"/>
    <row r="62254" s="160" customFormat="1" x14ac:dyDescent="0.3"/>
    <row r="62255" s="160" customFormat="1" x14ac:dyDescent="0.3"/>
    <row r="62256" s="160" customFormat="1" x14ac:dyDescent="0.3"/>
    <row r="62257" s="160" customFormat="1" x14ac:dyDescent="0.3"/>
    <row r="62258" s="160" customFormat="1" x14ac:dyDescent="0.3"/>
    <row r="62259" s="160" customFormat="1" x14ac:dyDescent="0.3"/>
    <row r="62260" s="160" customFormat="1" x14ac:dyDescent="0.3"/>
    <row r="62261" s="160" customFormat="1" x14ac:dyDescent="0.3"/>
    <row r="62262" s="160" customFormat="1" x14ac:dyDescent="0.3"/>
    <row r="62263" s="160" customFormat="1" x14ac:dyDescent="0.3"/>
    <row r="62264" s="160" customFormat="1" x14ac:dyDescent="0.3"/>
    <row r="62265" s="160" customFormat="1" x14ac:dyDescent="0.3"/>
    <row r="62266" s="160" customFormat="1" x14ac:dyDescent="0.3"/>
    <row r="62267" s="160" customFormat="1" x14ac:dyDescent="0.3"/>
    <row r="62268" s="160" customFormat="1" x14ac:dyDescent="0.3"/>
    <row r="62269" s="160" customFormat="1" x14ac:dyDescent="0.3"/>
    <row r="62270" s="160" customFormat="1" x14ac:dyDescent="0.3"/>
    <row r="62271" s="160" customFormat="1" x14ac:dyDescent="0.3"/>
    <row r="62272" s="160" customFormat="1" x14ac:dyDescent="0.3"/>
    <row r="62273" s="160" customFormat="1" x14ac:dyDescent="0.3"/>
    <row r="62274" s="160" customFormat="1" x14ac:dyDescent="0.3"/>
    <row r="62275" s="160" customFormat="1" x14ac:dyDescent="0.3"/>
    <row r="62276" s="160" customFormat="1" x14ac:dyDescent="0.3"/>
    <row r="62277" s="160" customFormat="1" x14ac:dyDescent="0.3"/>
    <row r="62278" s="160" customFormat="1" x14ac:dyDescent="0.3"/>
    <row r="62279" s="160" customFormat="1" x14ac:dyDescent="0.3"/>
    <row r="62280" s="160" customFormat="1" x14ac:dyDescent="0.3"/>
    <row r="62281" s="160" customFormat="1" x14ac:dyDescent="0.3"/>
    <row r="62282" s="160" customFormat="1" x14ac:dyDescent="0.3"/>
    <row r="62283" s="160" customFormat="1" x14ac:dyDescent="0.3"/>
    <row r="62284" s="160" customFormat="1" x14ac:dyDescent="0.3"/>
    <row r="62285" s="160" customFormat="1" x14ac:dyDescent="0.3"/>
    <row r="62286" s="160" customFormat="1" x14ac:dyDescent="0.3"/>
    <row r="62287" s="160" customFormat="1" x14ac:dyDescent="0.3"/>
    <row r="62288" s="160" customFormat="1" x14ac:dyDescent="0.3"/>
    <row r="62289" s="160" customFormat="1" x14ac:dyDescent="0.3"/>
    <row r="62290" s="160" customFormat="1" x14ac:dyDescent="0.3"/>
    <row r="62291" s="160" customFormat="1" x14ac:dyDescent="0.3"/>
    <row r="62292" s="160" customFormat="1" x14ac:dyDescent="0.3"/>
    <row r="62293" s="160" customFormat="1" x14ac:dyDescent="0.3"/>
    <row r="62294" s="160" customFormat="1" x14ac:dyDescent="0.3"/>
    <row r="62295" s="160" customFormat="1" x14ac:dyDescent="0.3"/>
    <row r="62296" s="160" customFormat="1" x14ac:dyDescent="0.3"/>
    <row r="62297" s="160" customFormat="1" x14ac:dyDescent="0.3"/>
    <row r="62298" s="160" customFormat="1" x14ac:dyDescent="0.3"/>
    <row r="62299" s="160" customFormat="1" x14ac:dyDescent="0.3"/>
    <row r="62300" s="160" customFormat="1" x14ac:dyDescent="0.3"/>
    <row r="62301" s="160" customFormat="1" x14ac:dyDescent="0.3"/>
    <row r="62302" s="160" customFormat="1" x14ac:dyDescent="0.3"/>
    <row r="62303" s="160" customFormat="1" x14ac:dyDescent="0.3"/>
    <row r="62304" s="160" customFormat="1" x14ac:dyDescent="0.3"/>
    <row r="62305" s="160" customFormat="1" x14ac:dyDescent="0.3"/>
    <row r="62306" s="160" customFormat="1" x14ac:dyDescent="0.3"/>
    <row r="62307" s="160" customFormat="1" x14ac:dyDescent="0.3"/>
    <row r="62308" s="160" customFormat="1" x14ac:dyDescent="0.3"/>
    <row r="62309" s="160" customFormat="1" x14ac:dyDescent="0.3"/>
    <row r="62310" s="160" customFormat="1" x14ac:dyDescent="0.3"/>
    <row r="62311" s="160" customFormat="1" x14ac:dyDescent="0.3"/>
    <row r="62312" s="160" customFormat="1" x14ac:dyDescent="0.3"/>
    <row r="62313" s="160" customFormat="1" x14ac:dyDescent="0.3"/>
    <row r="62314" s="160" customFormat="1" x14ac:dyDescent="0.3"/>
    <row r="62315" s="160" customFormat="1" x14ac:dyDescent="0.3"/>
    <row r="62316" s="160" customFormat="1" x14ac:dyDescent="0.3"/>
    <row r="62317" s="160" customFormat="1" x14ac:dyDescent="0.3"/>
    <row r="62318" s="160" customFormat="1" x14ac:dyDescent="0.3"/>
    <row r="62319" s="160" customFormat="1" x14ac:dyDescent="0.3"/>
    <row r="62320" s="160" customFormat="1" x14ac:dyDescent="0.3"/>
    <row r="62321" s="160" customFormat="1" x14ac:dyDescent="0.3"/>
    <row r="62322" s="160" customFormat="1" x14ac:dyDescent="0.3"/>
    <row r="62323" s="160" customFormat="1" x14ac:dyDescent="0.3"/>
    <row r="62324" s="160" customFormat="1" x14ac:dyDescent="0.3"/>
    <row r="62325" s="160" customFormat="1" x14ac:dyDescent="0.3"/>
    <row r="62326" s="160" customFormat="1" x14ac:dyDescent="0.3"/>
    <row r="62327" s="160" customFormat="1" x14ac:dyDescent="0.3"/>
    <row r="62328" s="160" customFormat="1" x14ac:dyDescent="0.3"/>
    <row r="62329" s="160" customFormat="1" x14ac:dyDescent="0.3"/>
    <row r="62330" s="160" customFormat="1" x14ac:dyDescent="0.3"/>
    <row r="62331" s="160" customFormat="1" x14ac:dyDescent="0.3"/>
    <row r="62332" s="160" customFormat="1" x14ac:dyDescent="0.3"/>
    <row r="62333" s="160" customFormat="1" x14ac:dyDescent="0.3"/>
    <row r="62334" s="160" customFormat="1" x14ac:dyDescent="0.3"/>
    <row r="62335" s="160" customFormat="1" x14ac:dyDescent="0.3"/>
    <row r="62336" s="160" customFormat="1" x14ac:dyDescent="0.3"/>
    <row r="62337" s="160" customFormat="1" x14ac:dyDescent="0.3"/>
    <row r="62338" s="160" customFormat="1" x14ac:dyDescent="0.3"/>
    <row r="62339" s="160" customFormat="1" x14ac:dyDescent="0.3"/>
    <row r="62340" s="160" customFormat="1" x14ac:dyDescent="0.3"/>
    <row r="62341" s="160" customFormat="1" x14ac:dyDescent="0.3"/>
    <row r="62342" s="160" customFormat="1" x14ac:dyDescent="0.3"/>
    <row r="62343" s="160" customFormat="1" x14ac:dyDescent="0.3"/>
    <row r="62344" s="160" customFormat="1" x14ac:dyDescent="0.3"/>
    <row r="62345" s="160" customFormat="1" x14ac:dyDescent="0.3"/>
    <row r="62346" s="160" customFormat="1" x14ac:dyDescent="0.3"/>
    <row r="62347" s="160" customFormat="1" x14ac:dyDescent="0.3"/>
    <row r="62348" s="160" customFormat="1" x14ac:dyDescent="0.3"/>
    <row r="62349" s="160" customFormat="1" x14ac:dyDescent="0.3"/>
    <row r="62350" s="160" customFormat="1" x14ac:dyDescent="0.3"/>
    <row r="62351" s="160" customFormat="1" x14ac:dyDescent="0.3"/>
    <row r="62352" s="160" customFormat="1" x14ac:dyDescent="0.3"/>
    <row r="62353" s="160" customFormat="1" x14ac:dyDescent="0.3"/>
    <row r="62354" s="160" customFormat="1" x14ac:dyDescent="0.3"/>
    <row r="62355" s="160" customFormat="1" x14ac:dyDescent="0.3"/>
    <row r="62356" s="160" customFormat="1" x14ac:dyDescent="0.3"/>
    <row r="62357" s="160" customFormat="1" x14ac:dyDescent="0.3"/>
    <row r="62358" s="160" customFormat="1" x14ac:dyDescent="0.3"/>
    <row r="62359" s="160" customFormat="1" x14ac:dyDescent="0.3"/>
    <row r="62360" s="160" customFormat="1" x14ac:dyDescent="0.3"/>
    <row r="62361" s="160" customFormat="1" x14ac:dyDescent="0.3"/>
    <row r="62362" s="160" customFormat="1" x14ac:dyDescent="0.3"/>
    <row r="62363" s="160" customFormat="1" x14ac:dyDescent="0.3"/>
    <row r="62364" s="160" customFormat="1" x14ac:dyDescent="0.3"/>
    <row r="62365" s="160" customFormat="1" x14ac:dyDescent="0.3"/>
    <row r="62366" s="160" customFormat="1" x14ac:dyDescent="0.3"/>
    <row r="62367" s="160" customFormat="1" x14ac:dyDescent="0.3"/>
    <row r="62368" s="160" customFormat="1" x14ac:dyDescent="0.3"/>
    <row r="62369" s="160" customFormat="1" x14ac:dyDescent="0.3"/>
    <row r="62370" s="160" customFormat="1" x14ac:dyDescent="0.3"/>
    <row r="62371" s="160" customFormat="1" x14ac:dyDescent="0.3"/>
    <row r="62372" s="160" customFormat="1" x14ac:dyDescent="0.3"/>
    <row r="62373" s="160" customFormat="1" x14ac:dyDescent="0.3"/>
    <row r="62374" s="160" customFormat="1" x14ac:dyDescent="0.3"/>
    <row r="62375" s="160" customFormat="1" x14ac:dyDescent="0.3"/>
    <row r="62376" s="160" customFormat="1" x14ac:dyDescent="0.3"/>
    <row r="62377" s="160" customFormat="1" x14ac:dyDescent="0.3"/>
    <row r="62378" s="160" customFormat="1" x14ac:dyDescent="0.3"/>
    <row r="62379" s="160" customFormat="1" x14ac:dyDescent="0.3"/>
    <row r="62380" s="160" customFormat="1" x14ac:dyDescent="0.3"/>
    <row r="62381" s="160" customFormat="1" x14ac:dyDescent="0.3"/>
    <row r="62382" s="160" customFormat="1" x14ac:dyDescent="0.3"/>
    <row r="62383" s="160" customFormat="1" x14ac:dyDescent="0.3"/>
    <row r="62384" s="160" customFormat="1" x14ac:dyDescent="0.3"/>
    <row r="62385" s="160" customFormat="1" x14ac:dyDescent="0.3"/>
    <row r="62386" s="160" customFormat="1" x14ac:dyDescent="0.3"/>
    <row r="62387" s="160" customFormat="1" x14ac:dyDescent="0.3"/>
    <row r="62388" s="160" customFormat="1" x14ac:dyDescent="0.3"/>
    <row r="62389" s="160" customFormat="1" x14ac:dyDescent="0.3"/>
    <row r="62390" s="160" customFormat="1" x14ac:dyDescent="0.3"/>
    <row r="62391" s="160" customFormat="1" x14ac:dyDescent="0.3"/>
    <row r="62392" s="160" customFormat="1" x14ac:dyDescent="0.3"/>
    <row r="62393" s="160" customFormat="1" x14ac:dyDescent="0.3"/>
    <row r="62394" s="160" customFormat="1" x14ac:dyDescent="0.3"/>
    <row r="62395" s="160" customFormat="1" x14ac:dyDescent="0.3"/>
    <row r="62396" s="160" customFormat="1" x14ac:dyDescent="0.3"/>
    <row r="62397" s="160" customFormat="1" x14ac:dyDescent="0.3"/>
    <row r="62398" s="160" customFormat="1" x14ac:dyDescent="0.3"/>
    <row r="62399" s="160" customFormat="1" x14ac:dyDescent="0.3"/>
    <row r="62400" s="160" customFormat="1" x14ac:dyDescent="0.3"/>
    <row r="62401" s="160" customFormat="1" x14ac:dyDescent="0.3"/>
    <row r="62402" s="160" customFormat="1" x14ac:dyDescent="0.3"/>
    <row r="62403" s="160" customFormat="1" x14ac:dyDescent="0.3"/>
    <row r="62404" s="160" customFormat="1" x14ac:dyDescent="0.3"/>
    <row r="62405" s="160" customFormat="1" x14ac:dyDescent="0.3"/>
    <row r="62406" s="160" customFormat="1" x14ac:dyDescent="0.3"/>
    <row r="62407" s="160" customFormat="1" x14ac:dyDescent="0.3"/>
    <row r="62408" s="160" customFormat="1" x14ac:dyDescent="0.3"/>
    <row r="62409" s="160" customFormat="1" x14ac:dyDescent="0.3"/>
    <row r="62410" s="160" customFormat="1" x14ac:dyDescent="0.3"/>
    <row r="62411" s="160" customFormat="1" x14ac:dyDescent="0.3"/>
    <row r="62412" s="160" customFormat="1" x14ac:dyDescent="0.3"/>
    <row r="62413" s="160" customFormat="1" x14ac:dyDescent="0.3"/>
    <row r="62414" s="160" customFormat="1" x14ac:dyDescent="0.3"/>
    <row r="62415" s="160" customFormat="1" x14ac:dyDescent="0.3"/>
    <row r="62416" s="160" customFormat="1" x14ac:dyDescent="0.3"/>
    <row r="62417" s="160" customFormat="1" x14ac:dyDescent="0.3"/>
    <row r="62418" s="160" customFormat="1" x14ac:dyDescent="0.3"/>
    <row r="62419" s="160" customFormat="1" x14ac:dyDescent="0.3"/>
    <row r="62420" s="160" customFormat="1" x14ac:dyDescent="0.3"/>
    <row r="62421" s="160" customFormat="1" x14ac:dyDescent="0.3"/>
    <row r="62422" s="160" customFormat="1" x14ac:dyDescent="0.3"/>
    <row r="62423" s="160" customFormat="1" x14ac:dyDescent="0.3"/>
    <row r="62424" s="160" customFormat="1" x14ac:dyDescent="0.3"/>
    <row r="62425" s="160" customFormat="1" x14ac:dyDescent="0.3"/>
    <row r="62426" s="160" customFormat="1" x14ac:dyDescent="0.3"/>
    <row r="62427" s="160" customFormat="1" x14ac:dyDescent="0.3"/>
    <row r="62428" s="160" customFormat="1" x14ac:dyDescent="0.3"/>
    <row r="62429" s="160" customFormat="1" x14ac:dyDescent="0.3"/>
    <row r="62430" s="160" customFormat="1" x14ac:dyDescent="0.3"/>
    <row r="62431" s="160" customFormat="1" x14ac:dyDescent="0.3"/>
    <row r="62432" s="160" customFormat="1" x14ac:dyDescent="0.3"/>
    <row r="62433" s="160" customFormat="1" x14ac:dyDescent="0.3"/>
    <row r="62434" s="160" customFormat="1" x14ac:dyDescent="0.3"/>
    <row r="62435" s="160" customFormat="1" x14ac:dyDescent="0.3"/>
    <row r="62436" s="160" customFormat="1" x14ac:dyDescent="0.3"/>
    <row r="62437" s="160" customFormat="1" x14ac:dyDescent="0.3"/>
    <row r="62438" s="160" customFormat="1" x14ac:dyDescent="0.3"/>
    <row r="62439" s="160" customFormat="1" x14ac:dyDescent="0.3"/>
    <row r="62440" s="160" customFormat="1" x14ac:dyDescent="0.3"/>
    <row r="62441" s="160" customFormat="1" x14ac:dyDescent="0.3"/>
    <row r="62442" s="160" customFormat="1" x14ac:dyDescent="0.3"/>
    <row r="62443" s="160" customFormat="1" x14ac:dyDescent="0.3"/>
    <row r="62444" s="160" customFormat="1" x14ac:dyDescent="0.3"/>
    <row r="62445" s="160" customFormat="1" x14ac:dyDescent="0.3"/>
    <row r="62446" s="160" customFormat="1" x14ac:dyDescent="0.3"/>
    <row r="62447" s="160" customFormat="1" x14ac:dyDescent="0.3"/>
    <row r="62448" s="160" customFormat="1" x14ac:dyDescent="0.3"/>
    <row r="62449" s="160" customFormat="1" x14ac:dyDescent="0.3"/>
    <row r="62450" s="160" customFormat="1" x14ac:dyDescent="0.3"/>
    <row r="62451" s="160" customFormat="1" x14ac:dyDescent="0.3"/>
    <row r="62452" s="160" customFormat="1" x14ac:dyDescent="0.3"/>
    <row r="62453" s="160" customFormat="1" x14ac:dyDescent="0.3"/>
    <row r="62454" s="160" customFormat="1" x14ac:dyDescent="0.3"/>
    <row r="62455" s="160" customFormat="1" x14ac:dyDescent="0.3"/>
    <row r="62456" s="160" customFormat="1" x14ac:dyDescent="0.3"/>
    <row r="62457" s="160" customFormat="1" x14ac:dyDescent="0.3"/>
    <row r="62458" s="160" customFormat="1" x14ac:dyDescent="0.3"/>
    <row r="62459" s="160" customFormat="1" x14ac:dyDescent="0.3"/>
    <row r="62460" s="160" customFormat="1" x14ac:dyDescent="0.3"/>
    <row r="62461" s="160" customFormat="1" x14ac:dyDescent="0.3"/>
    <row r="62462" s="160" customFormat="1" x14ac:dyDescent="0.3"/>
    <row r="62463" s="160" customFormat="1" x14ac:dyDescent="0.3"/>
    <row r="62464" s="160" customFormat="1" x14ac:dyDescent="0.3"/>
    <row r="62465" s="160" customFormat="1" x14ac:dyDescent="0.3"/>
    <row r="62466" s="160" customFormat="1" x14ac:dyDescent="0.3"/>
    <row r="62467" s="160" customFormat="1" x14ac:dyDescent="0.3"/>
    <row r="62468" s="160" customFormat="1" x14ac:dyDescent="0.3"/>
    <row r="62469" s="160" customFormat="1" x14ac:dyDescent="0.3"/>
    <row r="62470" s="160" customFormat="1" x14ac:dyDescent="0.3"/>
    <row r="62471" s="160" customFormat="1" x14ac:dyDescent="0.3"/>
    <row r="62472" s="160" customFormat="1" x14ac:dyDescent="0.3"/>
    <row r="62473" s="160" customFormat="1" x14ac:dyDescent="0.3"/>
    <row r="62474" s="160" customFormat="1" x14ac:dyDescent="0.3"/>
    <row r="62475" s="160" customFormat="1" x14ac:dyDescent="0.3"/>
    <row r="62476" s="160" customFormat="1" x14ac:dyDescent="0.3"/>
    <row r="62477" s="160" customFormat="1" x14ac:dyDescent="0.3"/>
    <row r="62478" s="160" customFormat="1" x14ac:dyDescent="0.3"/>
    <row r="62479" s="160" customFormat="1" x14ac:dyDescent="0.3"/>
    <row r="62480" s="160" customFormat="1" x14ac:dyDescent="0.3"/>
    <row r="62481" s="160" customFormat="1" x14ac:dyDescent="0.3"/>
    <row r="62482" s="160" customFormat="1" x14ac:dyDescent="0.3"/>
    <row r="62483" s="160" customFormat="1" x14ac:dyDescent="0.3"/>
    <row r="62484" s="160" customFormat="1" x14ac:dyDescent="0.3"/>
    <row r="62485" s="160" customFormat="1" x14ac:dyDescent="0.3"/>
    <row r="62486" s="160" customFormat="1" x14ac:dyDescent="0.3"/>
    <row r="62487" s="160" customFormat="1" x14ac:dyDescent="0.3"/>
    <row r="62488" s="160" customFormat="1" x14ac:dyDescent="0.3"/>
    <row r="62489" s="160" customFormat="1" x14ac:dyDescent="0.3"/>
    <row r="62490" s="160" customFormat="1" x14ac:dyDescent="0.3"/>
    <row r="62491" s="160" customFormat="1" x14ac:dyDescent="0.3"/>
    <row r="62492" s="160" customFormat="1" x14ac:dyDescent="0.3"/>
    <row r="62493" s="160" customFormat="1" x14ac:dyDescent="0.3"/>
    <row r="62494" s="160" customFormat="1" x14ac:dyDescent="0.3"/>
    <row r="62495" s="160" customFormat="1" x14ac:dyDescent="0.3"/>
    <row r="62496" s="160" customFormat="1" x14ac:dyDescent="0.3"/>
    <row r="62497" s="160" customFormat="1" x14ac:dyDescent="0.3"/>
    <row r="62498" s="160" customFormat="1" x14ac:dyDescent="0.3"/>
    <row r="62499" s="160" customFormat="1" x14ac:dyDescent="0.3"/>
    <row r="62500" s="160" customFormat="1" x14ac:dyDescent="0.3"/>
    <row r="62501" s="160" customFormat="1" x14ac:dyDescent="0.3"/>
    <row r="62502" s="160" customFormat="1" x14ac:dyDescent="0.3"/>
    <row r="62503" s="160" customFormat="1" x14ac:dyDescent="0.3"/>
    <row r="62504" s="160" customFormat="1" x14ac:dyDescent="0.3"/>
    <row r="62505" s="160" customFormat="1" x14ac:dyDescent="0.3"/>
    <row r="62506" s="160" customFormat="1" x14ac:dyDescent="0.3"/>
    <row r="62507" s="160" customFormat="1" x14ac:dyDescent="0.3"/>
    <row r="62508" s="160" customFormat="1" x14ac:dyDescent="0.3"/>
    <row r="62509" s="160" customFormat="1" x14ac:dyDescent="0.3"/>
    <row r="62510" s="160" customFormat="1" x14ac:dyDescent="0.3"/>
    <row r="62511" s="160" customFormat="1" x14ac:dyDescent="0.3"/>
    <row r="62512" s="160" customFormat="1" x14ac:dyDescent="0.3"/>
    <row r="62513" s="160" customFormat="1" x14ac:dyDescent="0.3"/>
    <row r="62514" s="160" customFormat="1" x14ac:dyDescent="0.3"/>
    <row r="62515" s="160" customFormat="1" x14ac:dyDescent="0.3"/>
    <row r="62516" s="160" customFormat="1" x14ac:dyDescent="0.3"/>
    <row r="62517" s="160" customFormat="1" x14ac:dyDescent="0.3"/>
    <row r="62518" s="160" customFormat="1" x14ac:dyDescent="0.3"/>
    <row r="62519" s="160" customFormat="1" x14ac:dyDescent="0.3"/>
    <row r="62520" s="160" customFormat="1" x14ac:dyDescent="0.3"/>
    <row r="62521" s="160" customFormat="1" x14ac:dyDescent="0.3"/>
    <row r="62522" s="160" customFormat="1" x14ac:dyDescent="0.3"/>
    <row r="62523" s="160" customFormat="1" x14ac:dyDescent="0.3"/>
    <row r="62524" s="160" customFormat="1" x14ac:dyDescent="0.3"/>
    <row r="62525" s="160" customFormat="1" x14ac:dyDescent="0.3"/>
    <row r="62526" s="160" customFormat="1" x14ac:dyDescent="0.3"/>
    <row r="62527" s="160" customFormat="1" x14ac:dyDescent="0.3"/>
    <row r="62528" s="160" customFormat="1" x14ac:dyDescent="0.3"/>
    <row r="62529" s="160" customFormat="1" x14ac:dyDescent="0.3"/>
    <row r="62530" s="160" customFormat="1" x14ac:dyDescent="0.3"/>
    <row r="62531" s="160" customFormat="1" x14ac:dyDescent="0.3"/>
    <row r="62532" s="160" customFormat="1" x14ac:dyDescent="0.3"/>
    <row r="62533" s="160" customFormat="1" x14ac:dyDescent="0.3"/>
    <row r="62534" s="160" customFormat="1" x14ac:dyDescent="0.3"/>
    <row r="62535" s="160" customFormat="1" x14ac:dyDescent="0.3"/>
    <row r="62536" s="160" customFormat="1" x14ac:dyDescent="0.3"/>
    <row r="62537" s="160" customFormat="1" x14ac:dyDescent="0.3"/>
    <row r="62538" s="160" customFormat="1" x14ac:dyDescent="0.3"/>
    <row r="62539" s="160" customFormat="1" x14ac:dyDescent="0.3"/>
    <row r="62540" s="160" customFormat="1" x14ac:dyDescent="0.3"/>
    <row r="62541" s="160" customFormat="1" x14ac:dyDescent="0.3"/>
    <row r="62542" s="160" customFormat="1" x14ac:dyDescent="0.3"/>
    <row r="62543" s="160" customFormat="1" x14ac:dyDescent="0.3"/>
    <row r="62544" s="160" customFormat="1" x14ac:dyDescent="0.3"/>
    <row r="62545" s="160" customFormat="1" x14ac:dyDescent="0.3"/>
    <row r="62546" s="160" customFormat="1" x14ac:dyDescent="0.3"/>
    <row r="62547" s="160" customFormat="1" x14ac:dyDescent="0.3"/>
    <row r="62548" s="160" customFormat="1" x14ac:dyDescent="0.3"/>
    <row r="62549" s="160" customFormat="1" x14ac:dyDescent="0.3"/>
    <row r="62550" s="160" customFormat="1" x14ac:dyDescent="0.3"/>
    <row r="62551" s="160" customFormat="1" x14ac:dyDescent="0.3"/>
    <row r="62552" s="160" customFormat="1" x14ac:dyDescent="0.3"/>
    <row r="62553" s="160" customFormat="1" x14ac:dyDescent="0.3"/>
    <row r="62554" s="160" customFormat="1" x14ac:dyDescent="0.3"/>
    <row r="62555" s="160" customFormat="1" x14ac:dyDescent="0.3"/>
    <row r="62556" s="160" customFormat="1" x14ac:dyDescent="0.3"/>
    <row r="62557" s="160" customFormat="1" x14ac:dyDescent="0.3"/>
    <row r="62558" s="160" customFormat="1" x14ac:dyDescent="0.3"/>
    <row r="62559" s="160" customFormat="1" x14ac:dyDescent="0.3"/>
    <row r="62560" s="160" customFormat="1" x14ac:dyDescent="0.3"/>
    <row r="62561" s="160" customFormat="1" x14ac:dyDescent="0.3"/>
    <row r="62562" s="160" customFormat="1" x14ac:dyDescent="0.3"/>
    <row r="62563" s="160" customFormat="1" x14ac:dyDescent="0.3"/>
    <row r="62564" s="160" customFormat="1" x14ac:dyDescent="0.3"/>
    <row r="62565" s="160" customFormat="1" x14ac:dyDescent="0.3"/>
    <row r="62566" s="160" customFormat="1" x14ac:dyDescent="0.3"/>
    <row r="62567" s="160" customFormat="1" x14ac:dyDescent="0.3"/>
    <row r="62568" s="160" customFormat="1" x14ac:dyDescent="0.3"/>
    <row r="62569" s="160" customFormat="1" x14ac:dyDescent="0.3"/>
    <row r="62570" s="160" customFormat="1" x14ac:dyDescent="0.3"/>
    <row r="62571" s="160" customFormat="1" x14ac:dyDescent="0.3"/>
    <row r="62572" s="160" customFormat="1" x14ac:dyDescent="0.3"/>
    <row r="62573" s="160" customFormat="1" x14ac:dyDescent="0.3"/>
    <row r="62574" s="160" customFormat="1" x14ac:dyDescent="0.3"/>
    <row r="62575" s="160" customFormat="1" x14ac:dyDescent="0.3"/>
    <row r="62576" s="160" customFormat="1" x14ac:dyDescent="0.3"/>
    <row r="62577" s="160" customFormat="1" x14ac:dyDescent="0.3"/>
    <row r="62578" s="160" customFormat="1" x14ac:dyDescent="0.3"/>
    <row r="62579" s="160" customFormat="1" x14ac:dyDescent="0.3"/>
    <row r="62580" s="160" customFormat="1" x14ac:dyDescent="0.3"/>
    <row r="62581" s="160" customFormat="1" x14ac:dyDescent="0.3"/>
    <row r="62582" s="160" customFormat="1" x14ac:dyDescent="0.3"/>
    <row r="62583" s="160" customFormat="1" x14ac:dyDescent="0.3"/>
    <row r="62584" s="160" customFormat="1" x14ac:dyDescent="0.3"/>
    <row r="62585" s="160" customFormat="1" x14ac:dyDescent="0.3"/>
    <row r="62586" s="160" customFormat="1" x14ac:dyDescent="0.3"/>
    <row r="62587" s="160" customFormat="1" x14ac:dyDescent="0.3"/>
    <row r="62588" s="160" customFormat="1" x14ac:dyDescent="0.3"/>
    <row r="62589" s="160" customFormat="1" x14ac:dyDescent="0.3"/>
    <row r="62590" s="160" customFormat="1" x14ac:dyDescent="0.3"/>
    <row r="62591" s="160" customFormat="1" x14ac:dyDescent="0.3"/>
    <row r="62592" s="160" customFormat="1" x14ac:dyDescent="0.3"/>
    <row r="62593" s="160" customFormat="1" x14ac:dyDescent="0.3"/>
    <row r="62594" s="160" customFormat="1" x14ac:dyDescent="0.3"/>
    <row r="62595" s="160" customFormat="1" x14ac:dyDescent="0.3"/>
    <row r="62596" s="160" customFormat="1" x14ac:dyDescent="0.3"/>
    <row r="62597" s="160" customFormat="1" x14ac:dyDescent="0.3"/>
    <row r="62598" s="160" customFormat="1" x14ac:dyDescent="0.3"/>
    <row r="62599" s="160" customFormat="1" x14ac:dyDescent="0.3"/>
    <row r="62600" s="160" customFormat="1" x14ac:dyDescent="0.3"/>
    <row r="62601" s="160" customFormat="1" x14ac:dyDescent="0.3"/>
    <row r="62602" s="160" customFormat="1" x14ac:dyDescent="0.3"/>
    <row r="62603" s="160" customFormat="1" x14ac:dyDescent="0.3"/>
    <row r="62604" s="160" customFormat="1" x14ac:dyDescent="0.3"/>
    <row r="62605" s="160" customFormat="1" x14ac:dyDescent="0.3"/>
    <row r="62606" s="160" customFormat="1" x14ac:dyDescent="0.3"/>
    <row r="62607" s="160" customFormat="1" x14ac:dyDescent="0.3"/>
    <row r="62608" s="160" customFormat="1" x14ac:dyDescent="0.3"/>
    <row r="62609" s="160" customFormat="1" x14ac:dyDescent="0.3"/>
    <row r="62610" s="160" customFormat="1" x14ac:dyDescent="0.3"/>
    <row r="62611" s="160" customFormat="1" x14ac:dyDescent="0.3"/>
    <row r="62612" s="160" customFormat="1" x14ac:dyDescent="0.3"/>
    <row r="62613" s="160" customFormat="1" x14ac:dyDescent="0.3"/>
    <row r="62614" s="160" customFormat="1" x14ac:dyDescent="0.3"/>
    <row r="62615" s="160" customFormat="1" x14ac:dyDescent="0.3"/>
    <row r="62616" s="160" customFormat="1" x14ac:dyDescent="0.3"/>
    <row r="62617" s="160" customFormat="1" x14ac:dyDescent="0.3"/>
    <row r="62618" s="160" customFormat="1" x14ac:dyDescent="0.3"/>
    <row r="62619" s="160" customFormat="1" x14ac:dyDescent="0.3"/>
    <row r="62620" s="160" customFormat="1" x14ac:dyDescent="0.3"/>
    <row r="62621" s="160" customFormat="1" x14ac:dyDescent="0.3"/>
    <row r="62622" s="160" customFormat="1" x14ac:dyDescent="0.3"/>
    <row r="62623" s="160" customFormat="1" x14ac:dyDescent="0.3"/>
    <row r="62624" s="160" customFormat="1" x14ac:dyDescent="0.3"/>
    <row r="62625" s="160" customFormat="1" x14ac:dyDescent="0.3"/>
    <row r="62626" s="160" customFormat="1" x14ac:dyDescent="0.3"/>
    <row r="62627" s="160" customFormat="1" x14ac:dyDescent="0.3"/>
    <row r="62628" s="160" customFormat="1" x14ac:dyDescent="0.3"/>
    <row r="62629" s="160" customFormat="1" x14ac:dyDescent="0.3"/>
    <row r="62630" s="160" customFormat="1" x14ac:dyDescent="0.3"/>
    <row r="62631" s="160" customFormat="1" x14ac:dyDescent="0.3"/>
    <row r="62632" s="160" customFormat="1" x14ac:dyDescent="0.3"/>
    <row r="62633" s="160" customFormat="1" x14ac:dyDescent="0.3"/>
    <row r="62634" s="160" customFormat="1" x14ac:dyDescent="0.3"/>
    <row r="62635" s="160" customFormat="1" x14ac:dyDescent="0.3"/>
    <row r="62636" s="160" customFormat="1" x14ac:dyDescent="0.3"/>
    <row r="62637" s="160" customFormat="1" x14ac:dyDescent="0.3"/>
    <row r="62638" s="160" customFormat="1" x14ac:dyDescent="0.3"/>
    <row r="62639" s="160" customFormat="1" x14ac:dyDescent="0.3"/>
    <row r="62640" s="160" customFormat="1" x14ac:dyDescent="0.3"/>
    <row r="62641" s="160" customFormat="1" x14ac:dyDescent="0.3"/>
    <row r="62642" s="160" customFormat="1" x14ac:dyDescent="0.3"/>
    <row r="62643" s="160" customFormat="1" x14ac:dyDescent="0.3"/>
    <row r="62644" s="160" customFormat="1" x14ac:dyDescent="0.3"/>
    <row r="62645" s="160" customFormat="1" x14ac:dyDescent="0.3"/>
    <row r="62646" s="160" customFormat="1" x14ac:dyDescent="0.3"/>
    <row r="62647" s="160" customFormat="1" x14ac:dyDescent="0.3"/>
    <row r="62648" s="160" customFormat="1" x14ac:dyDescent="0.3"/>
    <row r="62649" s="160" customFormat="1" x14ac:dyDescent="0.3"/>
    <row r="62650" s="160" customFormat="1" x14ac:dyDescent="0.3"/>
    <row r="62651" s="160" customFormat="1" x14ac:dyDescent="0.3"/>
    <row r="62652" s="160" customFormat="1" x14ac:dyDescent="0.3"/>
    <row r="62653" s="160" customFormat="1" x14ac:dyDescent="0.3"/>
    <row r="62654" s="160" customFormat="1" x14ac:dyDescent="0.3"/>
    <row r="62655" s="160" customFormat="1" x14ac:dyDescent="0.3"/>
    <row r="62656" s="160" customFormat="1" x14ac:dyDescent="0.3"/>
    <row r="62657" s="160" customFormat="1" x14ac:dyDescent="0.3"/>
    <row r="62658" s="160" customFormat="1" x14ac:dyDescent="0.3"/>
    <row r="62659" s="160" customFormat="1" x14ac:dyDescent="0.3"/>
    <row r="62660" s="160" customFormat="1" x14ac:dyDescent="0.3"/>
    <row r="62661" s="160" customFormat="1" x14ac:dyDescent="0.3"/>
    <row r="62662" s="160" customFormat="1" x14ac:dyDescent="0.3"/>
    <row r="62663" s="160" customFormat="1" x14ac:dyDescent="0.3"/>
    <row r="62664" s="160" customFormat="1" x14ac:dyDescent="0.3"/>
    <row r="62665" s="160" customFormat="1" x14ac:dyDescent="0.3"/>
    <row r="62666" s="160" customFormat="1" x14ac:dyDescent="0.3"/>
    <row r="62667" s="160" customFormat="1" x14ac:dyDescent="0.3"/>
    <row r="62668" s="160" customFormat="1" x14ac:dyDescent="0.3"/>
    <row r="62669" s="160" customFormat="1" x14ac:dyDescent="0.3"/>
    <row r="62670" s="160" customFormat="1" x14ac:dyDescent="0.3"/>
    <row r="62671" s="160" customFormat="1" x14ac:dyDescent="0.3"/>
    <row r="62672" s="160" customFormat="1" x14ac:dyDescent="0.3"/>
    <row r="62673" s="160" customFormat="1" x14ac:dyDescent="0.3"/>
    <row r="62674" s="160" customFormat="1" x14ac:dyDescent="0.3"/>
    <row r="62675" s="160" customFormat="1" x14ac:dyDescent="0.3"/>
    <row r="62676" s="160" customFormat="1" x14ac:dyDescent="0.3"/>
    <row r="62677" s="160" customFormat="1" x14ac:dyDescent="0.3"/>
    <row r="62678" s="160" customFormat="1" x14ac:dyDescent="0.3"/>
    <row r="62679" s="160" customFormat="1" x14ac:dyDescent="0.3"/>
    <row r="62680" s="160" customFormat="1" x14ac:dyDescent="0.3"/>
    <row r="62681" s="160" customFormat="1" x14ac:dyDescent="0.3"/>
    <row r="62682" s="160" customFormat="1" x14ac:dyDescent="0.3"/>
    <row r="62683" s="160" customFormat="1" x14ac:dyDescent="0.3"/>
    <row r="62684" s="160" customFormat="1" x14ac:dyDescent="0.3"/>
    <row r="62685" s="160" customFormat="1" x14ac:dyDescent="0.3"/>
    <row r="62686" s="160" customFormat="1" x14ac:dyDescent="0.3"/>
    <row r="62687" s="160" customFormat="1" x14ac:dyDescent="0.3"/>
    <row r="62688" s="160" customFormat="1" x14ac:dyDescent="0.3"/>
    <row r="62689" s="160" customFormat="1" x14ac:dyDescent="0.3"/>
    <row r="62690" s="160" customFormat="1" x14ac:dyDescent="0.3"/>
    <row r="62691" s="160" customFormat="1" x14ac:dyDescent="0.3"/>
    <row r="62692" s="160" customFormat="1" x14ac:dyDescent="0.3"/>
    <row r="62693" s="160" customFormat="1" x14ac:dyDescent="0.3"/>
    <row r="62694" s="160" customFormat="1" x14ac:dyDescent="0.3"/>
    <row r="62695" s="160" customFormat="1" x14ac:dyDescent="0.3"/>
    <row r="62696" s="160" customFormat="1" x14ac:dyDescent="0.3"/>
    <row r="62697" s="160" customFormat="1" x14ac:dyDescent="0.3"/>
    <row r="62698" s="160" customFormat="1" x14ac:dyDescent="0.3"/>
    <row r="62699" s="160" customFormat="1" x14ac:dyDescent="0.3"/>
    <row r="62700" s="160" customFormat="1" x14ac:dyDescent="0.3"/>
    <row r="62701" s="160" customFormat="1" x14ac:dyDescent="0.3"/>
    <row r="62702" s="160" customFormat="1" x14ac:dyDescent="0.3"/>
    <row r="62703" s="160" customFormat="1" x14ac:dyDescent="0.3"/>
    <row r="62704" s="160" customFormat="1" x14ac:dyDescent="0.3"/>
    <row r="62705" s="160" customFormat="1" x14ac:dyDescent="0.3"/>
    <row r="62706" s="160" customFormat="1" x14ac:dyDescent="0.3"/>
    <row r="62707" s="160" customFormat="1" x14ac:dyDescent="0.3"/>
    <row r="62708" s="160" customFormat="1" x14ac:dyDescent="0.3"/>
    <row r="62709" s="160" customFormat="1" x14ac:dyDescent="0.3"/>
    <row r="62710" s="160" customFormat="1" x14ac:dyDescent="0.3"/>
    <row r="62711" s="160" customFormat="1" x14ac:dyDescent="0.3"/>
    <row r="62712" s="160" customFormat="1" x14ac:dyDescent="0.3"/>
    <row r="62713" s="160" customFormat="1" x14ac:dyDescent="0.3"/>
    <row r="62714" s="160" customFormat="1" x14ac:dyDescent="0.3"/>
    <row r="62715" s="160" customFormat="1" x14ac:dyDescent="0.3"/>
    <row r="62716" s="160" customFormat="1" x14ac:dyDescent="0.3"/>
    <row r="62717" s="160" customFormat="1" x14ac:dyDescent="0.3"/>
    <row r="62718" s="160" customFormat="1" x14ac:dyDescent="0.3"/>
    <row r="62719" s="160" customFormat="1" x14ac:dyDescent="0.3"/>
    <row r="62720" s="160" customFormat="1" x14ac:dyDescent="0.3"/>
    <row r="62721" s="160" customFormat="1" x14ac:dyDescent="0.3"/>
    <row r="62722" s="160" customFormat="1" x14ac:dyDescent="0.3"/>
    <row r="62723" s="160" customFormat="1" x14ac:dyDescent="0.3"/>
    <row r="62724" s="160" customFormat="1" x14ac:dyDescent="0.3"/>
    <row r="62725" s="160" customFormat="1" x14ac:dyDescent="0.3"/>
    <row r="62726" s="160" customFormat="1" x14ac:dyDescent="0.3"/>
    <row r="62727" s="160" customFormat="1" x14ac:dyDescent="0.3"/>
    <row r="62728" s="160" customFormat="1" x14ac:dyDescent="0.3"/>
    <row r="62729" s="160" customFormat="1" x14ac:dyDescent="0.3"/>
    <row r="62730" s="160" customFormat="1" x14ac:dyDescent="0.3"/>
    <row r="62731" s="160" customFormat="1" x14ac:dyDescent="0.3"/>
    <row r="62732" s="160" customFormat="1" x14ac:dyDescent="0.3"/>
    <row r="62733" s="160" customFormat="1" x14ac:dyDescent="0.3"/>
    <row r="62734" s="160" customFormat="1" x14ac:dyDescent="0.3"/>
    <row r="62735" s="160" customFormat="1" x14ac:dyDescent="0.3"/>
    <row r="62736" s="160" customFormat="1" x14ac:dyDescent="0.3"/>
    <row r="62737" s="160" customFormat="1" x14ac:dyDescent="0.3"/>
    <row r="62738" s="160" customFormat="1" x14ac:dyDescent="0.3"/>
    <row r="62739" s="160" customFormat="1" x14ac:dyDescent="0.3"/>
    <row r="62740" s="160" customFormat="1" x14ac:dyDescent="0.3"/>
    <row r="62741" s="160" customFormat="1" x14ac:dyDescent="0.3"/>
    <row r="62742" s="160" customFormat="1" x14ac:dyDescent="0.3"/>
    <row r="62743" s="160" customFormat="1" x14ac:dyDescent="0.3"/>
    <row r="62744" s="160" customFormat="1" x14ac:dyDescent="0.3"/>
    <row r="62745" s="160" customFormat="1" x14ac:dyDescent="0.3"/>
    <row r="62746" s="160" customFormat="1" x14ac:dyDescent="0.3"/>
    <row r="62747" s="160" customFormat="1" x14ac:dyDescent="0.3"/>
    <row r="62748" s="160" customFormat="1" x14ac:dyDescent="0.3"/>
    <row r="62749" s="160" customFormat="1" x14ac:dyDescent="0.3"/>
    <row r="62750" s="160" customFormat="1" x14ac:dyDescent="0.3"/>
    <row r="62751" s="160" customFormat="1" x14ac:dyDescent="0.3"/>
    <row r="62752" s="160" customFormat="1" x14ac:dyDescent="0.3"/>
    <row r="62753" s="160" customFormat="1" x14ac:dyDescent="0.3"/>
    <row r="62754" s="160" customFormat="1" x14ac:dyDescent="0.3"/>
    <row r="62755" s="160" customFormat="1" x14ac:dyDescent="0.3"/>
    <row r="62756" s="160" customFormat="1" x14ac:dyDescent="0.3"/>
    <row r="62757" s="160" customFormat="1" x14ac:dyDescent="0.3"/>
    <row r="62758" s="160" customFormat="1" x14ac:dyDescent="0.3"/>
    <row r="62759" s="160" customFormat="1" x14ac:dyDescent="0.3"/>
    <row r="62760" s="160" customFormat="1" x14ac:dyDescent="0.3"/>
    <row r="62761" s="160" customFormat="1" x14ac:dyDescent="0.3"/>
    <row r="62762" s="160" customFormat="1" x14ac:dyDescent="0.3"/>
    <row r="62763" s="160" customFormat="1" x14ac:dyDescent="0.3"/>
    <row r="62764" s="160" customFormat="1" x14ac:dyDescent="0.3"/>
    <row r="62765" s="160" customFormat="1" x14ac:dyDescent="0.3"/>
    <row r="62766" s="160" customFormat="1" x14ac:dyDescent="0.3"/>
    <row r="62767" s="160" customFormat="1" x14ac:dyDescent="0.3"/>
    <row r="62768" s="160" customFormat="1" x14ac:dyDescent="0.3"/>
    <row r="62769" s="160" customFormat="1" x14ac:dyDescent="0.3"/>
    <row r="62770" s="160" customFormat="1" x14ac:dyDescent="0.3"/>
    <row r="62771" s="160" customFormat="1" x14ac:dyDescent="0.3"/>
    <row r="62772" s="160" customFormat="1" x14ac:dyDescent="0.3"/>
    <row r="62773" s="160" customFormat="1" x14ac:dyDescent="0.3"/>
    <row r="62774" s="160" customFormat="1" x14ac:dyDescent="0.3"/>
    <row r="62775" s="160" customFormat="1" x14ac:dyDescent="0.3"/>
    <row r="62776" s="160" customFormat="1" x14ac:dyDescent="0.3"/>
    <row r="62777" s="160" customFormat="1" x14ac:dyDescent="0.3"/>
    <row r="62778" s="160" customFormat="1" x14ac:dyDescent="0.3"/>
    <row r="62779" s="160" customFormat="1" x14ac:dyDescent="0.3"/>
    <row r="62780" s="160" customFormat="1" x14ac:dyDescent="0.3"/>
    <row r="62781" s="160" customFormat="1" x14ac:dyDescent="0.3"/>
    <row r="62782" s="160" customFormat="1" x14ac:dyDescent="0.3"/>
    <row r="62783" s="160" customFormat="1" x14ac:dyDescent="0.3"/>
    <row r="62784" s="160" customFormat="1" x14ac:dyDescent="0.3"/>
    <row r="62785" s="160" customFormat="1" x14ac:dyDescent="0.3"/>
    <row r="62786" s="160" customFormat="1" x14ac:dyDescent="0.3"/>
    <row r="62787" s="160" customFormat="1" x14ac:dyDescent="0.3"/>
    <row r="62788" s="160" customFormat="1" x14ac:dyDescent="0.3"/>
    <row r="62789" s="160" customFormat="1" x14ac:dyDescent="0.3"/>
    <row r="62790" s="160" customFormat="1" x14ac:dyDescent="0.3"/>
    <row r="62791" s="160" customFormat="1" x14ac:dyDescent="0.3"/>
    <row r="62792" s="160" customFormat="1" x14ac:dyDescent="0.3"/>
    <row r="62793" s="160" customFormat="1" x14ac:dyDescent="0.3"/>
    <row r="62794" s="160" customFormat="1" x14ac:dyDescent="0.3"/>
    <row r="62795" s="160" customFormat="1" x14ac:dyDescent="0.3"/>
    <row r="62796" s="160" customFormat="1" x14ac:dyDescent="0.3"/>
    <row r="62797" s="160" customFormat="1" x14ac:dyDescent="0.3"/>
    <row r="62798" s="160" customFormat="1" x14ac:dyDescent="0.3"/>
    <row r="62799" s="160" customFormat="1" x14ac:dyDescent="0.3"/>
    <row r="62800" s="160" customFormat="1" x14ac:dyDescent="0.3"/>
    <row r="62801" s="160" customFormat="1" x14ac:dyDescent="0.3"/>
    <row r="62802" s="160" customFormat="1" x14ac:dyDescent="0.3"/>
    <row r="62803" s="160" customFormat="1" x14ac:dyDescent="0.3"/>
    <row r="62804" s="160" customFormat="1" x14ac:dyDescent="0.3"/>
    <row r="62805" s="160" customFormat="1" x14ac:dyDescent="0.3"/>
    <row r="62806" s="160" customFormat="1" x14ac:dyDescent="0.3"/>
    <row r="62807" s="160" customFormat="1" x14ac:dyDescent="0.3"/>
    <row r="62808" s="160" customFormat="1" x14ac:dyDescent="0.3"/>
    <row r="62809" s="160" customFormat="1" x14ac:dyDescent="0.3"/>
    <row r="62810" s="160" customFormat="1" x14ac:dyDescent="0.3"/>
    <row r="62811" s="160" customFormat="1" x14ac:dyDescent="0.3"/>
    <row r="62812" s="160" customFormat="1" x14ac:dyDescent="0.3"/>
    <row r="62813" s="160" customFormat="1" x14ac:dyDescent="0.3"/>
    <row r="62814" s="160" customFormat="1" x14ac:dyDescent="0.3"/>
    <row r="62815" s="160" customFormat="1" x14ac:dyDescent="0.3"/>
    <row r="62816" s="160" customFormat="1" x14ac:dyDescent="0.3"/>
    <row r="62817" s="160" customFormat="1" x14ac:dyDescent="0.3"/>
    <row r="62818" s="160" customFormat="1" x14ac:dyDescent="0.3"/>
    <row r="62819" s="160" customFormat="1" x14ac:dyDescent="0.3"/>
    <row r="62820" s="160" customFormat="1" x14ac:dyDescent="0.3"/>
    <row r="62821" s="160" customFormat="1" x14ac:dyDescent="0.3"/>
    <row r="62822" s="160" customFormat="1" x14ac:dyDescent="0.3"/>
    <row r="62823" s="160" customFormat="1" x14ac:dyDescent="0.3"/>
    <row r="62824" s="160" customFormat="1" x14ac:dyDescent="0.3"/>
    <row r="62825" s="160" customFormat="1" x14ac:dyDescent="0.3"/>
    <row r="62826" s="160" customFormat="1" x14ac:dyDescent="0.3"/>
    <row r="62827" s="160" customFormat="1" x14ac:dyDescent="0.3"/>
    <row r="62828" s="160" customFormat="1" x14ac:dyDescent="0.3"/>
    <row r="62829" s="160" customFormat="1" x14ac:dyDescent="0.3"/>
    <row r="62830" s="160" customFormat="1" x14ac:dyDescent="0.3"/>
    <row r="62831" s="160" customFormat="1" x14ac:dyDescent="0.3"/>
    <row r="62832" s="160" customFormat="1" x14ac:dyDescent="0.3"/>
    <row r="62833" s="160" customFormat="1" x14ac:dyDescent="0.3"/>
    <row r="62834" s="160" customFormat="1" x14ac:dyDescent="0.3"/>
    <row r="62835" s="160" customFormat="1" x14ac:dyDescent="0.3"/>
    <row r="62836" s="160" customFormat="1" x14ac:dyDescent="0.3"/>
    <row r="62837" s="160" customFormat="1" x14ac:dyDescent="0.3"/>
    <row r="62838" s="160" customFormat="1" x14ac:dyDescent="0.3"/>
    <row r="62839" s="160" customFormat="1" x14ac:dyDescent="0.3"/>
    <row r="62840" s="160" customFormat="1" x14ac:dyDescent="0.3"/>
    <row r="62841" s="160" customFormat="1" x14ac:dyDescent="0.3"/>
    <row r="62842" s="160" customFormat="1" x14ac:dyDescent="0.3"/>
    <row r="62843" s="160" customFormat="1" x14ac:dyDescent="0.3"/>
    <row r="62844" s="160" customFormat="1" x14ac:dyDescent="0.3"/>
    <row r="62845" s="160" customFormat="1" x14ac:dyDescent="0.3"/>
    <row r="62846" s="160" customFormat="1" x14ac:dyDescent="0.3"/>
    <row r="62847" s="160" customFormat="1" x14ac:dyDescent="0.3"/>
    <row r="62848" s="160" customFormat="1" x14ac:dyDescent="0.3"/>
    <row r="62849" s="160" customFormat="1" x14ac:dyDescent="0.3"/>
    <row r="62850" s="160" customFormat="1" x14ac:dyDescent="0.3"/>
    <row r="62851" s="160" customFormat="1" x14ac:dyDescent="0.3"/>
    <row r="62852" s="160" customFormat="1" x14ac:dyDescent="0.3"/>
    <row r="62853" s="160" customFormat="1" x14ac:dyDescent="0.3"/>
    <row r="62854" s="160" customFormat="1" x14ac:dyDescent="0.3"/>
    <row r="62855" s="160" customFormat="1" x14ac:dyDescent="0.3"/>
    <row r="62856" s="160" customFormat="1" x14ac:dyDescent="0.3"/>
    <row r="62857" s="160" customFormat="1" x14ac:dyDescent="0.3"/>
    <row r="62858" s="160" customFormat="1" x14ac:dyDescent="0.3"/>
    <row r="62859" s="160" customFormat="1" x14ac:dyDescent="0.3"/>
    <row r="62860" s="160" customFormat="1" x14ac:dyDescent="0.3"/>
    <row r="62861" s="160" customFormat="1" x14ac:dyDescent="0.3"/>
    <row r="62862" s="160" customFormat="1" x14ac:dyDescent="0.3"/>
    <row r="62863" s="160" customFormat="1" x14ac:dyDescent="0.3"/>
    <row r="62864" s="160" customFormat="1" x14ac:dyDescent="0.3"/>
    <row r="62865" s="160" customFormat="1" x14ac:dyDescent="0.3"/>
    <row r="62866" s="160" customFormat="1" x14ac:dyDescent="0.3"/>
    <row r="62867" s="160" customFormat="1" x14ac:dyDescent="0.3"/>
    <row r="62868" s="160" customFormat="1" x14ac:dyDescent="0.3"/>
    <row r="62869" s="160" customFormat="1" x14ac:dyDescent="0.3"/>
    <row r="62870" s="160" customFormat="1" x14ac:dyDescent="0.3"/>
    <row r="62871" s="160" customFormat="1" x14ac:dyDescent="0.3"/>
    <row r="62872" s="160" customFormat="1" x14ac:dyDescent="0.3"/>
    <row r="62873" s="160" customFormat="1" x14ac:dyDescent="0.3"/>
    <row r="62874" s="160" customFormat="1" x14ac:dyDescent="0.3"/>
    <row r="62875" s="160" customFormat="1" x14ac:dyDescent="0.3"/>
    <row r="62876" s="160" customFormat="1" x14ac:dyDescent="0.3"/>
    <row r="62877" s="160" customFormat="1" x14ac:dyDescent="0.3"/>
    <row r="62878" s="160" customFormat="1" x14ac:dyDescent="0.3"/>
    <row r="62879" s="160" customFormat="1" x14ac:dyDescent="0.3"/>
    <row r="62880" s="160" customFormat="1" x14ac:dyDescent="0.3"/>
    <row r="62881" s="160" customFormat="1" x14ac:dyDescent="0.3"/>
    <row r="62882" s="160" customFormat="1" x14ac:dyDescent="0.3"/>
    <row r="62883" s="160" customFormat="1" x14ac:dyDescent="0.3"/>
    <row r="62884" s="160" customFormat="1" x14ac:dyDescent="0.3"/>
    <row r="62885" s="160" customFormat="1" x14ac:dyDescent="0.3"/>
    <row r="62886" s="160" customFormat="1" x14ac:dyDescent="0.3"/>
    <row r="62887" s="160" customFormat="1" x14ac:dyDescent="0.3"/>
    <row r="62888" s="160" customFormat="1" x14ac:dyDescent="0.3"/>
    <row r="62889" s="160" customFormat="1" x14ac:dyDescent="0.3"/>
    <row r="62890" s="160" customFormat="1" x14ac:dyDescent="0.3"/>
    <row r="62891" s="160" customFormat="1" x14ac:dyDescent="0.3"/>
    <row r="62892" s="160" customFormat="1" x14ac:dyDescent="0.3"/>
    <row r="62893" s="160" customFormat="1" x14ac:dyDescent="0.3"/>
    <row r="62894" s="160" customFormat="1" x14ac:dyDescent="0.3"/>
    <row r="62895" s="160" customFormat="1" x14ac:dyDescent="0.3"/>
    <row r="62896" s="160" customFormat="1" x14ac:dyDescent="0.3"/>
    <row r="62897" s="160" customFormat="1" x14ac:dyDescent="0.3"/>
    <row r="62898" s="160" customFormat="1" x14ac:dyDescent="0.3"/>
    <row r="62899" s="160" customFormat="1" x14ac:dyDescent="0.3"/>
    <row r="62900" s="160" customFormat="1" x14ac:dyDescent="0.3"/>
    <row r="62901" s="160" customFormat="1" x14ac:dyDescent="0.3"/>
    <row r="62902" s="160" customFormat="1" x14ac:dyDescent="0.3"/>
    <row r="62903" s="160" customFormat="1" x14ac:dyDescent="0.3"/>
    <row r="62904" s="160" customFormat="1" x14ac:dyDescent="0.3"/>
    <row r="62905" s="160" customFormat="1" x14ac:dyDescent="0.3"/>
    <row r="62906" s="160" customFormat="1" x14ac:dyDescent="0.3"/>
    <row r="62907" s="160" customFormat="1" x14ac:dyDescent="0.3"/>
    <row r="62908" s="160" customFormat="1" x14ac:dyDescent="0.3"/>
    <row r="62909" s="160" customFormat="1" x14ac:dyDescent="0.3"/>
    <row r="62910" s="160" customFormat="1" x14ac:dyDescent="0.3"/>
    <row r="62911" s="160" customFormat="1" x14ac:dyDescent="0.3"/>
    <row r="62912" s="160" customFormat="1" x14ac:dyDescent="0.3"/>
    <row r="62913" s="160" customFormat="1" x14ac:dyDescent="0.3"/>
    <row r="62914" s="160" customFormat="1" x14ac:dyDescent="0.3"/>
    <row r="62915" s="160" customFormat="1" x14ac:dyDescent="0.3"/>
    <row r="62916" s="160" customFormat="1" x14ac:dyDescent="0.3"/>
    <row r="62917" s="160" customFormat="1" x14ac:dyDescent="0.3"/>
    <row r="62918" s="160" customFormat="1" x14ac:dyDescent="0.3"/>
    <row r="62919" s="160" customFormat="1" x14ac:dyDescent="0.3"/>
    <row r="62920" s="160" customFormat="1" x14ac:dyDescent="0.3"/>
    <row r="62921" s="160" customFormat="1" x14ac:dyDescent="0.3"/>
    <row r="62922" s="160" customFormat="1" x14ac:dyDescent="0.3"/>
    <row r="62923" s="160" customFormat="1" x14ac:dyDescent="0.3"/>
    <row r="62924" s="160" customFormat="1" x14ac:dyDescent="0.3"/>
    <row r="62925" s="160" customFormat="1" x14ac:dyDescent="0.3"/>
    <row r="62926" s="160" customFormat="1" x14ac:dyDescent="0.3"/>
    <row r="62927" s="160" customFormat="1" x14ac:dyDescent="0.3"/>
    <row r="62928" s="160" customFormat="1" x14ac:dyDescent="0.3"/>
    <row r="62929" s="160" customFormat="1" x14ac:dyDescent="0.3"/>
    <row r="62930" s="160" customFormat="1" x14ac:dyDescent="0.3"/>
    <row r="62931" s="160" customFormat="1" x14ac:dyDescent="0.3"/>
    <row r="62932" s="160" customFormat="1" x14ac:dyDescent="0.3"/>
    <row r="62933" s="160" customFormat="1" x14ac:dyDescent="0.3"/>
    <row r="62934" s="160" customFormat="1" x14ac:dyDescent="0.3"/>
    <row r="62935" s="160" customFormat="1" x14ac:dyDescent="0.3"/>
    <row r="62936" s="160" customFormat="1" x14ac:dyDescent="0.3"/>
    <row r="62937" s="160" customFormat="1" x14ac:dyDescent="0.3"/>
    <row r="62938" s="160" customFormat="1" x14ac:dyDescent="0.3"/>
    <row r="62939" s="160" customFormat="1" x14ac:dyDescent="0.3"/>
    <row r="62940" s="160" customFormat="1" x14ac:dyDescent="0.3"/>
    <row r="62941" s="160" customFormat="1" x14ac:dyDescent="0.3"/>
    <row r="62942" s="160" customFormat="1" x14ac:dyDescent="0.3"/>
    <row r="62943" s="160" customFormat="1" x14ac:dyDescent="0.3"/>
    <row r="62944" s="160" customFormat="1" x14ac:dyDescent="0.3"/>
    <row r="62945" s="160" customFormat="1" x14ac:dyDescent="0.3"/>
    <row r="62946" s="160" customFormat="1" x14ac:dyDescent="0.3"/>
    <row r="62947" s="160" customFormat="1" x14ac:dyDescent="0.3"/>
    <row r="62948" s="160" customFormat="1" x14ac:dyDescent="0.3"/>
    <row r="62949" s="160" customFormat="1" x14ac:dyDescent="0.3"/>
    <row r="62950" s="160" customFormat="1" x14ac:dyDescent="0.3"/>
    <row r="62951" s="160" customFormat="1" x14ac:dyDescent="0.3"/>
    <row r="62952" s="160" customFormat="1" x14ac:dyDescent="0.3"/>
    <row r="62953" s="160" customFormat="1" x14ac:dyDescent="0.3"/>
    <row r="62954" s="160" customFormat="1" x14ac:dyDescent="0.3"/>
    <row r="62955" s="160" customFormat="1" x14ac:dyDescent="0.3"/>
    <row r="62956" s="160" customFormat="1" x14ac:dyDescent="0.3"/>
    <row r="62957" s="160" customFormat="1" x14ac:dyDescent="0.3"/>
    <row r="62958" s="160" customFormat="1" x14ac:dyDescent="0.3"/>
    <row r="62959" s="160" customFormat="1" x14ac:dyDescent="0.3"/>
    <row r="62960" s="160" customFormat="1" x14ac:dyDescent="0.3"/>
    <row r="62961" s="160" customFormat="1" x14ac:dyDescent="0.3"/>
    <row r="62962" s="160" customFormat="1" x14ac:dyDescent="0.3"/>
    <row r="62963" s="160" customFormat="1" x14ac:dyDescent="0.3"/>
    <row r="62964" s="160" customFormat="1" x14ac:dyDescent="0.3"/>
    <row r="62965" s="160" customFormat="1" x14ac:dyDescent="0.3"/>
    <row r="62966" s="160" customFormat="1" x14ac:dyDescent="0.3"/>
    <row r="62967" s="160" customFormat="1" x14ac:dyDescent="0.3"/>
    <row r="62968" s="160" customFormat="1" x14ac:dyDescent="0.3"/>
    <row r="62969" s="160" customFormat="1" x14ac:dyDescent="0.3"/>
    <row r="62970" s="160" customFormat="1" x14ac:dyDescent="0.3"/>
    <row r="62971" s="160" customFormat="1" x14ac:dyDescent="0.3"/>
    <row r="62972" s="160" customFormat="1" x14ac:dyDescent="0.3"/>
    <row r="62973" s="160" customFormat="1" x14ac:dyDescent="0.3"/>
    <row r="62974" s="160" customFormat="1" x14ac:dyDescent="0.3"/>
    <row r="62975" s="160" customFormat="1" x14ac:dyDescent="0.3"/>
    <row r="62976" s="160" customFormat="1" x14ac:dyDescent="0.3"/>
    <row r="62977" s="160" customFormat="1" x14ac:dyDescent="0.3"/>
    <row r="62978" s="160" customFormat="1" x14ac:dyDescent="0.3"/>
    <row r="62979" s="160" customFormat="1" x14ac:dyDescent="0.3"/>
    <row r="62980" s="160" customFormat="1" x14ac:dyDescent="0.3"/>
    <row r="62981" s="160" customFormat="1" x14ac:dyDescent="0.3"/>
    <row r="62982" s="160" customFormat="1" x14ac:dyDescent="0.3"/>
    <row r="62983" s="160" customFormat="1" x14ac:dyDescent="0.3"/>
    <row r="62984" s="160" customFormat="1" x14ac:dyDescent="0.3"/>
    <row r="62985" s="160" customFormat="1" x14ac:dyDescent="0.3"/>
    <row r="62986" s="160" customFormat="1" x14ac:dyDescent="0.3"/>
    <row r="62987" s="160" customFormat="1" x14ac:dyDescent="0.3"/>
    <row r="62988" s="160" customFormat="1" x14ac:dyDescent="0.3"/>
    <row r="62989" s="160" customFormat="1" x14ac:dyDescent="0.3"/>
    <row r="62990" s="160" customFormat="1" x14ac:dyDescent="0.3"/>
    <row r="62991" s="160" customFormat="1" x14ac:dyDescent="0.3"/>
    <row r="62992" s="160" customFormat="1" x14ac:dyDescent="0.3"/>
    <row r="62993" s="160" customFormat="1" x14ac:dyDescent="0.3"/>
    <row r="62994" s="160" customFormat="1" x14ac:dyDescent="0.3"/>
    <row r="62995" s="160" customFormat="1" x14ac:dyDescent="0.3"/>
    <row r="62996" s="160" customFormat="1" x14ac:dyDescent="0.3"/>
    <row r="62997" s="160" customFormat="1" x14ac:dyDescent="0.3"/>
    <row r="62998" s="160" customFormat="1" x14ac:dyDescent="0.3"/>
    <row r="62999" s="160" customFormat="1" x14ac:dyDescent="0.3"/>
    <row r="63000" s="160" customFormat="1" x14ac:dyDescent="0.3"/>
    <row r="63001" s="160" customFormat="1" x14ac:dyDescent="0.3"/>
    <row r="63002" s="160" customFormat="1" x14ac:dyDescent="0.3"/>
    <row r="63003" s="160" customFormat="1" x14ac:dyDescent="0.3"/>
    <row r="63004" s="160" customFormat="1" x14ac:dyDescent="0.3"/>
    <row r="63005" s="160" customFormat="1" x14ac:dyDescent="0.3"/>
    <row r="63006" s="160" customFormat="1" x14ac:dyDescent="0.3"/>
    <row r="63007" s="160" customFormat="1" x14ac:dyDescent="0.3"/>
    <row r="63008" s="160" customFormat="1" x14ac:dyDescent="0.3"/>
    <row r="63009" s="160" customFormat="1" x14ac:dyDescent="0.3"/>
    <row r="63010" s="160" customFormat="1" x14ac:dyDescent="0.3"/>
    <row r="63011" s="160" customFormat="1" x14ac:dyDescent="0.3"/>
    <row r="63012" s="160" customFormat="1" x14ac:dyDescent="0.3"/>
    <row r="63013" s="160" customFormat="1" x14ac:dyDescent="0.3"/>
    <row r="63014" s="160" customFormat="1" x14ac:dyDescent="0.3"/>
    <row r="63015" s="160" customFormat="1" x14ac:dyDescent="0.3"/>
    <row r="63016" s="160" customFormat="1" x14ac:dyDescent="0.3"/>
    <row r="63017" s="160" customFormat="1" x14ac:dyDescent="0.3"/>
    <row r="63018" s="160" customFormat="1" x14ac:dyDescent="0.3"/>
    <row r="63019" s="160" customFormat="1" x14ac:dyDescent="0.3"/>
    <row r="63020" s="160" customFormat="1" x14ac:dyDescent="0.3"/>
    <row r="63021" s="160" customFormat="1" x14ac:dyDescent="0.3"/>
    <row r="63022" s="160" customFormat="1" x14ac:dyDescent="0.3"/>
    <row r="63023" s="160" customFormat="1" x14ac:dyDescent="0.3"/>
    <row r="63024" s="160" customFormat="1" x14ac:dyDescent="0.3"/>
    <row r="63025" s="160" customFormat="1" x14ac:dyDescent="0.3"/>
    <row r="63026" s="160" customFormat="1" x14ac:dyDescent="0.3"/>
    <row r="63027" s="160" customFormat="1" x14ac:dyDescent="0.3"/>
    <row r="63028" s="160" customFormat="1" x14ac:dyDescent="0.3"/>
    <row r="63029" s="160" customFormat="1" x14ac:dyDescent="0.3"/>
    <row r="63030" s="160" customFormat="1" x14ac:dyDescent="0.3"/>
    <row r="63031" s="160" customFormat="1" x14ac:dyDescent="0.3"/>
    <row r="63032" s="160" customFormat="1" x14ac:dyDescent="0.3"/>
    <row r="63033" s="160" customFormat="1" x14ac:dyDescent="0.3"/>
    <row r="63034" s="160" customFormat="1" x14ac:dyDescent="0.3"/>
    <row r="63035" s="160" customFormat="1" x14ac:dyDescent="0.3"/>
    <row r="63036" s="160" customFormat="1" x14ac:dyDescent="0.3"/>
    <row r="63037" s="160" customFormat="1" x14ac:dyDescent="0.3"/>
    <row r="63038" s="160" customFormat="1" x14ac:dyDescent="0.3"/>
    <row r="63039" s="160" customFormat="1" x14ac:dyDescent="0.3"/>
    <row r="63040" s="160" customFormat="1" x14ac:dyDescent="0.3"/>
    <row r="63041" s="160" customFormat="1" x14ac:dyDescent="0.3"/>
    <row r="63042" s="160" customFormat="1" x14ac:dyDescent="0.3"/>
    <row r="63043" s="160" customFormat="1" x14ac:dyDescent="0.3"/>
    <row r="63044" s="160" customFormat="1" x14ac:dyDescent="0.3"/>
    <row r="63045" s="160" customFormat="1" x14ac:dyDescent="0.3"/>
    <row r="63046" s="160" customFormat="1" x14ac:dyDescent="0.3"/>
    <row r="63047" s="160" customFormat="1" x14ac:dyDescent="0.3"/>
    <row r="63048" s="160" customFormat="1" x14ac:dyDescent="0.3"/>
    <row r="63049" s="160" customFormat="1" x14ac:dyDescent="0.3"/>
    <row r="63050" s="160" customFormat="1" x14ac:dyDescent="0.3"/>
    <row r="63051" s="160" customFormat="1" x14ac:dyDescent="0.3"/>
    <row r="63052" s="160" customFormat="1" x14ac:dyDescent="0.3"/>
    <row r="63053" s="160" customFormat="1" x14ac:dyDescent="0.3"/>
    <row r="63054" s="160" customFormat="1" x14ac:dyDescent="0.3"/>
    <row r="63055" s="160" customFormat="1" x14ac:dyDescent="0.3"/>
    <row r="63056" s="160" customFormat="1" x14ac:dyDescent="0.3"/>
    <row r="63057" s="160" customFormat="1" x14ac:dyDescent="0.3"/>
    <row r="63058" s="160" customFormat="1" x14ac:dyDescent="0.3"/>
    <row r="63059" s="160" customFormat="1" x14ac:dyDescent="0.3"/>
    <row r="63060" s="160" customFormat="1" x14ac:dyDescent="0.3"/>
    <row r="63061" s="160" customFormat="1" x14ac:dyDescent="0.3"/>
    <row r="63062" s="160" customFormat="1" x14ac:dyDescent="0.3"/>
    <row r="63063" s="160" customFormat="1" x14ac:dyDescent="0.3"/>
    <row r="63064" s="160" customFormat="1" x14ac:dyDescent="0.3"/>
    <row r="63065" s="160" customFormat="1" x14ac:dyDescent="0.3"/>
    <row r="63066" s="160" customFormat="1" x14ac:dyDescent="0.3"/>
    <row r="63067" s="160" customFormat="1" x14ac:dyDescent="0.3"/>
    <row r="63068" s="160" customFormat="1" x14ac:dyDescent="0.3"/>
    <row r="63069" s="160" customFormat="1" x14ac:dyDescent="0.3"/>
    <row r="63070" s="160" customFormat="1" x14ac:dyDescent="0.3"/>
    <row r="63071" s="160" customFormat="1" x14ac:dyDescent="0.3"/>
    <row r="63072" s="160" customFormat="1" x14ac:dyDescent="0.3"/>
    <row r="63073" s="160" customFormat="1" x14ac:dyDescent="0.3"/>
    <row r="63074" s="160" customFormat="1" x14ac:dyDescent="0.3"/>
    <row r="63075" s="160" customFormat="1" x14ac:dyDescent="0.3"/>
    <row r="63076" s="160" customFormat="1" x14ac:dyDescent="0.3"/>
    <row r="63077" s="160" customFormat="1" x14ac:dyDescent="0.3"/>
    <row r="63078" s="160" customFormat="1" x14ac:dyDescent="0.3"/>
    <row r="63079" s="160" customFormat="1" x14ac:dyDescent="0.3"/>
    <row r="63080" s="160" customFormat="1" x14ac:dyDescent="0.3"/>
    <row r="63081" s="160" customFormat="1" x14ac:dyDescent="0.3"/>
    <row r="63082" s="160" customFormat="1" x14ac:dyDescent="0.3"/>
    <row r="63083" s="160" customFormat="1" x14ac:dyDescent="0.3"/>
    <row r="63084" s="160" customFormat="1" x14ac:dyDescent="0.3"/>
    <row r="63085" s="160" customFormat="1" x14ac:dyDescent="0.3"/>
    <row r="63086" s="160" customFormat="1" x14ac:dyDescent="0.3"/>
    <row r="63087" s="160" customFormat="1" x14ac:dyDescent="0.3"/>
    <row r="63088" s="160" customFormat="1" x14ac:dyDescent="0.3"/>
    <row r="63089" s="160" customFormat="1" x14ac:dyDescent="0.3"/>
    <row r="63090" s="160" customFormat="1" x14ac:dyDescent="0.3"/>
    <row r="63091" s="160" customFormat="1" x14ac:dyDescent="0.3"/>
    <row r="63092" s="160" customFormat="1" x14ac:dyDescent="0.3"/>
    <row r="63093" s="160" customFormat="1" x14ac:dyDescent="0.3"/>
    <row r="63094" s="160" customFormat="1" x14ac:dyDescent="0.3"/>
    <row r="63095" s="160" customFormat="1" x14ac:dyDescent="0.3"/>
    <row r="63096" s="160" customFormat="1" x14ac:dyDescent="0.3"/>
    <row r="63097" s="160" customFormat="1" x14ac:dyDescent="0.3"/>
    <row r="63098" s="160" customFormat="1" x14ac:dyDescent="0.3"/>
    <row r="63099" s="160" customFormat="1" x14ac:dyDescent="0.3"/>
    <row r="63100" s="160" customFormat="1" x14ac:dyDescent="0.3"/>
    <row r="63101" s="160" customFormat="1" x14ac:dyDescent="0.3"/>
    <row r="63102" s="160" customFormat="1" x14ac:dyDescent="0.3"/>
    <row r="63103" s="160" customFormat="1" x14ac:dyDescent="0.3"/>
    <row r="63104" s="160" customFormat="1" x14ac:dyDescent="0.3"/>
    <row r="63105" s="160" customFormat="1" x14ac:dyDescent="0.3"/>
    <row r="63106" s="160" customFormat="1" x14ac:dyDescent="0.3"/>
    <row r="63107" s="160" customFormat="1" x14ac:dyDescent="0.3"/>
    <row r="63108" s="160" customFormat="1" x14ac:dyDescent="0.3"/>
    <row r="63109" s="160" customFormat="1" x14ac:dyDescent="0.3"/>
    <row r="63110" s="160" customFormat="1" x14ac:dyDescent="0.3"/>
    <row r="63111" s="160" customFormat="1" x14ac:dyDescent="0.3"/>
    <row r="63112" s="160" customFormat="1" x14ac:dyDescent="0.3"/>
    <row r="63113" s="160" customFormat="1" x14ac:dyDescent="0.3"/>
    <row r="63114" s="160" customFormat="1" x14ac:dyDescent="0.3"/>
    <row r="63115" s="160" customFormat="1" x14ac:dyDescent="0.3"/>
    <row r="63116" s="160" customFormat="1" x14ac:dyDescent="0.3"/>
    <row r="63117" s="160" customFormat="1" x14ac:dyDescent="0.3"/>
    <row r="63118" s="160" customFormat="1" x14ac:dyDescent="0.3"/>
    <row r="63119" s="160" customFormat="1" x14ac:dyDescent="0.3"/>
    <row r="63120" s="160" customFormat="1" x14ac:dyDescent="0.3"/>
    <row r="63121" s="160" customFormat="1" x14ac:dyDescent="0.3"/>
    <row r="63122" s="160" customFormat="1" x14ac:dyDescent="0.3"/>
    <row r="63123" s="160" customFormat="1" x14ac:dyDescent="0.3"/>
    <row r="63124" s="160" customFormat="1" x14ac:dyDescent="0.3"/>
    <row r="63125" s="160" customFormat="1" x14ac:dyDescent="0.3"/>
    <row r="63126" s="160" customFormat="1" x14ac:dyDescent="0.3"/>
    <row r="63127" s="160" customFormat="1" x14ac:dyDescent="0.3"/>
    <row r="63128" s="160" customFormat="1" x14ac:dyDescent="0.3"/>
    <row r="63129" s="160" customFormat="1" x14ac:dyDescent="0.3"/>
    <row r="63130" s="160" customFormat="1" x14ac:dyDescent="0.3"/>
    <row r="63131" s="160" customFormat="1" x14ac:dyDescent="0.3"/>
    <row r="63132" s="160" customFormat="1" x14ac:dyDescent="0.3"/>
    <row r="63133" s="160" customFormat="1" x14ac:dyDescent="0.3"/>
    <row r="63134" s="160" customFormat="1" x14ac:dyDescent="0.3"/>
    <row r="63135" s="160" customFormat="1" x14ac:dyDescent="0.3"/>
    <row r="63136" s="160" customFormat="1" x14ac:dyDescent="0.3"/>
    <row r="63137" s="160" customFormat="1" x14ac:dyDescent="0.3"/>
    <row r="63138" s="160" customFormat="1" x14ac:dyDescent="0.3"/>
    <row r="63139" s="160" customFormat="1" x14ac:dyDescent="0.3"/>
    <row r="63140" s="160" customFormat="1" x14ac:dyDescent="0.3"/>
    <row r="63141" s="160" customFormat="1" x14ac:dyDescent="0.3"/>
    <row r="63142" s="160" customFormat="1" x14ac:dyDescent="0.3"/>
    <row r="63143" s="160" customFormat="1" x14ac:dyDescent="0.3"/>
    <row r="63144" s="160" customFormat="1" x14ac:dyDescent="0.3"/>
    <row r="63145" s="160" customFormat="1" x14ac:dyDescent="0.3"/>
    <row r="63146" s="160" customFormat="1" x14ac:dyDescent="0.3"/>
    <row r="63147" s="160" customFormat="1" x14ac:dyDescent="0.3"/>
    <row r="63148" s="160" customFormat="1" x14ac:dyDescent="0.3"/>
    <row r="63149" s="160" customFormat="1" x14ac:dyDescent="0.3"/>
    <row r="63150" s="160" customFormat="1" x14ac:dyDescent="0.3"/>
    <row r="63151" s="160" customFormat="1" x14ac:dyDescent="0.3"/>
    <row r="63152" s="160" customFormat="1" x14ac:dyDescent="0.3"/>
    <row r="63153" s="160" customFormat="1" x14ac:dyDescent="0.3"/>
    <row r="63154" s="160" customFormat="1" x14ac:dyDescent="0.3"/>
    <row r="63155" s="160" customFormat="1" x14ac:dyDescent="0.3"/>
    <row r="63156" s="160" customFormat="1" x14ac:dyDescent="0.3"/>
    <row r="63157" s="160" customFormat="1" x14ac:dyDescent="0.3"/>
    <row r="63158" s="160" customFormat="1" x14ac:dyDescent="0.3"/>
    <row r="63159" s="160" customFormat="1" x14ac:dyDescent="0.3"/>
    <row r="63160" s="160" customFormat="1" x14ac:dyDescent="0.3"/>
    <row r="63161" s="160" customFormat="1" x14ac:dyDescent="0.3"/>
    <row r="63162" s="160" customFormat="1" x14ac:dyDescent="0.3"/>
    <row r="63163" s="160" customFormat="1" x14ac:dyDescent="0.3"/>
    <row r="63164" s="160" customFormat="1" x14ac:dyDescent="0.3"/>
    <row r="63165" s="160" customFormat="1" x14ac:dyDescent="0.3"/>
    <row r="63166" s="160" customFormat="1" x14ac:dyDescent="0.3"/>
    <row r="63167" s="160" customFormat="1" x14ac:dyDescent="0.3"/>
    <row r="63168" s="160" customFormat="1" x14ac:dyDescent="0.3"/>
    <row r="63169" s="160" customFormat="1" x14ac:dyDescent="0.3"/>
    <row r="63170" s="160" customFormat="1" x14ac:dyDescent="0.3"/>
    <row r="63171" s="160" customFormat="1" x14ac:dyDescent="0.3"/>
    <row r="63172" s="160" customFormat="1" x14ac:dyDescent="0.3"/>
    <row r="63173" s="160" customFormat="1" x14ac:dyDescent="0.3"/>
    <row r="63174" s="160" customFormat="1" x14ac:dyDescent="0.3"/>
    <row r="63175" s="160" customFormat="1" x14ac:dyDescent="0.3"/>
    <row r="63176" s="160" customFormat="1" x14ac:dyDescent="0.3"/>
    <row r="63177" s="160" customFormat="1" x14ac:dyDescent="0.3"/>
    <row r="63178" s="160" customFormat="1" x14ac:dyDescent="0.3"/>
    <row r="63179" s="160" customFormat="1" x14ac:dyDescent="0.3"/>
    <row r="63180" s="160" customFormat="1" x14ac:dyDescent="0.3"/>
    <row r="63181" s="160" customFormat="1" x14ac:dyDescent="0.3"/>
    <row r="63182" s="160" customFormat="1" x14ac:dyDescent="0.3"/>
    <row r="63183" s="160" customFormat="1" x14ac:dyDescent="0.3"/>
    <row r="63184" s="160" customFormat="1" x14ac:dyDescent="0.3"/>
    <row r="63185" s="160" customFormat="1" x14ac:dyDescent="0.3"/>
    <row r="63186" s="160" customFormat="1" x14ac:dyDescent="0.3"/>
    <row r="63187" s="160" customFormat="1" x14ac:dyDescent="0.3"/>
    <row r="63188" s="160" customFormat="1" x14ac:dyDescent="0.3"/>
    <row r="63189" s="160" customFormat="1" x14ac:dyDescent="0.3"/>
    <row r="63190" s="160" customFormat="1" x14ac:dyDescent="0.3"/>
    <row r="63191" s="160" customFormat="1" x14ac:dyDescent="0.3"/>
    <row r="63192" s="160" customFormat="1" x14ac:dyDescent="0.3"/>
    <row r="63193" s="160" customFormat="1" x14ac:dyDescent="0.3"/>
    <row r="63194" s="160" customFormat="1" x14ac:dyDescent="0.3"/>
    <row r="63195" s="160" customFormat="1" x14ac:dyDescent="0.3"/>
    <row r="63196" s="160" customFormat="1" x14ac:dyDescent="0.3"/>
    <row r="63197" s="160" customFormat="1" x14ac:dyDescent="0.3"/>
    <row r="63198" s="160" customFormat="1" x14ac:dyDescent="0.3"/>
    <row r="63199" s="160" customFormat="1" x14ac:dyDescent="0.3"/>
    <row r="63200" s="160" customFormat="1" x14ac:dyDescent="0.3"/>
    <row r="63201" s="160" customFormat="1" x14ac:dyDescent="0.3"/>
    <row r="63202" s="160" customFormat="1" x14ac:dyDescent="0.3"/>
    <row r="63203" s="160" customFormat="1" x14ac:dyDescent="0.3"/>
    <row r="63204" s="160" customFormat="1" x14ac:dyDescent="0.3"/>
    <row r="63205" s="160" customFormat="1" x14ac:dyDescent="0.3"/>
    <row r="63206" s="160" customFormat="1" x14ac:dyDescent="0.3"/>
    <row r="63207" s="160" customFormat="1" x14ac:dyDescent="0.3"/>
    <row r="63208" s="160" customFormat="1" x14ac:dyDescent="0.3"/>
    <row r="63209" s="160" customFormat="1" x14ac:dyDescent="0.3"/>
    <row r="63210" s="160" customFormat="1" x14ac:dyDescent="0.3"/>
    <row r="63211" s="160" customFormat="1" x14ac:dyDescent="0.3"/>
    <row r="63212" s="160" customFormat="1" x14ac:dyDescent="0.3"/>
    <row r="63213" s="160" customFormat="1" x14ac:dyDescent="0.3"/>
    <row r="63214" s="160" customFormat="1" x14ac:dyDescent="0.3"/>
    <row r="63215" s="160" customFormat="1" x14ac:dyDescent="0.3"/>
    <row r="63216" s="160" customFormat="1" x14ac:dyDescent="0.3"/>
    <row r="63217" s="160" customFormat="1" x14ac:dyDescent="0.3"/>
    <row r="63218" s="160" customFormat="1" x14ac:dyDescent="0.3"/>
    <row r="63219" s="160" customFormat="1" x14ac:dyDescent="0.3"/>
    <row r="63220" s="160" customFormat="1" x14ac:dyDescent="0.3"/>
    <row r="63221" s="160" customFormat="1" x14ac:dyDescent="0.3"/>
    <row r="63222" s="160" customFormat="1" x14ac:dyDescent="0.3"/>
    <row r="63223" s="160" customFormat="1" x14ac:dyDescent="0.3"/>
    <row r="63224" s="160" customFormat="1" x14ac:dyDescent="0.3"/>
    <row r="63225" s="160" customFormat="1" x14ac:dyDescent="0.3"/>
    <row r="63226" s="160" customFormat="1" x14ac:dyDescent="0.3"/>
    <row r="63227" s="160" customFormat="1" x14ac:dyDescent="0.3"/>
    <row r="63228" s="160" customFormat="1" x14ac:dyDescent="0.3"/>
    <row r="63229" s="160" customFormat="1" x14ac:dyDescent="0.3"/>
    <row r="63230" s="160" customFormat="1" x14ac:dyDescent="0.3"/>
    <row r="63231" s="160" customFormat="1" x14ac:dyDescent="0.3"/>
    <row r="63232" s="160" customFormat="1" x14ac:dyDescent="0.3"/>
    <row r="63233" s="160" customFormat="1" x14ac:dyDescent="0.3"/>
    <row r="63234" s="160" customFormat="1" x14ac:dyDescent="0.3"/>
    <row r="63235" s="160" customFormat="1" x14ac:dyDescent="0.3"/>
    <row r="63236" s="160" customFormat="1" x14ac:dyDescent="0.3"/>
    <row r="63237" s="160" customFormat="1" x14ac:dyDescent="0.3"/>
    <row r="63238" s="160" customFormat="1" x14ac:dyDescent="0.3"/>
    <row r="63239" s="160" customFormat="1" x14ac:dyDescent="0.3"/>
    <row r="63240" s="160" customFormat="1" x14ac:dyDescent="0.3"/>
    <row r="63241" s="160" customFormat="1" x14ac:dyDescent="0.3"/>
    <row r="63242" s="160" customFormat="1" x14ac:dyDescent="0.3"/>
    <row r="63243" s="160" customFormat="1" x14ac:dyDescent="0.3"/>
    <row r="63244" s="160" customFormat="1" x14ac:dyDescent="0.3"/>
    <row r="63245" s="160" customFormat="1" x14ac:dyDescent="0.3"/>
    <row r="63246" s="160" customFormat="1" x14ac:dyDescent="0.3"/>
    <row r="63247" s="160" customFormat="1" x14ac:dyDescent="0.3"/>
    <row r="63248" s="160" customFormat="1" x14ac:dyDescent="0.3"/>
    <row r="63249" s="160" customFormat="1" x14ac:dyDescent="0.3"/>
    <row r="63250" s="160" customFormat="1" x14ac:dyDescent="0.3"/>
    <row r="63251" s="160" customFormat="1" x14ac:dyDescent="0.3"/>
    <row r="63252" s="160" customFormat="1" x14ac:dyDescent="0.3"/>
    <row r="63253" s="160" customFormat="1" x14ac:dyDescent="0.3"/>
    <row r="63254" s="160" customFormat="1" x14ac:dyDescent="0.3"/>
    <row r="63255" s="160" customFormat="1" x14ac:dyDescent="0.3"/>
    <row r="63256" s="160" customFormat="1" x14ac:dyDescent="0.3"/>
    <row r="63257" s="160" customFormat="1" x14ac:dyDescent="0.3"/>
    <row r="63258" s="160" customFormat="1" x14ac:dyDescent="0.3"/>
    <row r="63259" s="160" customFormat="1" x14ac:dyDescent="0.3"/>
    <row r="63260" s="160" customFormat="1" x14ac:dyDescent="0.3"/>
    <row r="63261" s="160" customFormat="1" x14ac:dyDescent="0.3"/>
    <row r="63262" s="160" customFormat="1" x14ac:dyDescent="0.3"/>
    <row r="63263" s="160" customFormat="1" x14ac:dyDescent="0.3"/>
    <row r="63264" s="160" customFormat="1" x14ac:dyDescent="0.3"/>
    <row r="63265" s="160" customFormat="1" x14ac:dyDescent="0.3"/>
    <row r="63266" s="160" customFormat="1" x14ac:dyDescent="0.3"/>
    <row r="63267" s="160" customFormat="1" x14ac:dyDescent="0.3"/>
    <row r="63268" s="160" customFormat="1" x14ac:dyDescent="0.3"/>
    <row r="63269" s="160" customFormat="1" x14ac:dyDescent="0.3"/>
    <row r="63270" s="160" customFormat="1" x14ac:dyDescent="0.3"/>
    <row r="63271" s="160" customFormat="1" x14ac:dyDescent="0.3"/>
    <row r="63272" s="160" customFormat="1" x14ac:dyDescent="0.3"/>
    <row r="63273" s="160" customFormat="1" x14ac:dyDescent="0.3"/>
    <row r="63274" s="160" customFormat="1" x14ac:dyDescent="0.3"/>
    <row r="63275" s="160" customFormat="1" x14ac:dyDescent="0.3"/>
    <row r="63276" s="160" customFormat="1" x14ac:dyDescent="0.3"/>
    <row r="63277" s="160" customFormat="1" x14ac:dyDescent="0.3"/>
    <row r="63278" s="160" customFormat="1" x14ac:dyDescent="0.3"/>
    <row r="63279" s="160" customFormat="1" x14ac:dyDescent="0.3"/>
    <row r="63280" s="160" customFormat="1" x14ac:dyDescent="0.3"/>
    <row r="63281" s="160" customFormat="1" x14ac:dyDescent="0.3"/>
    <row r="63282" s="160" customFormat="1" x14ac:dyDescent="0.3"/>
    <row r="63283" s="160" customFormat="1" x14ac:dyDescent="0.3"/>
    <row r="63284" s="160" customFormat="1" x14ac:dyDescent="0.3"/>
    <row r="63285" s="160" customFormat="1" x14ac:dyDescent="0.3"/>
    <row r="63286" s="160" customFormat="1" x14ac:dyDescent="0.3"/>
    <row r="63287" s="160" customFormat="1" x14ac:dyDescent="0.3"/>
    <row r="63288" s="160" customFormat="1" x14ac:dyDescent="0.3"/>
    <row r="63289" s="160" customFormat="1" x14ac:dyDescent="0.3"/>
    <row r="63290" s="160" customFormat="1" x14ac:dyDescent="0.3"/>
    <row r="63291" s="160" customFormat="1" x14ac:dyDescent="0.3"/>
    <row r="63292" s="160" customFormat="1" x14ac:dyDescent="0.3"/>
    <row r="63293" s="160" customFormat="1" x14ac:dyDescent="0.3"/>
    <row r="63294" s="160" customFormat="1" x14ac:dyDescent="0.3"/>
    <row r="63295" s="160" customFormat="1" x14ac:dyDescent="0.3"/>
    <row r="63296" s="160" customFormat="1" x14ac:dyDescent="0.3"/>
    <row r="63297" s="160" customFormat="1" x14ac:dyDescent="0.3"/>
    <row r="63298" s="160" customFormat="1" x14ac:dyDescent="0.3"/>
    <row r="63299" s="160" customFormat="1" x14ac:dyDescent="0.3"/>
    <row r="63300" s="160" customFormat="1" x14ac:dyDescent="0.3"/>
    <row r="63301" s="160" customFormat="1" x14ac:dyDescent="0.3"/>
    <row r="63302" s="160" customFormat="1" x14ac:dyDescent="0.3"/>
    <row r="63303" s="160" customFormat="1" x14ac:dyDescent="0.3"/>
    <row r="63304" s="160" customFormat="1" x14ac:dyDescent="0.3"/>
    <row r="63305" s="160" customFormat="1" x14ac:dyDescent="0.3"/>
    <row r="63306" s="160" customFormat="1" x14ac:dyDescent="0.3"/>
    <row r="63307" s="160" customFormat="1" x14ac:dyDescent="0.3"/>
    <row r="63308" s="160" customFormat="1" x14ac:dyDescent="0.3"/>
    <row r="63309" s="160" customFormat="1" x14ac:dyDescent="0.3"/>
    <row r="63310" s="160" customFormat="1" x14ac:dyDescent="0.3"/>
    <row r="63311" s="160" customFormat="1" x14ac:dyDescent="0.3"/>
    <row r="63312" s="160" customFormat="1" x14ac:dyDescent="0.3"/>
    <row r="63313" s="160" customFormat="1" x14ac:dyDescent="0.3"/>
    <row r="63314" s="160" customFormat="1" x14ac:dyDescent="0.3"/>
    <row r="63315" s="160" customFormat="1" x14ac:dyDescent="0.3"/>
    <row r="63316" s="160" customFormat="1" x14ac:dyDescent="0.3"/>
    <row r="63317" s="160" customFormat="1" x14ac:dyDescent="0.3"/>
    <row r="63318" s="160" customFormat="1" x14ac:dyDescent="0.3"/>
    <row r="63319" s="160" customFormat="1" x14ac:dyDescent="0.3"/>
    <row r="63320" s="160" customFormat="1" x14ac:dyDescent="0.3"/>
    <row r="63321" s="160" customFormat="1" x14ac:dyDescent="0.3"/>
    <row r="63322" s="160" customFormat="1" x14ac:dyDescent="0.3"/>
    <row r="63323" s="160" customFormat="1" x14ac:dyDescent="0.3"/>
    <row r="63324" s="160" customFormat="1" x14ac:dyDescent="0.3"/>
    <row r="63325" s="160" customFormat="1" x14ac:dyDescent="0.3"/>
    <row r="63326" s="160" customFormat="1" x14ac:dyDescent="0.3"/>
    <row r="63327" s="160" customFormat="1" x14ac:dyDescent="0.3"/>
    <row r="63328" s="160" customFormat="1" x14ac:dyDescent="0.3"/>
    <row r="63329" s="160" customFormat="1" x14ac:dyDescent="0.3"/>
    <row r="63330" s="160" customFormat="1" x14ac:dyDescent="0.3"/>
    <row r="63331" s="160" customFormat="1" x14ac:dyDescent="0.3"/>
    <row r="63332" s="160" customFormat="1" x14ac:dyDescent="0.3"/>
    <row r="63333" s="160" customFormat="1" x14ac:dyDescent="0.3"/>
    <row r="63334" s="160" customFormat="1" x14ac:dyDescent="0.3"/>
    <row r="63335" s="160" customFormat="1" x14ac:dyDescent="0.3"/>
    <row r="63336" s="160" customFormat="1" x14ac:dyDescent="0.3"/>
    <row r="63337" s="160" customFormat="1" x14ac:dyDescent="0.3"/>
    <row r="63338" s="160" customFormat="1" x14ac:dyDescent="0.3"/>
    <row r="63339" s="160" customFormat="1" x14ac:dyDescent="0.3"/>
    <row r="63340" s="160" customFormat="1" x14ac:dyDescent="0.3"/>
    <row r="63341" s="160" customFormat="1" x14ac:dyDescent="0.3"/>
    <row r="63342" s="160" customFormat="1" x14ac:dyDescent="0.3"/>
    <row r="63343" s="160" customFormat="1" x14ac:dyDescent="0.3"/>
    <row r="63344" s="160" customFormat="1" x14ac:dyDescent="0.3"/>
    <row r="63345" s="160" customFormat="1" x14ac:dyDescent="0.3"/>
    <row r="63346" s="160" customFormat="1" x14ac:dyDescent="0.3"/>
    <row r="63347" s="160" customFormat="1" x14ac:dyDescent="0.3"/>
    <row r="63348" s="160" customFormat="1" x14ac:dyDescent="0.3"/>
    <row r="63349" s="160" customFormat="1" x14ac:dyDescent="0.3"/>
    <row r="63350" s="160" customFormat="1" x14ac:dyDescent="0.3"/>
    <row r="63351" s="160" customFormat="1" x14ac:dyDescent="0.3"/>
    <row r="63352" s="160" customFormat="1" x14ac:dyDescent="0.3"/>
    <row r="63353" s="160" customFormat="1" x14ac:dyDescent="0.3"/>
    <row r="63354" s="160" customFormat="1" x14ac:dyDescent="0.3"/>
    <row r="63355" s="160" customFormat="1" x14ac:dyDescent="0.3"/>
    <row r="63356" s="160" customFormat="1" x14ac:dyDescent="0.3"/>
    <row r="63357" s="160" customFormat="1" x14ac:dyDescent="0.3"/>
    <row r="63358" s="160" customFormat="1" x14ac:dyDescent="0.3"/>
    <row r="63359" s="160" customFormat="1" x14ac:dyDescent="0.3"/>
    <row r="63360" s="160" customFormat="1" x14ac:dyDescent="0.3"/>
    <row r="63361" s="160" customFormat="1" x14ac:dyDescent="0.3"/>
    <row r="63362" s="160" customFormat="1" x14ac:dyDescent="0.3"/>
    <row r="63363" s="160" customFormat="1" x14ac:dyDescent="0.3"/>
    <row r="63364" s="160" customFormat="1" x14ac:dyDescent="0.3"/>
    <row r="63365" s="160" customFormat="1" x14ac:dyDescent="0.3"/>
    <row r="63366" s="160" customFormat="1" x14ac:dyDescent="0.3"/>
    <row r="63367" s="160" customFormat="1" x14ac:dyDescent="0.3"/>
    <row r="63368" s="160" customFormat="1" x14ac:dyDescent="0.3"/>
    <row r="63369" s="160" customFormat="1" x14ac:dyDescent="0.3"/>
    <row r="63370" s="160" customFormat="1" x14ac:dyDescent="0.3"/>
    <row r="63371" s="160" customFormat="1" x14ac:dyDescent="0.3"/>
    <row r="63372" s="160" customFormat="1" x14ac:dyDescent="0.3"/>
    <row r="63373" s="160" customFormat="1" x14ac:dyDescent="0.3"/>
    <row r="63374" s="160" customFormat="1" x14ac:dyDescent="0.3"/>
    <row r="63375" s="160" customFormat="1" x14ac:dyDescent="0.3"/>
    <row r="63376" s="160" customFormat="1" x14ac:dyDescent="0.3"/>
    <row r="63377" s="160" customFormat="1" x14ac:dyDescent="0.3"/>
    <row r="63378" s="160" customFormat="1" x14ac:dyDescent="0.3"/>
    <row r="63379" s="160" customFormat="1" x14ac:dyDescent="0.3"/>
    <row r="63380" s="160" customFormat="1" x14ac:dyDescent="0.3"/>
    <row r="63381" s="160" customFormat="1" x14ac:dyDescent="0.3"/>
    <row r="63382" s="160" customFormat="1" x14ac:dyDescent="0.3"/>
    <row r="63383" s="160" customFormat="1" x14ac:dyDescent="0.3"/>
    <row r="63384" s="160" customFormat="1" x14ac:dyDescent="0.3"/>
    <row r="63385" s="160" customFormat="1" x14ac:dyDescent="0.3"/>
    <row r="63386" s="160" customFormat="1" x14ac:dyDescent="0.3"/>
    <row r="63387" s="160" customFormat="1" x14ac:dyDescent="0.3"/>
    <row r="63388" s="160" customFormat="1" x14ac:dyDescent="0.3"/>
    <row r="63389" s="160" customFormat="1" x14ac:dyDescent="0.3"/>
    <row r="63390" s="160" customFormat="1" x14ac:dyDescent="0.3"/>
    <row r="63391" s="160" customFormat="1" x14ac:dyDescent="0.3"/>
    <row r="63392" s="160" customFormat="1" x14ac:dyDescent="0.3"/>
    <row r="63393" s="160" customFormat="1" x14ac:dyDescent="0.3"/>
    <row r="63394" s="160" customFormat="1" x14ac:dyDescent="0.3"/>
    <row r="63395" s="160" customFormat="1" x14ac:dyDescent="0.3"/>
    <row r="63396" s="160" customFormat="1" x14ac:dyDescent="0.3"/>
    <row r="63397" s="160" customFormat="1" x14ac:dyDescent="0.3"/>
    <row r="63398" s="160" customFormat="1" x14ac:dyDescent="0.3"/>
    <row r="63399" s="160" customFormat="1" x14ac:dyDescent="0.3"/>
    <row r="63400" s="160" customFormat="1" x14ac:dyDescent="0.3"/>
    <row r="63401" s="160" customFormat="1" x14ac:dyDescent="0.3"/>
    <row r="63402" s="160" customFormat="1" x14ac:dyDescent="0.3"/>
    <row r="63403" s="160" customFormat="1" x14ac:dyDescent="0.3"/>
    <row r="63404" s="160" customFormat="1" x14ac:dyDescent="0.3"/>
    <row r="63405" s="160" customFormat="1" x14ac:dyDescent="0.3"/>
    <row r="63406" s="160" customFormat="1" x14ac:dyDescent="0.3"/>
    <row r="63407" s="160" customFormat="1" x14ac:dyDescent="0.3"/>
    <row r="63408" s="160" customFormat="1" x14ac:dyDescent="0.3"/>
    <row r="63409" s="160" customFormat="1" x14ac:dyDescent="0.3"/>
    <row r="63410" s="160" customFormat="1" x14ac:dyDescent="0.3"/>
    <row r="63411" s="160" customFormat="1" x14ac:dyDescent="0.3"/>
    <row r="63412" s="160" customFormat="1" x14ac:dyDescent="0.3"/>
    <row r="63413" s="160" customFormat="1" x14ac:dyDescent="0.3"/>
    <row r="63414" s="160" customFormat="1" x14ac:dyDescent="0.3"/>
    <row r="63415" s="160" customFormat="1" x14ac:dyDescent="0.3"/>
    <row r="63416" s="160" customFormat="1" x14ac:dyDescent="0.3"/>
    <row r="63417" s="160" customFormat="1" x14ac:dyDescent="0.3"/>
    <row r="63418" s="160" customFormat="1" x14ac:dyDescent="0.3"/>
    <row r="63419" s="160" customFormat="1" x14ac:dyDescent="0.3"/>
    <row r="63420" s="160" customFormat="1" x14ac:dyDescent="0.3"/>
    <row r="63421" s="160" customFormat="1" x14ac:dyDescent="0.3"/>
    <row r="63422" s="160" customFormat="1" x14ac:dyDescent="0.3"/>
    <row r="63423" s="160" customFormat="1" x14ac:dyDescent="0.3"/>
    <row r="63424" s="160" customFormat="1" x14ac:dyDescent="0.3"/>
    <row r="63425" s="160" customFormat="1" x14ac:dyDescent="0.3"/>
    <row r="63426" s="160" customFormat="1" x14ac:dyDescent="0.3"/>
    <row r="63427" s="160" customFormat="1" x14ac:dyDescent="0.3"/>
    <row r="63428" s="160" customFormat="1" x14ac:dyDescent="0.3"/>
    <row r="63429" s="160" customFormat="1" x14ac:dyDescent="0.3"/>
    <row r="63430" s="160" customFormat="1" x14ac:dyDescent="0.3"/>
    <row r="63431" s="160" customFormat="1" x14ac:dyDescent="0.3"/>
    <row r="63432" s="160" customFormat="1" x14ac:dyDescent="0.3"/>
    <row r="63433" s="160" customFormat="1" x14ac:dyDescent="0.3"/>
    <row r="63434" s="160" customFormat="1" x14ac:dyDescent="0.3"/>
    <row r="63435" s="160" customFormat="1" x14ac:dyDescent="0.3"/>
    <row r="63436" s="160" customFormat="1" x14ac:dyDescent="0.3"/>
    <row r="63437" s="160" customFormat="1" x14ac:dyDescent="0.3"/>
    <row r="63438" s="160" customFormat="1" x14ac:dyDescent="0.3"/>
    <row r="63439" s="160" customFormat="1" x14ac:dyDescent="0.3"/>
    <row r="63440" s="160" customFormat="1" x14ac:dyDescent="0.3"/>
    <row r="63441" s="160" customFormat="1" x14ac:dyDescent="0.3"/>
    <row r="63442" s="160" customFormat="1" x14ac:dyDescent="0.3"/>
    <row r="63443" s="160" customFormat="1" x14ac:dyDescent="0.3"/>
    <row r="63444" s="160" customFormat="1" x14ac:dyDescent="0.3"/>
    <row r="63445" s="160" customFormat="1" x14ac:dyDescent="0.3"/>
    <row r="63446" s="160" customFormat="1" x14ac:dyDescent="0.3"/>
    <row r="63447" s="160" customFormat="1" x14ac:dyDescent="0.3"/>
    <row r="63448" s="160" customFormat="1" x14ac:dyDescent="0.3"/>
    <row r="63449" s="160" customFormat="1" x14ac:dyDescent="0.3"/>
    <row r="63450" s="160" customFormat="1" x14ac:dyDescent="0.3"/>
    <row r="63451" s="160" customFormat="1" x14ac:dyDescent="0.3"/>
    <row r="63452" s="160" customFormat="1" x14ac:dyDescent="0.3"/>
    <row r="63453" s="160" customFormat="1" x14ac:dyDescent="0.3"/>
    <row r="63454" s="160" customFormat="1" x14ac:dyDescent="0.3"/>
    <row r="63455" s="160" customFormat="1" x14ac:dyDescent="0.3"/>
    <row r="63456" s="160" customFormat="1" x14ac:dyDescent="0.3"/>
    <row r="63457" s="160" customFormat="1" x14ac:dyDescent="0.3"/>
    <row r="63458" s="160" customFormat="1" x14ac:dyDescent="0.3"/>
    <row r="63459" s="160" customFormat="1" x14ac:dyDescent="0.3"/>
    <row r="63460" s="160" customFormat="1" x14ac:dyDescent="0.3"/>
    <row r="63461" s="160" customFormat="1" x14ac:dyDescent="0.3"/>
    <row r="63462" s="160" customFormat="1" x14ac:dyDescent="0.3"/>
    <row r="63463" s="160" customFormat="1" x14ac:dyDescent="0.3"/>
    <row r="63464" s="160" customFormat="1" x14ac:dyDescent="0.3"/>
    <row r="63465" s="160" customFormat="1" x14ac:dyDescent="0.3"/>
    <row r="63466" s="160" customFormat="1" x14ac:dyDescent="0.3"/>
    <row r="63467" s="160" customFormat="1" x14ac:dyDescent="0.3"/>
    <row r="63468" s="160" customFormat="1" x14ac:dyDescent="0.3"/>
    <row r="63469" s="160" customFormat="1" x14ac:dyDescent="0.3"/>
    <row r="63470" s="160" customFormat="1" x14ac:dyDescent="0.3"/>
    <row r="63471" s="160" customFormat="1" x14ac:dyDescent="0.3"/>
    <row r="63472" s="160" customFormat="1" x14ac:dyDescent="0.3"/>
    <row r="63473" s="160" customFormat="1" x14ac:dyDescent="0.3"/>
    <row r="63474" s="160" customFormat="1" x14ac:dyDescent="0.3"/>
    <row r="63475" s="160" customFormat="1" x14ac:dyDescent="0.3"/>
    <row r="63476" s="160" customFormat="1" x14ac:dyDescent="0.3"/>
    <row r="63477" s="160" customFormat="1" x14ac:dyDescent="0.3"/>
    <row r="63478" s="160" customFormat="1" x14ac:dyDescent="0.3"/>
    <row r="63479" s="160" customFormat="1" x14ac:dyDescent="0.3"/>
    <row r="63480" s="160" customFormat="1" x14ac:dyDescent="0.3"/>
    <row r="63481" s="160" customFormat="1" x14ac:dyDescent="0.3"/>
    <row r="63482" s="160" customFormat="1" x14ac:dyDescent="0.3"/>
    <row r="63483" s="160" customFormat="1" x14ac:dyDescent="0.3"/>
    <row r="63484" s="160" customFormat="1" x14ac:dyDescent="0.3"/>
    <row r="63485" s="160" customFormat="1" x14ac:dyDescent="0.3"/>
    <row r="63486" s="160" customFormat="1" x14ac:dyDescent="0.3"/>
    <row r="63487" s="160" customFormat="1" x14ac:dyDescent="0.3"/>
    <row r="63488" s="160" customFormat="1" x14ac:dyDescent="0.3"/>
    <row r="63489" s="160" customFormat="1" x14ac:dyDescent="0.3"/>
    <row r="63490" s="160" customFormat="1" x14ac:dyDescent="0.3"/>
    <row r="63491" s="160" customFormat="1" x14ac:dyDescent="0.3"/>
    <row r="63492" s="160" customFormat="1" x14ac:dyDescent="0.3"/>
    <row r="63493" s="160" customFormat="1" x14ac:dyDescent="0.3"/>
    <row r="63494" s="160" customFormat="1" x14ac:dyDescent="0.3"/>
    <row r="63495" s="160" customFormat="1" x14ac:dyDescent="0.3"/>
    <row r="63496" s="160" customFormat="1" x14ac:dyDescent="0.3"/>
    <row r="63497" s="160" customFormat="1" x14ac:dyDescent="0.3"/>
    <row r="63498" s="160" customFormat="1" x14ac:dyDescent="0.3"/>
    <row r="63499" s="160" customFormat="1" x14ac:dyDescent="0.3"/>
    <row r="63500" s="160" customFormat="1" x14ac:dyDescent="0.3"/>
    <row r="63501" s="160" customFormat="1" x14ac:dyDescent="0.3"/>
    <row r="63502" s="160" customFormat="1" x14ac:dyDescent="0.3"/>
    <row r="63503" s="160" customFormat="1" x14ac:dyDescent="0.3"/>
    <row r="63504" s="160" customFormat="1" x14ac:dyDescent="0.3"/>
    <row r="63505" s="160" customFormat="1" x14ac:dyDescent="0.3"/>
    <row r="63506" s="160" customFormat="1" x14ac:dyDescent="0.3"/>
    <row r="63507" s="160" customFormat="1" x14ac:dyDescent="0.3"/>
    <row r="63508" s="160" customFormat="1" x14ac:dyDescent="0.3"/>
    <row r="63509" s="160" customFormat="1" x14ac:dyDescent="0.3"/>
    <row r="63510" s="160" customFormat="1" x14ac:dyDescent="0.3"/>
    <row r="63511" s="160" customFormat="1" x14ac:dyDescent="0.3"/>
    <row r="63512" s="160" customFormat="1" x14ac:dyDescent="0.3"/>
    <row r="63513" s="160" customFormat="1" x14ac:dyDescent="0.3"/>
    <row r="63514" s="160" customFormat="1" x14ac:dyDescent="0.3"/>
    <row r="63515" s="160" customFormat="1" x14ac:dyDescent="0.3"/>
    <row r="63516" s="160" customFormat="1" x14ac:dyDescent="0.3"/>
    <row r="63517" s="160" customFormat="1" x14ac:dyDescent="0.3"/>
    <row r="63518" s="160" customFormat="1" x14ac:dyDescent="0.3"/>
    <row r="63519" s="160" customFormat="1" x14ac:dyDescent="0.3"/>
    <row r="63520" s="160" customFormat="1" x14ac:dyDescent="0.3"/>
    <row r="63521" s="160" customFormat="1" x14ac:dyDescent="0.3"/>
    <row r="63522" s="160" customFormat="1" x14ac:dyDescent="0.3"/>
    <row r="63523" s="160" customFormat="1" x14ac:dyDescent="0.3"/>
    <row r="63524" s="160" customFormat="1" x14ac:dyDescent="0.3"/>
    <row r="63525" s="160" customFormat="1" x14ac:dyDescent="0.3"/>
    <row r="63526" s="160" customFormat="1" x14ac:dyDescent="0.3"/>
    <row r="63527" s="160" customFormat="1" x14ac:dyDescent="0.3"/>
    <row r="63528" s="160" customFormat="1" x14ac:dyDescent="0.3"/>
    <row r="63529" s="160" customFormat="1" x14ac:dyDescent="0.3"/>
    <row r="63530" s="160" customFormat="1" x14ac:dyDescent="0.3"/>
    <row r="63531" s="160" customFormat="1" x14ac:dyDescent="0.3"/>
    <row r="63532" s="160" customFormat="1" x14ac:dyDescent="0.3"/>
    <row r="63533" s="160" customFormat="1" x14ac:dyDescent="0.3"/>
    <row r="63534" s="160" customFormat="1" x14ac:dyDescent="0.3"/>
    <row r="63535" s="160" customFormat="1" x14ac:dyDescent="0.3"/>
    <row r="63536" s="160" customFormat="1" x14ac:dyDescent="0.3"/>
    <row r="63537" s="160" customFormat="1" x14ac:dyDescent="0.3"/>
    <row r="63538" s="160" customFormat="1" x14ac:dyDescent="0.3"/>
    <row r="63539" s="160" customFormat="1" x14ac:dyDescent="0.3"/>
    <row r="63540" s="160" customFormat="1" x14ac:dyDescent="0.3"/>
    <row r="63541" s="160" customFormat="1" x14ac:dyDescent="0.3"/>
    <row r="63542" s="160" customFormat="1" x14ac:dyDescent="0.3"/>
    <row r="63543" s="160" customFormat="1" x14ac:dyDescent="0.3"/>
    <row r="63544" s="160" customFormat="1" x14ac:dyDescent="0.3"/>
    <row r="63545" s="160" customFormat="1" x14ac:dyDescent="0.3"/>
    <row r="63546" s="160" customFormat="1" x14ac:dyDescent="0.3"/>
    <row r="63547" s="160" customFormat="1" x14ac:dyDescent="0.3"/>
    <row r="63548" s="160" customFormat="1" x14ac:dyDescent="0.3"/>
    <row r="63549" s="160" customFormat="1" x14ac:dyDescent="0.3"/>
    <row r="63550" s="160" customFormat="1" x14ac:dyDescent="0.3"/>
    <row r="63551" s="160" customFormat="1" x14ac:dyDescent="0.3"/>
    <row r="63552" s="160" customFormat="1" x14ac:dyDescent="0.3"/>
    <row r="63553" s="160" customFormat="1" x14ac:dyDescent="0.3"/>
    <row r="63554" s="160" customFormat="1" x14ac:dyDescent="0.3"/>
    <row r="63555" s="160" customFormat="1" x14ac:dyDescent="0.3"/>
    <row r="63556" s="160" customFormat="1" x14ac:dyDescent="0.3"/>
    <row r="63557" s="160" customFormat="1" x14ac:dyDescent="0.3"/>
    <row r="63558" s="160" customFormat="1" x14ac:dyDescent="0.3"/>
    <row r="63559" s="160" customFormat="1" x14ac:dyDescent="0.3"/>
    <row r="63560" s="160" customFormat="1" x14ac:dyDescent="0.3"/>
    <row r="63561" s="160" customFormat="1" x14ac:dyDescent="0.3"/>
    <row r="63562" s="160" customFormat="1" x14ac:dyDescent="0.3"/>
    <row r="63563" s="160" customFormat="1" x14ac:dyDescent="0.3"/>
    <row r="63564" s="160" customFormat="1" x14ac:dyDescent="0.3"/>
    <row r="63565" s="160" customFormat="1" x14ac:dyDescent="0.3"/>
    <row r="63566" s="160" customFormat="1" x14ac:dyDescent="0.3"/>
    <row r="63567" s="160" customFormat="1" x14ac:dyDescent="0.3"/>
    <row r="63568" s="160" customFormat="1" x14ac:dyDescent="0.3"/>
    <row r="63569" s="160" customFormat="1" x14ac:dyDescent="0.3"/>
    <row r="63570" s="160" customFormat="1" x14ac:dyDescent="0.3"/>
    <row r="63571" s="160" customFormat="1" x14ac:dyDescent="0.3"/>
    <row r="63572" s="160" customFormat="1" x14ac:dyDescent="0.3"/>
    <row r="63573" s="160" customFormat="1" x14ac:dyDescent="0.3"/>
    <row r="63574" s="160" customFormat="1" x14ac:dyDescent="0.3"/>
    <row r="63575" s="160" customFormat="1" x14ac:dyDescent="0.3"/>
    <row r="63576" s="160" customFormat="1" x14ac:dyDescent="0.3"/>
    <row r="63577" s="160" customFormat="1" x14ac:dyDescent="0.3"/>
    <row r="63578" s="160" customFormat="1" x14ac:dyDescent="0.3"/>
    <row r="63579" s="160" customFormat="1" x14ac:dyDescent="0.3"/>
    <row r="63580" s="160" customFormat="1" x14ac:dyDescent="0.3"/>
    <row r="63581" s="160" customFormat="1" x14ac:dyDescent="0.3"/>
    <row r="63582" s="160" customFormat="1" x14ac:dyDescent="0.3"/>
    <row r="63583" s="160" customFormat="1" x14ac:dyDescent="0.3"/>
    <row r="63584" s="160" customFormat="1" x14ac:dyDescent="0.3"/>
    <row r="63585" s="160" customFormat="1" x14ac:dyDescent="0.3"/>
    <row r="63586" s="160" customFormat="1" x14ac:dyDescent="0.3"/>
    <row r="63587" s="160" customFormat="1" x14ac:dyDescent="0.3"/>
    <row r="63588" s="160" customFormat="1" x14ac:dyDescent="0.3"/>
    <row r="63589" s="160" customFormat="1" x14ac:dyDescent="0.3"/>
    <row r="63590" s="160" customFormat="1" x14ac:dyDescent="0.3"/>
    <row r="63591" s="160" customFormat="1" x14ac:dyDescent="0.3"/>
    <row r="63592" s="160" customFormat="1" x14ac:dyDescent="0.3"/>
    <row r="63593" s="160" customFormat="1" x14ac:dyDescent="0.3"/>
    <row r="63594" s="160" customFormat="1" x14ac:dyDescent="0.3"/>
    <row r="63595" s="160" customFormat="1" x14ac:dyDescent="0.3"/>
    <row r="63596" s="160" customFormat="1" x14ac:dyDescent="0.3"/>
    <row r="63597" s="160" customFormat="1" x14ac:dyDescent="0.3"/>
    <row r="63598" s="160" customFormat="1" x14ac:dyDescent="0.3"/>
    <row r="63599" s="160" customFormat="1" x14ac:dyDescent="0.3"/>
    <row r="63600" s="160" customFormat="1" x14ac:dyDescent="0.3"/>
    <row r="63601" s="160" customFormat="1" x14ac:dyDescent="0.3"/>
    <row r="63602" s="160" customFormat="1" x14ac:dyDescent="0.3"/>
    <row r="63603" s="160" customFormat="1" x14ac:dyDescent="0.3"/>
    <row r="63604" s="160" customFormat="1" x14ac:dyDescent="0.3"/>
    <row r="63605" s="160" customFormat="1" x14ac:dyDescent="0.3"/>
    <row r="63606" s="160" customFormat="1" x14ac:dyDescent="0.3"/>
    <row r="63607" s="160" customFormat="1" x14ac:dyDescent="0.3"/>
    <row r="63608" s="160" customFormat="1" x14ac:dyDescent="0.3"/>
    <row r="63609" s="160" customFormat="1" x14ac:dyDescent="0.3"/>
    <row r="63610" s="160" customFormat="1" x14ac:dyDescent="0.3"/>
    <row r="63611" s="160" customFormat="1" x14ac:dyDescent="0.3"/>
    <row r="63612" s="160" customFormat="1" x14ac:dyDescent="0.3"/>
    <row r="63613" s="160" customFormat="1" x14ac:dyDescent="0.3"/>
    <row r="63614" s="160" customFormat="1" x14ac:dyDescent="0.3"/>
    <row r="63615" s="160" customFormat="1" x14ac:dyDescent="0.3"/>
    <row r="63616" s="160" customFormat="1" x14ac:dyDescent="0.3"/>
    <row r="63617" s="160" customFormat="1" x14ac:dyDescent="0.3"/>
    <row r="63618" s="160" customFormat="1" x14ac:dyDescent="0.3"/>
    <row r="63619" s="160" customFormat="1" x14ac:dyDescent="0.3"/>
    <row r="63620" s="160" customFormat="1" x14ac:dyDescent="0.3"/>
    <row r="63621" s="160" customFormat="1" x14ac:dyDescent="0.3"/>
    <row r="63622" s="160" customFormat="1" x14ac:dyDescent="0.3"/>
    <row r="63623" s="160" customFormat="1" x14ac:dyDescent="0.3"/>
    <row r="63624" s="160" customFormat="1" x14ac:dyDescent="0.3"/>
    <row r="63625" s="160" customFormat="1" x14ac:dyDescent="0.3"/>
    <row r="63626" s="160" customFormat="1" x14ac:dyDescent="0.3"/>
    <row r="63627" s="160" customFormat="1" x14ac:dyDescent="0.3"/>
    <row r="63628" s="160" customFormat="1" x14ac:dyDescent="0.3"/>
    <row r="63629" s="160" customFormat="1" x14ac:dyDescent="0.3"/>
    <row r="63630" s="160" customFormat="1" x14ac:dyDescent="0.3"/>
    <row r="63631" s="160" customFormat="1" x14ac:dyDescent="0.3"/>
    <row r="63632" s="160" customFormat="1" x14ac:dyDescent="0.3"/>
    <row r="63633" s="160" customFormat="1" x14ac:dyDescent="0.3"/>
    <row r="63634" s="160" customFormat="1" x14ac:dyDescent="0.3"/>
    <row r="63635" s="160" customFormat="1" x14ac:dyDescent="0.3"/>
    <row r="63636" s="160" customFormat="1" x14ac:dyDescent="0.3"/>
    <row r="63637" s="160" customFormat="1" x14ac:dyDescent="0.3"/>
    <row r="63638" s="160" customFormat="1" x14ac:dyDescent="0.3"/>
    <row r="63639" s="160" customFormat="1" x14ac:dyDescent="0.3"/>
    <row r="63640" s="160" customFormat="1" x14ac:dyDescent="0.3"/>
    <row r="63641" s="160" customFormat="1" x14ac:dyDescent="0.3"/>
    <row r="63642" s="160" customFormat="1" x14ac:dyDescent="0.3"/>
    <row r="63643" s="160" customFormat="1" x14ac:dyDescent="0.3"/>
    <row r="63644" s="160" customFormat="1" x14ac:dyDescent="0.3"/>
    <row r="63645" s="160" customFormat="1" x14ac:dyDescent="0.3"/>
    <row r="63646" s="160" customFormat="1" x14ac:dyDescent="0.3"/>
    <row r="63647" s="160" customFormat="1" x14ac:dyDescent="0.3"/>
    <row r="63648" s="160" customFormat="1" x14ac:dyDescent="0.3"/>
    <row r="63649" s="160" customFormat="1" x14ac:dyDescent="0.3"/>
    <row r="63650" s="160" customFormat="1" x14ac:dyDescent="0.3"/>
    <row r="63651" s="160" customFormat="1" x14ac:dyDescent="0.3"/>
    <row r="63652" s="160" customFormat="1" x14ac:dyDescent="0.3"/>
    <row r="63653" s="160" customFormat="1" x14ac:dyDescent="0.3"/>
    <row r="63654" s="160" customFormat="1" x14ac:dyDescent="0.3"/>
    <row r="63655" s="160" customFormat="1" x14ac:dyDescent="0.3"/>
    <row r="63656" s="160" customFormat="1" x14ac:dyDescent="0.3"/>
    <row r="63657" s="160" customFormat="1" x14ac:dyDescent="0.3"/>
    <row r="63658" s="160" customFormat="1" x14ac:dyDescent="0.3"/>
    <row r="63659" s="160" customFormat="1" x14ac:dyDescent="0.3"/>
    <row r="63660" s="160" customFormat="1" x14ac:dyDescent="0.3"/>
    <row r="63661" s="160" customFormat="1" x14ac:dyDescent="0.3"/>
    <row r="63662" s="160" customFormat="1" x14ac:dyDescent="0.3"/>
    <row r="63663" s="160" customFormat="1" x14ac:dyDescent="0.3"/>
    <row r="63664" s="160" customFormat="1" x14ac:dyDescent="0.3"/>
    <row r="63665" s="160" customFormat="1" x14ac:dyDescent="0.3"/>
    <row r="63666" s="160" customFormat="1" x14ac:dyDescent="0.3"/>
    <row r="63667" s="160" customFormat="1" x14ac:dyDescent="0.3"/>
    <row r="63668" s="160" customFormat="1" x14ac:dyDescent="0.3"/>
    <row r="63669" s="160" customFormat="1" x14ac:dyDescent="0.3"/>
    <row r="63670" s="160" customFormat="1" x14ac:dyDescent="0.3"/>
    <row r="63671" s="160" customFormat="1" x14ac:dyDescent="0.3"/>
    <row r="63672" s="160" customFormat="1" x14ac:dyDescent="0.3"/>
    <row r="63673" s="160" customFormat="1" x14ac:dyDescent="0.3"/>
    <row r="63674" s="160" customFormat="1" x14ac:dyDescent="0.3"/>
    <row r="63675" s="160" customFormat="1" x14ac:dyDescent="0.3"/>
    <row r="63676" s="160" customFormat="1" x14ac:dyDescent="0.3"/>
    <row r="63677" s="160" customFormat="1" x14ac:dyDescent="0.3"/>
    <row r="63678" s="160" customFormat="1" x14ac:dyDescent="0.3"/>
    <row r="63679" s="160" customFormat="1" x14ac:dyDescent="0.3"/>
    <row r="63680" s="160" customFormat="1" x14ac:dyDescent="0.3"/>
    <row r="63681" s="160" customFormat="1" x14ac:dyDescent="0.3"/>
    <row r="63682" s="160" customFormat="1" x14ac:dyDescent="0.3"/>
    <row r="63683" s="160" customFormat="1" x14ac:dyDescent="0.3"/>
    <row r="63684" s="160" customFormat="1" x14ac:dyDescent="0.3"/>
    <row r="63685" s="160" customFormat="1" x14ac:dyDescent="0.3"/>
    <row r="63686" s="160" customFormat="1" x14ac:dyDescent="0.3"/>
    <row r="63687" s="160" customFormat="1" x14ac:dyDescent="0.3"/>
    <row r="63688" s="160" customFormat="1" x14ac:dyDescent="0.3"/>
    <row r="63689" s="160" customFormat="1" x14ac:dyDescent="0.3"/>
    <row r="63690" s="160" customFormat="1" x14ac:dyDescent="0.3"/>
    <row r="63691" s="160" customFormat="1" x14ac:dyDescent="0.3"/>
    <row r="63692" s="160" customFormat="1" x14ac:dyDescent="0.3"/>
    <row r="63693" s="160" customFormat="1" x14ac:dyDescent="0.3"/>
    <row r="63694" s="160" customFormat="1" x14ac:dyDescent="0.3"/>
    <row r="63695" s="160" customFormat="1" x14ac:dyDescent="0.3"/>
    <row r="63696" s="160" customFormat="1" x14ac:dyDescent="0.3"/>
    <row r="63697" s="160" customFormat="1" x14ac:dyDescent="0.3"/>
    <row r="63698" s="160" customFormat="1" x14ac:dyDescent="0.3"/>
    <row r="63699" s="160" customFormat="1" x14ac:dyDescent="0.3"/>
    <row r="63700" s="160" customFormat="1" x14ac:dyDescent="0.3"/>
    <row r="63701" s="160" customFormat="1" x14ac:dyDescent="0.3"/>
    <row r="63702" s="160" customFormat="1" x14ac:dyDescent="0.3"/>
    <row r="63703" s="160" customFormat="1" x14ac:dyDescent="0.3"/>
    <row r="63704" s="160" customFormat="1" x14ac:dyDescent="0.3"/>
    <row r="63705" s="160" customFormat="1" x14ac:dyDescent="0.3"/>
    <row r="63706" s="160" customFormat="1" x14ac:dyDescent="0.3"/>
    <row r="63707" s="160" customFormat="1" x14ac:dyDescent="0.3"/>
    <row r="63708" s="160" customFormat="1" x14ac:dyDescent="0.3"/>
    <row r="63709" s="160" customFormat="1" x14ac:dyDescent="0.3"/>
    <row r="63710" s="160" customFormat="1" x14ac:dyDescent="0.3"/>
    <row r="63711" s="160" customFormat="1" x14ac:dyDescent="0.3"/>
    <row r="63712" s="160" customFormat="1" x14ac:dyDescent="0.3"/>
    <row r="63713" s="160" customFormat="1" x14ac:dyDescent="0.3"/>
    <row r="63714" s="160" customFormat="1" x14ac:dyDescent="0.3"/>
    <row r="63715" s="160" customFormat="1" x14ac:dyDescent="0.3"/>
    <row r="63716" s="160" customFormat="1" x14ac:dyDescent="0.3"/>
    <row r="63717" s="160" customFormat="1" x14ac:dyDescent="0.3"/>
    <row r="63718" s="160" customFormat="1" x14ac:dyDescent="0.3"/>
    <row r="63719" s="160" customFormat="1" x14ac:dyDescent="0.3"/>
    <row r="63720" s="160" customFormat="1" x14ac:dyDescent="0.3"/>
    <row r="63721" s="160" customFormat="1" x14ac:dyDescent="0.3"/>
    <row r="63722" s="160" customFormat="1" x14ac:dyDescent="0.3"/>
    <row r="63723" s="160" customFormat="1" x14ac:dyDescent="0.3"/>
    <row r="63724" s="160" customFormat="1" x14ac:dyDescent="0.3"/>
    <row r="63725" s="160" customFormat="1" x14ac:dyDescent="0.3"/>
    <row r="63726" s="160" customFormat="1" x14ac:dyDescent="0.3"/>
    <row r="63727" s="160" customFormat="1" x14ac:dyDescent="0.3"/>
    <row r="63728" s="160" customFormat="1" x14ac:dyDescent="0.3"/>
    <row r="63729" s="160" customFormat="1" x14ac:dyDescent="0.3"/>
    <row r="63730" s="160" customFormat="1" x14ac:dyDescent="0.3"/>
    <row r="63731" s="160" customFormat="1" x14ac:dyDescent="0.3"/>
    <row r="63732" s="160" customFormat="1" x14ac:dyDescent="0.3"/>
    <row r="63733" s="160" customFormat="1" x14ac:dyDescent="0.3"/>
    <row r="63734" s="160" customFormat="1" x14ac:dyDescent="0.3"/>
    <row r="63735" s="160" customFormat="1" x14ac:dyDescent="0.3"/>
    <row r="63736" s="160" customFormat="1" x14ac:dyDescent="0.3"/>
    <row r="63737" s="160" customFormat="1" x14ac:dyDescent="0.3"/>
    <row r="63738" s="160" customFormat="1" x14ac:dyDescent="0.3"/>
    <row r="63739" s="160" customFormat="1" x14ac:dyDescent="0.3"/>
    <row r="63740" s="160" customFormat="1" x14ac:dyDescent="0.3"/>
    <row r="63741" s="160" customFormat="1" x14ac:dyDescent="0.3"/>
    <row r="63742" s="160" customFormat="1" x14ac:dyDescent="0.3"/>
    <row r="63743" s="160" customFormat="1" x14ac:dyDescent="0.3"/>
    <row r="63744" s="160" customFormat="1" x14ac:dyDescent="0.3"/>
    <row r="63745" s="160" customFormat="1" x14ac:dyDescent="0.3"/>
    <row r="63746" s="160" customFormat="1" x14ac:dyDescent="0.3"/>
    <row r="63747" s="160" customFormat="1" x14ac:dyDescent="0.3"/>
    <row r="63748" s="160" customFormat="1" x14ac:dyDescent="0.3"/>
    <row r="63749" s="160" customFormat="1" x14ac:dyDescent="0.3"/>
    <row r="63750" s="160" customFormat="1" x14ac:dyDescent="0.3"/>
    <row r="63751" s="160" customFormat="1" x14ac:dyDescent="0.3"/>
    <row r="63752" s="160" customFormat="1" x14ac:dyDescent="0.3"/>
    <row r="63753" s="160" customFormat="1" x14ac:dyDescent="0.3"/>
    <row r="63754" s="160" customFormat="1" x14ac:dyDescent="0.3"/>
    <row r="63755" s="160" customFormat="1" x14ac:dyDescent="0.3"/>
    <row r="63756" s="160" customFormat="1" x14ac:dyDescent="0.3"/>
    <row r="63757" s="160" customFormat="1" x14ac:dyDescent="0.3"/>
    <row r="63758" s="160" customFormat="1" x14ac:dyDescent="0.3"/>
    <row r="63759" s="160" customFormat="1" x14ac:dyDescent="0.3"/>
    <row r="63760" s="160" customFormat="1" x14ac:dyDescent="0.3"/>
    <row r="63761" s="160" customFormat="1" x14ac:dyDescent="0.3"/>
    <row r="63762" s="160" customFormat="1" x14ac:dyDescent="0.3"/>
    <row r="63763" s="160" customFormat="1" x14ac:dyDescent="0.3"/>
    <row r="63764" s="160" customFormat="1" x14ac:dyDescent="0.3"/>
    <row r="63765" s="160" customFormat="1" x14ac:dyDescent="0.3"/>
    <row r="63766" s="160" customFormat="1" x14ac:dyDescent="0.3"/>
    <row r="63767" s="160" customFormat="1" x14ac:dyDescent="0.3"/>
    <row r="63768" s="160" customFormat="1" x14ac:dyDescent="0.3"/>
    <row r="63769" s="160" customFormat="1" x14ac:dyDescent="0.3"/>
    <row r="63770" s="160" customFormat="1" x14ac:dyDescent="0.3"/>
    <row r="63771" s="160" customFormat="1" x14ac:dyDescent="0.3"/>
    <row r="63772" s="160" customFormat="1" x14ac:dyDescent="0.3"/>
    <row r="63773" s="160" customFormat="1" x14ac:dyDescent="0.3"/>
    <row r="63774" s="160" customFormat="1" x14ac:dyDescent="0.3"/>
    <row r="63775" s="160" customFormat="1" x14ac:dyDescent="0.3"/>
    <row r="63776" s="160" customFormat="1" x14ac:dyDescent="0.3"/>
    <row r="63777" s="160" customFormat="1" x14ac:dyDescent="0.3"/>
    <row r="63778" s="160" customFormat="1" x14ac:dyDescent="0.3"/>
    <row r="63779" s="160" customFormat="1" x14ac:dyDescent="0.3"/>
    <row r="63780" s="160" customFormat="1" x14ac:dyDescent="0.3"/>
    <row r="63781" s="160" customFormat="1" x14ac:dyDescent="0.3"/>
    <row r="63782" s="160" customFormat="1" x14ac:dyDescent="0.3"/>
    <row r="63783" s="160" customFormat="1" x14ac:dyDescent="0.3"/>
    <row r="63784" s="160" customFormat="1" x14ac:dyDescent="0.3"/>
    <row r="63785" s="160" customFormat="1" x14ac:dyDescent="0.3"/>
    <row r="63786" s="160" customFormat="1" x14ac:dyDescent="0.3"/>
    <row r="63787" s="160" customFormat="1" x14ac:dyDescent="0.3"/>
    <row r="63788" s="160" customFormat="1" x14ac:dyDescent="0.3"/>
    <row r="63789" s="160" customFormat="1" x14ac:dyDescent="0.3"/>
    <row r="63790" s="160" customFormat="1" x14ac:dyDescent="0.3"/>
    <row r="63791" s="160" customFormat="1" x14ac:dyDescent="0.3"/>
    <row r="63792" s="160" customFormat="1" x14ac:dyDescent="0.3"/>
    <row r="63793" s="160" customFormat="1" x14ac:dyDescent="0.3"/>
    <row r="63794" s="160" customFormat="1" x14ac:dyDescent="0.3"/>
    <row r="63795" s="160" customFormat="1" x14ac:dyDescent="0.3"/>
    <row r="63796" s="160" customFormat="1" x14ac:dyDescent="0.3"/>
    <row r="63797" s="160" customFormat="1" x14ac:dyDescent="0.3"/>
    <row r="63798" s="160" customFormat="1" x14ac:dyDescent="0.3"/>
    <row r="63799" s="160" customFormat="1" x14ac:dyDescent="0.3"/>
    <row r="63800" s="160" customFormat="1" x14ac:dyDescent="0.3"/>
    <row r="63801" s="160" customFormat="1" x14ac:dyDescent="0.3"/>
    <row r="63802" s="160" customFormat="1" x14ac:dyDescent="0.3"/>
    <row r="63803" s="160" customFormat="1" x14ac:dyDescent="0.3"/>
    <row r="63804" s="160" customFormat="1" x14ac:dyDescent="0.3"/>
    <row r="63805" s="160" customFormat="1" x14ac:dyDescent="0.3"/>
    <row r="63806" s="160" customFormat="1" x14ac:dyDescent="0.3"/>
    <row r="63807" s="160" customFormat="1" x14ac:dyDescent="0.3"/>
    <row r="63808" s="160" customFormat="1" x14ac:dyDescent="0.3"/>
    <row r="63809" s="160" customFormat="1" x14ac:dyDescent="0.3"/>
    <row r="63810" s="160" customFormat="1" x14ac:dyDescent="0.3"/>
    <row r="63811" s="160" customFormat="1" x14ac:dyDescent="0.3"/>
    <row r="63812" s="160" customFormat="1" x14ac:dyDescent="0.3"/>
    <row r="63813" s="160" customFormat="1" x14ac:dyDescent="0.3"/>
    <row r="63814" s="160" customFormat="1" x14ac:dyDescent="0.3"/>
    <row r="63815" s="160" customFormat="1" x14ac:dyDescent="0.3"/>
    <row r="63816" s="160" customFormat="1" x14ac:dyDescent="0.3"/>
    <row r="63817" s="160" customFormat="1" x14ac:dyDescent="0.3"/>
    <row r="63818" s="160" customFormat="1" x14ac:dyDescent="0.3"/>
    <row r="63819" s="160" customFormat="1" x14ac:dyDescent="0.3"/>
    <row r="63820" s="160" customFormat="1" x14ac:dyDescent="0.3"/>
    <row r="63821" s="160" customFormat="1" x14ac:dyDescent="0.3"/>
    <row r="63822" s="160" customFormat="1" x14ac:dyDescent="0.3"/>
    <row r="63823" s="160" customFormat="1" x14ac:dyDescent="0.3"/>
    <row r="63824" s="160" customFormat="1" x14ac:dyDescent="0.3"/>
    <row r="63825" s="160" customFormat="1" x14ac:dyDescent="0.3"/>
    <row r="63826" s="160" customFormat="1" x14ac:dyDescent="0.3"/>
    <row r="63827" s="160" customFormat="1" x14ac:dyDescent="0.3"/>
    <row r="63828" s="160" customFormat="1" x14ac:dyDescent="0.3"/>
    <row r="63829" s="160" customFormat="1" x14ac:dyDescent="0.3"/>
    <row r="63830" s="160" customFormat="1" x14ac:dyDescent="0.3"/>
    <row r="63831" s="160" customFormat="1" x14ac:dyDescent="0.3"/>
    <row r="63832" s="160" customFormat="1" x14ac:dyDescent="0.3"/>
    <row r="63833" s="160" customFormat="1" x14ac:dyDescent="0.3"/>
    <row r="63834" s="160" customFormat="1" x14ac:dyDescent="0.3"/>
    <row r="63835" s="160" customFormat="1" x14ac:dyDescent="0.3"/>
    <row r="63836" s="160" customFormat="1" x14ac:dyDescent="0.3"/>
    <row r="63837" s="160" customFormat="1" x14ac:dyDescent="0.3"/>
    <row r="63838" s="160" customFormat="1" x14ac:dyDescent="0.3"/>
    <row r="63839" s="160" customFormat="1" x14ac:dyDescent="0.3"/>
    <row r="63840" s="160" customFormat="1" x14ac:dyDescent="0.3"/>
    <row r="63841" s="160" customFormat="1" x14ac:dyDescent="0.3"/>
    <row r="63842" s="160" customFormat="1" x14ac:dyDescent="0.3"/>
    <row r="63843" s="160" customFormat="1" x14ac:dyDescent="0.3"/>
    <row r="63844" s="160" customFormat="1" x14ac:dyDescent="0.3"/>
    <row r="63845" s="160" customFormat="1" x14ac:dyDescent="0.3"/>
    <row r="63846" s="160" customFormat="1" x14ac:dyDescent="0.3"/>
    <row r="63847" s="160" customFormat="1" x14ac:dyDescent="0.3"/>
    <row r="63848" s="160" customFormat="1" x14ac:dyDescent="0.3"/>
    <row r="63849" s="160" customFormat="1" x14ac:dyDescent="0.3"/>
    <row r="63850" s="160" customFormat="1" x14ac:dyDescent="0.3"/>
    <row r="63851" s="160" customFormat="1" x14ac:dyDescent="0.3"/>
    <row r="63852" s="160" customFormat="1" x14ac:dyDescent="0.3"/>
    <row r="63853" s="160" customFormat="1" x14ac:dyDescent="0.3"/>
    <row r="63854" s="160" customFormat="1" x14ac:dyDescent="0.3"/>
    <row r="63855" s="160" customFormat="1" x14ac:dyDescent="0.3"/>
    <row r="63856" s="160" customFormat="1" x14ac:dyDescent="0.3"/>
    <row r="63857" s="160" customFormat="1" x14ac:dyDescent="0.3"/>
    <row r="63858" s="160" customFormat="1" x14ac:dyDescent="0.3"/>
    <row r="63859" s="160" customFormat="1" x14ac:dyDescent="0.3"/>
    <row r="63860" s="160" customFormat="1" x14ac:dyDescent="0.3"/>
    <row r="63861" s="160" customFormat="1" x14ac:dyDescent="0.3"/>
    <row r="63862" s="160" customFormat="1" x14ac:dyDescent="0.3"/>
    <row r="63863" s="160" customFormat="1" x14ac:dyDescent="0.3"/>
    <row r="63864" s="160" customFormat="1" x14ac:dyDescent="0.3"/>
    <row r="63865" s="160" customFormat="1" x14ac:dyDescent="0.3"/>
    <row r="63866" s="160" customFormat="1" x14ac:dyDescent="0.3"/>
    <row r="63867" s="160" customFormat="1" x14ac:dyDescent="0.3"/>
    <row r="63868" s="160" customFormat="1" x14ac:dyDescent="0.3"/>
    <row r="63869" s="160" customFormat="1" x14ac:dyDescent="0.3"/>
    <row r="63870" s="160" customFormat="1" x14ac:dyDescent="0.3"/>
    <row r="63871" s="160" customFormat="1" x14ac:dyDescent="0.3"/>
    <row r="63872" s="160" customFormat="1" x14ac:dyDescent="0.3"/>
    <row r="63873" s="160" customFormat="1" x14ac:dyDescent="0.3"/>
    <row r="63874" s="160" customFormat="1" x14ac:dyDescent="0.3"/>
    <row r="63875" s="160" customFormat="1" x14ac:dyDescent="0.3"/>
    <row r="63876" s="160" customFormat="1" x14ac:dyDescent="0.3"/>
    <row r="63877" s="160" customFormat="1" x14ac:dyDescent="0.3"/>
    <row r="63878" s="160" customFormat="1" x14ac:dyDescent="0.3"/>
    <row r="63879" s="160" customFormat="1" x14ac:dyDescent="0.3"/>
    <row r="63880" s="160" customFormat="1" x14ac:dyDescent="0.3"/>
    <row r="63881" s="160" customFormat="1" x14ac:dyDescent="0.3"/>
    <row r="63882" s="160" customFormat="1" x14ac:dyDescent="0.3"/>
    <row r="63883" s="160" customFormat="1" x14ac:dyDescent="0.3"/>
    <row r="63884" s="160" customFormat="1" x14ac:dyDescent="0.3"/>
    <row r="63885" s="160" customFormat="1" x14ac:dyDescent="0.3"/>
    <row r="63886" s="160" customFormat="1" x14ac:dyDescent="0.3"/>
    <row r="63887" s="160" customFormat="1" x14ac:dyDescent="0.3"/>
    <row r="63888" s="160" customFormat="1" x14ac:dyDescent="0.3"/>
    <row r="63889" s="160" customFormat="1" x14ac:dyDescent="0.3"/>
    <row r="63890" s="160" customFormat="1" x14ac:dyDescent="0.3"/>
    <row r="63891" s="160" customFormat="1" x14ac:dyDescent="0.3"/>
    <row r="63892" s="160" customFormat="1" x14ac:dyDescent="0.3"/>
    <row r="63893" s="160" customFormat="1" x14ac:dyDescent="0.3"/>
    <row r="63894" s="160" customFormat="1" x14ac:dyDescent="0.3"/>
    <row r="63895" s="160" customFormat="1" x14ac:dyDescent="0.3"/>
    <row r="63896" s="160" customFormat="1" x14ac:dyDescent="0.3"/>
    <row r="63897" s="160" customFormat="1" x14ac:dyDescent="0.3"/>
    <row r="63898" s="160" customFormat="1" x14ac:dyDescent="0.3"/>
    <row r="63899" s="160" customFormat="1" x14ac:dyDescent="0.3"/>
    <row r="63900" s="160" customFormat="1" x14ac:dyDescent="0.3"/>
    <row r="63901" s="160" customFormat="1" x14ac:dyDescent="0.3"/>
    <row r="63902" s="160" customFormat="1" x14ac:dyDescent="0.3"/>
    <row r="63903" s="160" customFormat="1" x14ac:dyDescent="0.3"/>
    <row r="63904" s="160" customFormat="1" x14ac:dyDescent="0.3"/>
    <row r="63905" s="160" customFormat="1" x14ac:dyDescent="0.3"/>
    <row r="63906" s="160" customFormat="1" x14ac:dyDescent="0.3"/>
    <row r="63907" s="160" customFormat="1" x14ac:dyDescent="0.3"/>
    <row r="63908" s="160" customFormat="1" x14ac:dyDescent="0.3"/>
    <row r="63909" s="160" customFormat="1" x14ac:dyDescent="0.3"/>
    <row r="63910" s="160" customFormat="1" x14ac:dyDescent="0.3"/>
    <row r="63911" s="160" customFormat="1" x14ac:dyDescent="0.3"/>
    <row r="63912" s="160" customFormat="1" x14ac:dyDescent="0.3"/>
    <row r="63913" s="160" customFormat="1" x14ac:dyDescent="0.3"/>
    <row r="63914" s="160" customFormat="1" x14ac:dyDescent="0.3"/>
    <row r="63915" s="160" customFormat="1" x14ac:dyDescent="0.3"/>
    <row r="63916" s="160" customFormat="1" x14ac:dyDescent="0.3"/>
    <row r="63917" s="160" customFormat="1" x14ac:dyDescent="0.3"/>
    <row r="63918" s="160" customFormat="1" x14ac:dyDescent="0.3"/>
    <row r="63919" s="160" customFormat="1" x14ac:dyDescent="0.3"/>
    <row r="63920" s="160" customFormat="1" x14ac:dyDescent="0.3"/>
    <row r="63921" s="160" customFormat="1" x14ac:dyDescent="0.3"/>
    <row r="63922" s="160" customFormat="1" x14ac:dyDescent="0.3"/>
    <row r="63923" s="160" customFormat="1" x14ac:dyDescent="0.3"/>
    <row r="63924" s="160" customFormat="1" x14ac:dyDescent="0.3"/>
    <row r="63925" s="160" customFormat="1" x14ac:dyDescent="0.3"/>
    <row r="63926" s="160" customFormat="1" x14ac:dyDescent="0.3"/>
    <row r="63927" s="160" customFormat="1" x14ac:dyDescent="0.3"/>
    <row r="63928" s="160" customFormat="1" x14ac:dyDescent="0.3"/>
    <row r="63929" s="160" customFormat="1" x14ac:dyDescent="0.3"/>
    <row r="63930" s="160" customFormat="1" x14ac:dyDescent="0.3"/>
    <row r="63931" s="160" customFormat="1" x14ac:dyDescent="0.3"/>
    <row r="63932" s="160" customFormat="1" x14ac:dyDescent="0.3"/>
    <row r="63933" s="160" customFormat="1" x14ac:dyDescent="0.3"/>
    <row r="63934" s="160" customFormat="1" x14ac:dyDescent="0.3"/>
    <row r="63935" s="160" customFormat="1" x14ac:dyDescent="0.3"/>
    <row r="63936" s="160" customFormat="1" x14ac:dyDescent="0.3"/>
    <row r="63937" s="160" customFormat="1" x14ac:dyDescent="0.3"/>
    <row r="63938" s="160" customFormat="1" x14ac:dyDescent="0.3"/>
    <row r="63939" s="160" customFormat="1" x14ac:dyDescent="0.3"/>
    <row r="63940" s="160" customFormat="1" x14ac:dyDescent="0.3"/>
    <row r="63941" s="160" customFormat="1" x14ac:dyDescent="0.3"/>
    <row r="63942" s="160" customFormat="1" x14ac:dyDescent="0.3"/>
    <row r="63943" s="160" customFormat="1" x14ac:dyDescent="0.3"/>
    <row r="63944" s="160" customFormat="1" x14ac:dyDescent="0.3"/>
    <row r="63945" s="160" customFormat="1" x14ac:dyDescent="0.3"/>
    <row r="63946" s="160" customFormat="1" x14ac:dyDescent="0.3"/>
    <row r="63947" s="160" customFormat="1" x14ac:dyDescent="0.3"/>
    <row r="63948" s="160" customFormat="1" x14ac:dyDescent="0.3"/>
    <row r="63949" s="160" customFormat="1" x14ac:dyDescent="0.3"/>
    <row r="63950" s="160" customFormat="1" x14ac:dyDescent="0.3"/>
    <row r="63951" s="160" customFormat="1" x14ac:dyDescent="0.3"/>
    <row r="63952" s="160" customFormat="1" x14ac:dyDescent="0.3"/>
    <row r="63953" s="160" customFormat="1" x14ac:dyDescent="0.3"/>
    <row r="63954" s="160" customFormat="1" x14ac:dyDescent="0.3"/>
    <row r="63955" s="160" customFormat="1" x14ac:dyDescent="0.3"/>
    <row r="63956" s="160" customFormat="1" x14ac:dyDescent="0.3"/>
    <row r="63957" s="160" customFormat="1" x14ac:dyDescent="0.3"/>
    <row r="63958" s="160" customFormat="1" x14ac:dyDescent="0.3"/>
    <row r="63959" s="160" customFormat="1" x14ac:dyDescent="0.3"/>
    <row r="63960" s="160" customFormat="1" x14ac:dyDescent="0.3"/>
    <row r="63961" s="160" customFormat="1" x14ac:dyDescent="0.3"/>
    <row r="63962" s="160" customFormat="1" x14ac:dyDescent="0.3"/>
    <row r="63963" s="160" customFormat="1" x14ac:dyDescent="0.3"/>
    <row r="63964" s="160" customFormat="1" x14ac:dyDescent="0.3"/>
    <row r="63965" s="160" customFormat="1" x14ac:dyDescent="0.3"/>
    <row r="63966" s="160" customFormat="1" x14ac:dyDescent="0.3"/>
    <row r="63967" s="160" customFormat="1" x14ac:dyDescent="0.3"/>
    <row r="63968" s="160" customFormat="1" x14ac:dyDescent="0.3"/>
    <row r="63969" s="160" customFormat="1" x14ac:dyDescent="0.3"/>
    <row r="63970" s="160" customFormat="1" x14ac:dyDescent="0.3"/>
    <row r="63971" s="160" customFormat="1" x14ac:dyDescent="0.3"/>
    <row r="63972" s="160" customFormat="1" x14ac:dyDescent="0.3"/>
    <row r="63973" s="160" customFormat="1" x14ac:dyDescent="0.3"/>
    <row r="63974" s="160" customFormat="1" x14ac:dyDescent="0.3"/>
    <row r="63975" s="160" customFormat="1" x14ac:dyDescent="0.3"/>
    <row r="63976" s="160" customFormat="1" x14ac:dyDescent="0.3"/>
    <row r="63977" s="160" customFormat="1" x14ac:dyDescent="0.3"/>
    <row r="63978" s="160" customFormat="1" x14ac:dyDescent="0.3"/>
    <row r="63979" s="160" customFormat="1" x14ac:dyDescent="0.3"/>
    <row r="63980" s="160" customFormat="1" x14ac:dyDescent="0.3"/>
    <row r="63981" s="160" customFormat="1" x14ac:dyDescent="0.3"/>
    <row r="63982" s="160" customFormat="1" x14ac:dyDescent="0.3"/>
    <row r="63983" s="160" customFormat="1" x14ac:dyDescent="0.3"/>
    <row r="63984" s="160" customFormat="1" x14ac:dyDescent="0.3"/>
    <row r="63985" s="160" customFormat="1" x14ac:dyDescent="0.3"/>
    <row r="63986" s="160" customFormat="1" x14ac:dyDescent="0.3"/>
    <row r="63987" s="160" customFormat="1" x14ac:dyDescent="0.3"/>
    <row r="63988" s="160" customFormat="1" x14ac:dyDescent="0.3"/>
    <row r="63989" s="160" customFormat="1" x14ac:dyDescent="0.3"/>
    <row r="63990" s="160" customFormat="1" x14ac:dyDescent="0.3"/>
    <row r="63991" s="160" customFormat="1" x14ac:dyDescent="0.3"/>
    <row r="63992" s="160" customFormat="1" x14ac:dyDescent="0.3"/>
    <row r="63993" s="160" customFormat="1" x14ac:dyDescent="0.3"/>
    <row r="63994" s="160" customFormat="1" x14ac:dyDescent="0.3"/>
    <row r="63995" s="160" customFormat="1" x14ac:dyDescent="0.3"/>
    <row r="63996" s="160" customFormat="1" x14ac:dyDescent="0.3"/>
    <row r="63997" s="160" customFormat="1" x14ac:dyDescent="0.3"/>
    <row r="63998" s="160" customFormat="1" x14ac:dyDescent="0.3"/>
    <row r="63999" s="160" customFormat="1" x14ac:dyDescent="0.3"/>
    <row r="64000" s="160" customFormat="1" x14ac:dyDescent="0.3"/>
    <row r="64001" s="160" customFormat="1" x14ac:dyDescent="0.3"/>
    <row r="64002" s="160" customFormat="1" x14ac:dyDescent="0.3"/>
    <row r="64003" s="160" customFormat="1" x14ac:dyDescent="0.3"/>
    <row r="64004" s="160" customFormat="1" x14ac:dyDescent="0.3"/>
    <row r="64005" s="160" customFormat="1" x14ac:dyDescent="0.3"/>
    <row r="64006" s="160" customFormat="1" x14ac:dyDescent="0.3"/>
    <row r="64007" s="160" customFormat="1" x14ac:dyDescent="0.3"/>
    <row r="64008" s="160" customFormat="1" x14ac:dyDescent="0.3"/>
    <row r="64009" s="160" customFormat="1" x14ac:dyDescent="0.3"/>
    <row r="64010" s="160" customFormat="1" x14ac:dyDescent="0.3"/>
    <row r="64011" s="160" customFormat="1" x14ac:dyDescent="0.3"/>
    <row r="64012" s="160" customFormat="1" x14ac:dyDescent="0.3"/>
    <row r="64013" s="160" customFormat="1" x14ac:dyDescent="0.3"/>
    <row r="64014" s="160" customFormat="1" x14ac:dyDescent="0.3"/>
    <row r="64015" s="160" customFormat="1" x14ac:dyDescent="0.3"/>
    <row r="64016" s="160" customFormat="1" x14ac:dyDescent="0.3"/>
    <row r="64017" s="160" customFormat="1" x14ac:dyDescent="0.3"/>
    <row r="64018" s="160" customFormat="1" x14ac:dyDescent="0.3"/>
    <row r="64019" s="160" customFormat="1" x14ac:dyDescent="0.3"/>
    <row r="64020" s="160" customFormat="1" x14ac:dyDescent="0.3"/>
    <row r="64021" s="160" customFormat="1" x14ac:dyDescent="0.3"/>
    <row r="64022" s="160" customFormat="1" x14ac:dyDescent="0.3"/>
    <row r="64023" s="160" customFormat="1" x14ac:dyDescent="0.3"/>
    <row r="64024" s="160" customFormat="1" x14ac:dyDescent="0.3"/>
    <row r="64025" s="160" customFormat="1" x14ac:dyDescent="0.3"/>
    <row r="64026" s="160" customFormat="1" x14ac:dyDescent="0.3"/>
    <row r="64027" s="160" customFormat="1" x14ac:dyDescent="0.3"/>
    <row r="64028" s="160" customFormat="1" x14ac:dyDescent="0.3"/>
    <row r="64029" s="160" customFormat="1" x14ac:dyDescent="0.3"/>
    <row r="64030" s="160" customFormat="1" x14ac:dyDescent="0.3"/>
    <row r="64031" s="160" customFormat="1" x14ac:dyDescent="0.3"/>
    <row r="64032" s="160" customFormat="1" x14ac:dyDescent="0.3"/>
    <row r="64033" s="160" customFormat="1" x14ac:dyDescent="0.3"/>
    <row r="64034" s="160" customFormat="1" x14ac:dyDescent="0.3"/>
    <row r="64035" s="160" customFormat="1" x14ac:dyDescent="0.3"/>
    <row r="64036" s="160" customFormat="1" x14ac:dyDescent="0.3"/>
    <row r="64037" s="160" customFormat="1" x14ac:dyDescent="0.3"/>
    <row r="64038" s="160" customFormat="1" x14ac:dyDescent="0.3"/>
    <row r="64039" s="160" customFormat="1" x14ac:dyDescent="0.3"/>
    <row r="64040" s="160" customFormat="1" x14ac:dyDescent="0.3"/>
    <row r="64041" s="160" customFormat="1" x14ac:dyDescent="0.3"/>
    <row r="64042" s="160" customFormat="1" x14ac:dyDescent="0.3"/>
    <row r="64043" s="160" customFormat="1" x14ac:dyDescent="0.3"/>
    <row r="64044" s="160" customFormat="1" x14ac:dyDescent="0.3"/>
    <row r="64045" s="160" customFormat="1" x14ac:dyDescent="0.3"/>
    <row r="64046" s="160" customFormat="1" x14ac:dyDescent="0.3"/>
    <row r="64047" s="160" customFormat="1" x14ac:dyDescent="0.3"/>
    <row r="64048" s="160" customFormat="1" x14ac:dyDescent="0.3"/>
    <row r="64049" s="160" customFormat="1" x14ac:dyDescent="0.3"/>
    <row r="64050" s="160" customFormat="1" x14ac:dyDescent="0.3"/>
    <row r="64051" s="160" customFormat="1" x14ac:dyDescent="0.3"/>
    <row r="64052" s="160" customFormat="1" x14ac:dyDescent="0.3"/>
    <row r="64053" s="160" customFormat="1" x14ac:dyDescent="0.3"/>
    <row r="64054" s="160" customFormat="1" x14ac:dyDescent="0.3"/>
    <row r="64055" s="160" customFormat="1" x14ac:dyDescent="0.3"/>
    <row r="64056" s="160" customFormat="1" x14ac:dyDescent="0.3"/>
    <row r="64057" s="160" customFormat="1" x14ac:dyDescent="0.3"/>
    <row r="64058" s="160" customFormat="1" x14ac:dyDescent="0.3"/>
    <row r="64059" s="160" customFormat="1" x14ac:dyDescent="0.3"/>
    <row r="64060" s="160" customFormat="1" x14ac:dyDescent="0.3"/>
    <row r="64061" s="160" customFormat="1" x14ac:dyDescent="0.3"/>
    <row r="64062" s="160" customFormat="1" x14ac:dyDescent="0.3"/>
    <row r="64063" s="160" customFormat="1" x14ac:dyDescent="0.3"/>
    <row r="64064" s="160" customFormat="1" x14ac:dyDescent="0.3"/>
    <row r="64065" s="160" customFormat="1" x14ac:dyDescent="0.3"/>
    <row r="64066" s="160" customFormat="1" x14ac:dyDescent="0.3"/>
    <row r="64067" s="160" customFormat="1" x14ac:dyDescent="0.3"/>
    <row r="64068" s="160" customFormat="1" x14ac:dyDescent="0.3"/>
    <row r="64069" s="160" customFormat="1" x14ac:dyDescent="0.3"/>
    <row r="64070" s="160" customFormat="1" x14ac:dyDescent="0.3"/>
    <row r="64071" s="160" customFormat="1" x14ac:dyDescent="0.3"/>
    <row r="64072" s="160" customFormat="1" x14ac:dyDescent="0.3"/>
    <row r="64073" s="160" customFormat="1" x14ac:dyDescent="0.3"/>
    <row r="64074" s="160" customFormat="1" x14ac:dyDescent="0.3"/>
    <row r="64075" s="160" customFormat="1" x14ac:dyDescent="0.3"/>
    <row r="64076" s="160" customFormat="1" x14ac:dyDescent="0.3"/>
    <row r="64077" s="160" customFormat="1" x14ac:dyDescent="0.3"/>
    <row r="64078" s="160" customFormat="1" x14ac:dyDescent="0.3"/>
    <row r="64079" s="160" customFormat="1" x14ac:dyDescent="0.3"/>
    <row r="64080" s="160" customFormat="1" x14ac:dyDescent="0.3"/>
    <row r="64081" s="160" customFormat="1" x14ac:dyDescent="0.3"/>
    <row r="64082" s="160" customFormat="1" x14ac:dyDescent="0.3"/>
    <row r="64083" s="160" customFormat="1" x14ac:dyDescent="0.3"/>
    <row r="64084" s="160" customFormat="1" x14ac:dyDescent="0.3"/>
    <row r="64085" s="160" customFormat="1" x14ac:dyDescent="0.3"/>
    <row r="64086" s="160" customFormat="1" x14ac:dyDescent="0.3"/>
    <row r="64087" s="160" customFormat="1" x14ac:dyDescent="0.3"/>
    <row r="64088" s="160" customFormat="1" x14ac:dyDescent="0.3"/>
    <row r="64089" s="160" customFormat="1" x14ac:dyDescent="0.3"/>
    <row r="64090" s="160" customFormat="1" x14ac:dyDescent="0.3"/>
    <row r="64091" s="160" customFormat="1" x14ac:dyDescent="0.3"/>
    <row r="64092" s="160" customFormat="1" x14ac:dyDescent="0.3"/>
    <row r="64093" s="160" customFormat="1" x14ac:dyDescent="0.3"/>
    <row r="64094" s="160" customFormat="1" x14ac:dyDescent="0.3"/>
    <row r="64095" s="160" customFormat="1" x14ac:dyDescent="0.3"/>
    <row r="64096" s="160" customFormat="1" x14ac:dyDescent="0.3"/>
    <row r="64097" s="160" customFormat="1" x14ac:dyDescent="0.3"/>
    <row r="64098" s="160" customFormat="1" x14ac:dyDescent="0.3"/>
    <row r="64099" s="160" customFormat="1" x14ac:dyDescent="0.3"/>
    <row r="64100" s="160" customFormat="1" x14ac:dyDescent="0.3"/>
    <row r="64101" s="160" customFormat="1" x14ac:dyDescent="0.3"/>
    <row r="64102" s="160" customFormat="1" x14ac:dyDescent="0.3"/>
    <row r="64103" s="160" customFormat="1" x14ac:dyDescent="0.3"/>
    <row r="64104" s="160" customFormat="1" x14ac:dyDescent="0.3"/>
    <row r="64105" s="160" customFormat="1" x14ac:dyDescent="0.3"/>
    <row r="64106" s="160" customFormat="1" x14ac:dyDescent="0.3"/>
    <row r="64107" s="160" customFormat="1" x14ac:dyDescent="0.3"/>
    <row r="64108" s="160" customFormat="1" x14ac:dyDescent="0.3"/>
    <row r="64109" s="160" customFormat="1" x14ac:dyDescent="0.3"/>
    <row r="64110" s="160" customFormat="1" x14ac:dyDescent="0.3"/>
    <row r="64111" s="160" customFormat="1" x14ac:dyDescent="0.3"/>
    <row r="64112" s="160" customFormat="1" x14ac:dyDescent="0.3"/>
    <row r="64113" s="160" customFormat="1" x14ac:dyDescent="0.3"/>
    <row r="64114" s="160" customFormat="1" x14ac:dyDescent="0.3"/>
    <row r="64115" s="160" customFormat="1" x14ac:dyDescent="0.3"/>
    <row r="64116" s="160" customFormat="1" x14ac:dyDescent="0.3"/>
    <row r="64117" s="160" customFormat="1" x14ac:dyDescent="0.3"/>
    <row r="64118" s="160" customFormat="1" x14ac:dyDescent="0.3"/>
    <row r="64119" s="160" customFormat="1" x14ac:dyDescent="0.3"/>
    <row r="64120" s="160" customFormat="1" x14ac:dyDescent="0.3"/>
    <row r="64121" s="160" customFormat="1" x14ac:dyDescent="0.3"/>
    <row r="64122" s="160" customFormat="1" x14ac:dyDescent="0.3"/>
    <row r="64123" s="160" customFormat="1" x14ac:dyDescent="0.3"/>
    <row r="64124" s="160" customFormat="1" x14ac:dyDescent="0.3"/>
    <row r="64125" s="160" customFormat="1" x14ac:dyDescent="0.3"/>
    <row r="64126" s="160" customFormat="1" x14ac:dyDescent="0.3"/>
    <row r="64127" s="160" customFormat="1" x14ac:dyDescent="0.3"/>
    <row r="64128" s="160" customFormat="1" x14ac:dyDescent="0.3"/>
    <row r="64129" s="160" customFormat="1" x14ac:dyDescent="0.3"/>
    <row r="64130" s="160" customFormat="1" x14ac:dyDescent="0.3"/>
    <row r="64131" s="160" customFormat="1" x14ac:dyDescent="0.3"/>
    <row r="64132" s="160" customFormat="1" x14ac:dyDescent="0.3"/>
    <row r="64133" s="160" customFormat="1" x14ac:dyDescent="0.3"/>
    <row r="64134" s="160" customFormat="1" x14ac:dyDescent="0.3"/>
    <row r="64135" s="160" customFormat="1" x14ac:dyDescent="0.3"/>
    <row r="64136" s="160" customFormat="1" x14ac:dyDescent="0.3"/>
    <row r="64137" s="160" customFormat="1" x14ac:dyDescent="0.3"/>
    <row r="64138" s="160" customFormat="1" x14ac:dyDescent="0.3"/>
    <row r="64139" s="160" customFormat="1" x14ac:dyDescent="0.3"/>
    <row r="64140" s="160" customFormat="1" x14ac:dyDescent="0.3"/>
    <row r="64141" s="160" customFormat="1" x14ac:dyDescent="0.3"/>
    <row r="64142" s="160" customFormat="1" x14ac:dyDescent="0.3"/>
    <row r="64143" s="160" customFormat="1" x14ac:dyDescent="0.3"/>
    <row r="64144" s="160" customFormat="1" x14ac:dyDescent="0.3"/>
    <row r="64145" s="160" customFormat="1" x14ac:dyDescent="0.3"/>
    <row r="64146" s="160" customFormat="1" x14ac:dyDescent="0.3"/>
    <row r="64147" s="160" customFormat="1" x14ac:dyDescent="0.3"/>
    <row r="64148" s="160" customFormat="1" x14ac:dyDescent="0.3"/>
    <row r="64149" s="160" customFormat="1" x14ac:dyDescent="0.3"/>
    <row r="64150" s="160" customFormat="1" x14ac:dyDescent="0.3"/>
    <row r="64151" s="160" customFormat="1" x14ac:dyDescent="0.3"/>
    <row r="64152" s="160" customFormat="1" x14ac:dyDescent="0.3"/>
    <row r="64153" s="160" customFormat="1" x14ac:dyDescent="0.3"/>
    <row r="64154" s="160" customFormat="1" x14ac:dyDescent="0.3"/>
    <row r="64155" s="160" customFormat="1" x14ac:dyDescent="0.3"/>
    <row r="64156" s="160" customFormat="1" x14ac:dyDescent="0.3"/>
    <row r="64157" s="160" customFormat="1" x14ac:dyDescent="0.3"/>
    <row r="64158" s="160" customFormat="1" x14ac:dyDescent="0.3"/>
    <row r="64159" s="160" customFormat="1" x14ac:dyDescent="0.3"/>
    <row r="64160" s="160" customFormat="1" x14ac:dyDescent="0.3"/>
    <row r="64161" s="160" customFormat="1" x14ac:dyDescent="0.3"/>
    <row r="64162" s="160" customFormat="1" x14ac:dyDescent="0.3"/>
    <row r="64163" s="160" customFormat="1" x14ac:dyDescent="0.3"/>
    <row r="64164" s="160" customFormat="1" x14ac:dyDescent="0.3"/>
    <row r="64165" s="160" customFormat="1" x14ac:dyDescent="0.3"/>
    <row r="64166" s="160" customFormat="1" x14ac:dyDescent="0.3"/>
    <row r="64167" s="160" customFormat="1" x14ac:dyDescent="0.3"/>
    <row r="64168" s="160" customFormat="1" x14ac:dyDescent="0.3"/>
    <row r="64169" s="160" customFormat="1" x14ac:dyDescent="0.3"/>
    <row r="64170" s="160" customFormat="1" x14ac:dyDescent="0.3"/>
    <row r="64171" s="160" customFormat="1" x14ac:dyDescent="0.3"/>
    <row r="64172" s="160" customFormat="1" x14ac:dyDescent="0.3"/>
    <row r="64173" s="160" customFormat="1" x14ac:dyDescent="0.3"/>
    <row r="64174" s="160" customFormat="1" x14ac:dyDescent="0.3"/>
    <row r="64175" s="160" customFormat="1" x14ac:dyDescent="0.3"/>
    <row r="64176" s="160" customFormat="1" x14ac:dyDescent="0.3"/>
    <row r="64177" s="160" customFormat="1" x14ac:dyDescent="0.3"/>
    <row r="64178" s="160" customFormat="1" x14ac:dyDescent="0.3"/>
    <row r="64179" s="160" customFormat="1" x14ac:dyDescent="0.3"/>
    <row r="64180" s="160" customFormat="1" x14ac:dyDescent="0.3"/>
    <row r="64181" s="160" customFormat="1" x14ac:dyDescent="0.3"/>
    <row r="64182" s="160" customFormat="1" x14ac:dyDescent="0.3"/>
    <row r="64183" s="160" customFormat="1" x14ac:dyDescent="0.3"/>
    <row r="64184" s="160" customFormat="1" x14ac:dyDescent="0.3"/>
    <row r="64185" s="160" customFormat="1" x14ac:dyDescent="0.3"/>
    <row r="64186" s="160" customFormat="1" x14ac:dyDescent="0.3"/>
    <row r="64187" s="160" customFormat="1" x14ac:dyDescent="0.3"/>
    <row r="64188" s="160" customFormat="1" x14ac:dyDescent="0.3"/>
    <row r="64189" s="160" customFormat="1" x14ac:dyDescent="0.3"/>
    <row r="64190" s="160" customFormat="1" x14ac:dyDescent="0.3"/>
    <row r="64191" s="160" customFormat="1" x14ac:dyDescent="0.3"/>
    <row r="64192" s="160" customFormat="1" x14ac:dyDescent="0.3"/>
    <row r="64193" s="160" customFormat="1" x14ac:dyDescent="0.3"/>
    <row r="64194" s="160" customFormat="1" x14ac:dyDescent="0.3"/>
    <row r="64195" s="160" customFormat="1" x14ac:dyDescent="0.3"/>
    <row r="64196" s="160" customFormat="1" x14ac:dyDescent="0.3"/>
    <row r="64197" s="160" customFormat="1" x14ac:dyDescent="0.3"/>
    <row r="64198" s="160" customFormat="1" x14ac:dyDescent="0.3"/>
    <row r="64199" s="160" customFormat="1" x14ac:dyDescent="0.3"/>
    <row r="64200" s="160" customFormat="1" x14ac:dyDescent="0.3"/>
    <row r="64201" s="160" customFormat="1" x14ac:dyDescent="0.3"/>
    <row r="64202" s="160" customFormat="1" x14ac:dyDescent="0.3"/>
    <row r="64203" s="160" customFormat="1" x14ac:dyDescent="0.3"/>
    <row r="64204" s="160" customFormat="1" x14ac:dyDescent="0.3"/>
    <row r="64205" s="160" customFormat="1" x14ac:dyDescent="0.3"/>
    <row r="64206" s="160" customFormat="1" x14ac:dyDescent="0.3"/>
    <row r="64207" s="160" customFormat="1" x14ac:dyDescent="0.3"/>
    <row r="64208" s="160" customFormat="1" x14ac:dyDescent="0.3"/>
    <row r="64209" s="160" customFormat="1" x14ac:dyDescent="0.3"/>
    <row r="64210" s="160" customFormat="1" x14ac:dyDescent="0.3"/>
    <row r="64211" s="160" customFormat="1" x14ac:dyDescent="0.3"/>
    <row r="64212" s="160" customFormat="1" x14ac:dyDescent="0.3"/>
    <row r="64213" s="160" customFormat="1" x14ac:dyDescent="0.3"/>
    <row r="64214" s="160" customFormat="1" x14ac:dyDescent="0.3"/>
    <row r="64215" s="160" customFormat="1" x14ac:dyDescent="0.3"/>
    <row r="64216" s="160" customFormat="1" x14ac:dyDescent="0.3"/>
    <row r="64217" s="160" customFormat="1" x14ac:dyDescent="0.3"/>
    <row r="64218" s="160" customFormat="1" x14ac:dyDescent="0.3"/>
    <row r="64219" s="160" customFormat="1" x14ac:dyDescent="0.3"/>
    <row r="64220" s="160" customFormat="1" x14ac:dyDescent="0.3"/>
    <row r="64221" s="160" customFormat="1" x14ac:dyDescent="0.3"/>
    <row r="64222" s="160" customFormat="1" x14ac:dyDescent="0.3"/>
    <row r="64223" s="160" customFormat="1" x14ac:dyDescent="0.3"/>
    <row r="64224" s="160" customFormat="1" x14ac:dyDescent="0.3"/>
    <row r="64225" s="160" customFormat="1" x14ac:dyDescent="0.3"/>
    <row r="64226" s="160" customFormat="1" x14ac:dyDescent="0.3"/>
    <row r="64227" s="160" customFormat="1" x14ac:dyDescent="0.3"/>
    <row r="64228" s="160" customFormat="1" x14ac:dyDescent="0.3"/>
    <row r="64229" s="160" customFormat="1" x14ac:dyDescent="0.3"/>
    <row r="64230" s="160" customFormat="1" x14ac:dyDescent="0.3"/>
    <row r="64231" s="160" customFormat="1" x14ac:dyDescent="0.3"/>
    <row r="64232" s="160" customFormat="1" x14ac:dyDescent="0.3"/>
    <row r="64233" s="160" customFormat="1" x14ac:dyDescent="0.3"/>
    <row r="64234" s="160" customFormat="1" x14ac:dyDescent="0.3"/>
    <row r="64235" s="160" customFormat="1" x14ac:dyDescent="0.3"/>
    <row r="64236" s="160" customFormat="1" x14ac:dyDescent="0.3"/>
    <row r="64237" s="160" customFormat="1" x14ac:dyDescent="0.3"/>
    <row r="64238" s="160" customFormat="1" x14ac:dyDescent="0.3"/>
    <row r="64239" s="160" customFormat="1" x14ac:dyDescent="0.3"/>
    <row r="64240" s="160" customFormat="1" x14ac:dyDescent="0.3"/>
    <row r="64241" s="160" customFormat="1" x14ac:dyDescent="0.3"/>
    <row r="64242" s="160" customFormat="1" x14ac:dyDescent="0.3"/>
    <row r="64243" s="160" customFormat="1" x14ac:dyDescent="0.3"/>
    <row r="64244" s="160" customFormat="1" x14ac:dyDescent="0.3"/>
    <row r="64245" s="160" customFormat="1" x14ac:dyDescent="0.3"/>
    <row r="64246" s="160" customFormat="1" x14ac:dyDescent="0.3"/>
    <row r="64247" s="160" customFormat="1" x14ac:dyDescent="0.3"/>
    <row r="64248" s="160" customFormat="1" x14ac:dyDescent="0.3"/>
    <row r="64249" s="160" customFormat="1" x14ac:dyDescent="0.3"/>
    <row r="64250" s="160" customFormat="1" x14ac:dyDescent="0.3"/>
    <row r="64251" s="160" customFormat="1" x14ac:dyDescent="0.3"/>
    <row r="64252" s="160" customFormat="1" x14ac:dyDescent="0.3"/>
    <row r="64253" s="160" customFormat="1" x14ac:dyDescent="0.3"/>
    <row r="64254" s="160" customFormat="1" x14ac:dyDescent="0.3"/>
    <row r="64255" s="160" customFormat="1" x14ac:dyDescent="0.3"/>
    <row r="64256" s="160" customFormat="1" x14ac:dyDescent="0.3"/>
    <row r="64257" s="160" customFormat="1" x14ac:dyDescent="0.3"/>
    <row r="64258" s="160" customFormat="1" x14ac:dyDescent="0.3"/>
    <row r="64259" s="160" customFormat="1" x14ac:dyDescent="0.3"/>
    <row r="64260" s="160" customFormat="1" x14ac:dyDescent="0.3"/>
    <row r="64261" s="160" customFormat="1" x14ac:dyDescent="0.3"/>
    <row r="64262" s="160" customFormat="1" x14ac:dyDescent="0.3"/>
    <row r="64263" s="160" customFormat="1" x14ac:dyDescent="0.3"/>
    <row r="64264" s="160" customFormat="1" x14ac:dyDescent="0.3"/>
    <row r="64265" s="160" customFormat="1" x14ac:dyDescent="0.3"/>
    <row r="64266" s="160" customFormat="1" x14ac:dyDescent="0.3"/>
    <row r="64267" s="160" customFormat="1" x14ac:dyDescent="0.3"/>
    <row r="64268" s="160" customFormat="1" x14ac:dyDescent="0.3"/>
    <row r="64269" s="160" customFormat="1" x14ac:dyDescent="0.3"/>
    <row r="64270" s="160" customFormat="1" x14ac:dyDescent="0.3"/>
    <row r="64271" s="160" customFormat="1" x14ac:dyDescent="0.3"/>
    <row r="64272" s="160" customFormat="1" x14ac:dyDescent="0.3"/>
    <row r="64273" s="160" customFormat="1" x14ac:dyDescent="0.3"/>
    <row r="64274" s="160" customFormat="1" x14ac:dyDescent="0.3"/>
    <row r="64275" s="160" customFormat="1" x14ac:dyDescent="0.3"/>
    <row r="64276" s="160" customFormat="1" x14ac:dyDescent="0.3"/>
    <row r="64277" s="160" customFormat="1" x14ac:dyDescent="0.3"/>
    <row r="64278" s="160" customFormat="1" x14ac:dyDescent="0.3"/>
    <row r="64279" s="160" customFormat="1" x14ac:dyDescent="0.3"/>
    <row r="64280" s="160" customFormat="1" x14ac:dyDescent="0.3"/>
    <row r="64281" s="160" customFormat="1" x14ac:dyDescent="0.3"/>
    <row r="64282" s="160" customFormat="1" x14ac:dyDescent="0.3"/>
    <row r="64283" s="160" customFormat="1" x14ac:dyDescent="0.3"/>
    <row r="64284" s="160" customFormat="1" x14ac:dyDescent="0.3"/>
    <row r="64285" s="160" customFormat="1" x14ac:dyDescent="0.3"/>
    <row r="64286" s="160" customFormat="1" x14ac:dyDescent="0.3"/>
    <row r="64287" s="160" customFormat="1" x14ac:dyDescent="0.3"/>
    <row r="64288" s="160" customFormat="1" x14ac:dyDescent="0.3"/>
    <row r="64289" s="160" customFormat="1" x14ac:dyDescent="0.3"/>
    <row r="64290" s="160" customFormat="1" x14ac:dyDescent="0.3"/>
    <row r="64291" s="160" customFormat="1" x14ac:dyDescent="0.3"/>
    <row r="64292" s="160" customFormat="1" x14ac:dyDescent="0.3"/>
    <row r="64293" s="160" customFormat="1" x14ac:dyDescent="0.3"/>
    <row r="64294" s="160" customFormat="1" x14ac:dyDescent="0.3"/>
    <row r="64295" s="160" customFormat="1" x14ac:dyDescent="0.3"/>
    <row r="64296" s="160" customFormat="1" x14ac:dyDescent="0.3"/>
    <row r="64297" s="160" customFormat="1" x14ac:dyDescent="0.3"/>
    <row r="64298" s="160" customFormat="1" x14ac:dyDescent="0.3"/>
    <row r="64299" s="160" customFormat="1" x14ac:dyDescent="0.3"/>
    <row r="64300" s="160" customFormat="1" x14ac:dyDescent="0.3"/>
    <row r="64301" s="160" customFormat="1" x14ac:dyDescent="0.3"/>
    <row r="64302" s="160" customFormat="1" x14ac:dyDescent="0.3"/>
    <row r="64303" s="160" customFormat="1" x14ac:dyDescent="0.3"/>
    <row r="64304" s="160" customFormat="1" x14ac:dyDescent="0.3"/>
    <row r="64305" s="160" customFormat="1" x14ac:dyDescent="0.3"/>
    <row r="64306" s="160" customFormat="1" x14ac:dyDescent="0.3"/>
    <row r="64307" s="160" customFormat="1" x14ac:dyDescent="0.3"/>
    <row r="64308" s="160" customFormat="1" x14ac:dyDescent="0.3"/>
    <row r="64309" s="160" customFormat="1" x14ac:dyDescent="0.3"/>
    <row r="64310" s="160" customFormat="1" x14ac:dyDescent="0.3"/>
    <row r="64311" s="160" customFormat="1" x14ac:dyDescent="0.3"/>
    <row r="64312" s="160" customFormat="1" x14ac:dyDescent="0.3"/>
    <row r="64313" s="160" customFormat="1" x14ac:dyDescent="0.3"/>
    <row r="64314" s="160" customFormat="1" x14ac:dyDescent="0.3"/>
    <row r="64315" s="160" customFormat="1" x14ac:dyDescent="0.3"/>
    <row r="64316" s="160" customFormat="1" x14ac:dyDescent="0.3"/>
    <row r="64317" s="160" customFormat="1" x14ac:dyDescent="0.3"/>
    <row r="64318" s="160" customFormat="1" x14ac:dyDescent="0.3"/>
    <row r="64319" s="160" customFormat="1" x14ac:dyDescent="0.3"/>
    <row r="64320" s="160" customFormat="1" x14ac:dyDescent="0.3"/>
    <row r="64321" s="160" customFormat="1" x14ac:dyDescent="0.3"/>
    <row r="64322" s="160" customFormat="1" x14ac:dyDescent="0.3"/>
    <row r="64323" s="160" customFormat="1" x14ac:dyDescent="0.3"/>
    <row r="64324" s="160" customFormat="1" x14ac:dyDescent="0.3"/>
    <row r="64325" s="160" customFormat="1" x14ac:dyDescent="0.3"/>
    <row r="64326" s="160" customFormat="1" x14ac:dyDescent="0.3"/>
    <row r="64327" s="160" customFormat="1" x14ac:dyDescent="0.3"/>
    <row r="64328" s="160" customFormat="1" x14ac:dyDescent="0.3"/>
    <row r="64329" s="160" customFormat="1" x14ac:dyDescent="0.3"/>
    <row r="64330" s="160" customFormat="1" x14ac:dyDescent="0.3"/>
    <row r="64331" s="160" customFormat="1" x14ac:dyDescent="0.3"/>
    <row r="64332" s="160" customFormat="1" x14ac:dyDescent="0.3"/>
    <row r="64333" s="160" customFormat="1" x14ac:dyDescent="0.3"/>
    <row r="64334" s="160" customFormat="1" x14ac:dyDescent="0.3"/>
    <row r="64335" s="160" customFormat="1" x14ac:dyDescent="0.3"/>
    <row r="64336" s="160" customFormat="1" x14ac:dyDescent="0.3"/>
    <row r="64337" s="160" customFormat="1" x14ac:dyDescent="0.3"/>
    <row r="64338" s="160" customFormat="1" x14ac:dyDescent="0.3"/>
    <row r="64339" s="160" customFormat="1" x14ac:dyDescent="0.3"/>
    <row r="64340" s="160" customFormat="1" x14ac:dyDescent="0.3"/>
    <row r="64341" s="160" customFormat="1" x14ac:dyDescent="0.3"/>
    <row r="64342" s="160" customFormat="1" x14ac:dyDescent="0.3"/>
    <row r="64343" s="160" customFormat="1" x14ac:dyDescent="0.3"/>
    <row r="64344" s="160" customFormat="1" x14ac:dyDescent="0.3"/>
    <row r="64345" s="160" customFormat="1" x14ac:dyDescent="0.3"/>
    <row r="64346" s="160" customFormat="1" x14ac:dyDescent="0.3"/>
    <row r="64347" s="160" customFormat="1" x14ac:dyDescent="0.3"/>
    <row r="64348" s="160" customFormat="1" x14ac:dyDescent="0.3"/>
    <row r="64349" s="160" customFormat="1" x14ac:dyDescent="0.3"/>
    <row r="64350" s="160" customFormat="1" x14ac:dyDescent="0.3"/>
    <row r="64351" s="160" customFormat="1" x14ac:dyDescent="0.3"/>
    <row r="64352" s="160" customFormat="1" x14ac:dyDescent="0.3"/>
    <row r="64353" s="160" customFormat="1" x14ac:dyDescent="0.3"/>
    <row r="64354" s="160" customFormat="1" x14ac:dyDescent="0.3"/>
    <row r="64355" s="160" customFormat="1" x14ac:dyDescent="0.3"/>
    <row r="64356" s="160" customFormat="1" x14ac:dyDescent="0.3"/>
    <row r="64357" s="160" customFormat="1" x14ac:dyDescent="0.3"/>
    <row r="64358" s="160" customFormat="1" x14ac:dyDescent="0.3"/>
    <row r="64359" s="160" customFormat="1" x14ac:dyDescent="0.3"/>
    <row r="64360" s="160" customFormat="1" x14ac:dyDescent="0.3"/>
    <row r="64361" s="160" customFormat="1" x14ac:dyDescent="0.3"/>
    <row r="64362" s="160" customFormat="1" x14ac:dyDescent="0.3"/>
    <row r="64363" s="160" customFormat="1" x14ac:dyDescent="0.3"/>
    <row r="64364" s="160" customFormat="1" x14ac:dyDescent="0.3"/>
    <row r="64365" s="160" customFormat="1" x14ac:dyDescent="0.3"/>
    <row r="64366" s="160" customFormat="1" x14ac:dyDescent="0.3"/>
    <row r="64367" s="160" customFormat="1" x14ac:dyDescent="0.3"/>
    <row r="64368" s="160" customFormat="1" x14ac:dyDescent="0.3"/>
    <row r="64369" s="160" customFormat="1" x14ac:dyDescent="0.3"/>
    <row r="64370" s="160" customFormat="1" x14ac:dyDescent="0.3"/>
    <row r="64371" s="160" customFormat="1" x14ac:dyDescent="0.3"/>
    <row r="64372" s="160" customFormat="1" x14ac:dyDescent="0.3"/>
    <row r="64373" s="160" customFormat="1" x14ac:dyDescent="0.3"/>
    <row r="64374" s="160" customFormat="1" x14ac:dyDescent="0.3"/>
    <row r="64375" s="160" customFormat="1" x14ac:dyDescent="0.3"/>
    <row r="64376" s="160" customFormat="1" x14ac:dyDescent="0.3"/>
    <row r="64377" s="160" customFormat="1" x14ac:dyDescent="0.3"/>
    <row r="64378" s="160" customFormat="1" x14ac:dyDescent="0.3"/>
    <row r="64379" s="160" customFormat="1" x14ac:dyDescent="0.3"/>
    <row r="64380" s="160" customFormat="1" x14ac:dyDescent="0.3"/>
    <row r="64381" s="160" customFormat="1" x14ac:dyDescent="0.3"/>
    <row r="64382" s="160" customFormat="1" x14ac:dyDescent="0.3"/>
    <row r="64383" s="160" customFormat="1" x14ac:dyDescent="0.3"/>
    <row r="64384" s="160" customFormat="1" x14ac:dyDescent="0.3"/>
    <row r="64385" s="160" customFormat="1" x14ac:dyDescent="0.3"/>
    <row r="64386" s="160" customFormat="1" x14ac:dyDescent="0.3"/>
    <row r="64387" s="160" customFormat="1" x14ac:dyDescent="0.3"/>
    <row r="64388" s="160" customFormat="1" x14ac:dyDescent="0.3"/>
    <row r="64389" s="160" customFormat="1" x14ac:dyDescent="0.3"/>
    <row r="64390" s="160" customFormat="1" x14ac:dyDescent="0.3"/>
    <row r="64391" s="160" customFormat="1" x14ac:dyDescent="0.3"/>
    <row r="64392" s="160" customFormat="1" x14ac:dyDescent="0.3"/>
    <row r="64393" s="160" customFormat="1" x14ac:dyDescent="0.3"/>
    <row r="64394" s="160" customFormat="1" x14ac:dyDescent="0.3"/>
    <row r="64395" s="160" customFormat="1" x14ac:dyDescent="0.3"/>
    <row r="64396" s="160" customFormat="1" x14ac:dyDescent="0.3"/>
    <row r="64397" s="160" customFormat="1" x14ac:dyDescent="0.3"/>
    <row r="64398" s="160" customFormat="1" x14ac:dyDescent="0.3"/>
    <row r="64399" s="160" customFormat="1" x14ac:dyDescent="0.3"/>
    <row r="64400" s="160" customFormat="1" x14ac:dyDescent="0.3"/>
    <row r="64401" s="160" customFormat="1" x14ac:dyDescent="0.3"/>
    <row r="64402" s="160" customFormat="1" x14ac:dyDescent="0.3"/>
    <row r="64403" s="160" customFormat="1" x14ac:dyDescent="0.3"/>
    <row r="64404" s="160" customFormat="1" x14ac:dyDescent="0.3"/>
    <row r="64405" s="160" customFormat="1" x14ac:dyDescent="0.3"/>
    <row r="64406" s="160" customFormat="1" x14ac:dyDescent="0.3"/>
    <row r="64407" s="160" customFormat="1" x14ac:dyDescent="0.3"/>
    <row r="64408" s="160" customFormat="1" x14ac:dyDescent="0.3"/>
    <row r="64409" s="160" customFormat="1" x14ac:dyDescent="0.3"/>
    <row r="64410" s="160" customFormat="1" x14ac:dyDescent="0.3"/>
    <row r="64411" s="160" customFormat="1" x14ac:dyDescent="0.3"/>
    <row r="64412" s="160" customFormat="1" x14ac:dyDescent="0.3"/>
    <row r="64413" s="160" customFormat="1" x14ac:dyDescent="0.3"/>
    <row r="64414" s="160" customFormat="1" x14ac:dyDescent="0.3"/>
    <row r="64415" s="160" customFormat="1" x14ac:dyDescent="0.3"/>
    <row r="64416" s="160" customFormat="1" x14ac:dyDescent="0.3"/>
    <row r="64417" s="160" customFormat="1" x14ac:dyDescent="0.3"/>
    <row r="64418" s="160" customFormat="1" x14ac:dyDescent="0.3"/>
    <row r="64419" s="160" customFormat="1" x14ac:dyDescent="0.3"/>
    <row r="64420" s="160" customFormat="1" x14ac:dyDescent="0.3"/>
    <row r="64421" s="160" customFormat="1" x14ac:dyDescent="0.3"/>
    <row r="64422" s="160" customFormat="1" x14ac:dyDescent="0.3"/>
    <row r="64423" s="160" customFormat="1" x14ac:dyDescent="0.3"/>
    <row r="64424" s="160" customFormat="1" x14ac:dyDescent="0.3"/>
    <row r="64425" s="160" customFormat="1" x14ac:dyDescent="0.3"/>
    <row r="64426" s="160" customFormat="1" x14ac:dyDescent="0.3"/>
    <row r="64427" s="160" customFormat="1" x14ac:dyDescent="0.3"/>
    <row r="64428" s="160" customFormat="1" x14ac:dyDescent="0.3"/>
    <row r="64429" s="160" customFormat="1" x14ac:dyDescent="0.3"/>
    <row r="64430" s="160" customFormat="1" x14ac:dyDescent="0.3"/>
    <row r="64431" s="160" customFormat="1" x14ac:dyDescent="0.3"/>
    <row r="64432" s="160" customFormat="1" x14ac:dyDescent="0.3"/>
    <row r="64433" s="160" customFormat="1" x14ac:dyDescent="0.3"/>
    <row r="64434" s="160" customFormat="1" x14ac:dyDescent="0.3"/>
    <row r="64435" s="160" customFormat="1" x14ac:dyDescent="0.3"/>
    <row r="64436" s="160" customFormat="1" x14ac:dyDescent="0.3"/>
    <row r="64437" s="160" customFormat="1" x14ac:dyDescent="0.3"/>
    <row r="64438" s="160" customFormat="1" x14ac:dyDescent="0.3"/>
    <row r="64439" s="160" customFormat="1" x14ac:dyDescent="0.3"/>
    <row r="64440" s="160" customFormat="1" x14ac:dyDescent="0.3"/>
    <row r="64441" s="160" customFormat="1" x14ac:dyDescent="0.3"/>
    <row r="64442" s="160" customFormat="1" x14ac:dyDescent="0.3"/>
    <row r="64443" s="160" customFormat="1" x14ac:dyDescent="0.3"/>
    <row r="64444" s="160" customFormat="1" x14ac:dyDescent="0.3"/>
    <row r="64445" s="160" customFormat="1" x14ac:dyDescent="0.3"/>
    <row r="64446" s="160" customFormat="1" x14ac:dyDescent="0.3"/>
    <row r="64447" s="160" customFormat="1" x14ac:dyDescent="0.3"/>
    <row r="64448" s="160" customFormat="1" x14ac:dyDescent="0.3"/>
    <row r="64449" s="160" customFormat="1" x14ac:dyDescent="0.3"/>
    <row r="64450" s="160" customFormat="1" x14ac:dyDescent="0.3"/>
    <row r="64451" s="160" customFormat="1" x14ac:dyDescent="0.3"/>
    <row r="64452" s="160" customFormat="1" x14ac:dyDescent="0.3"/>
    <row r="64453" s="160" customFormat="1" x14ac:dyDescent="0.3"/>
    <row r="64454" s="160" customFormat="1" x14ac:dyDescent="0.3"/>
    <row r="64455" s="160" customFormat="1" x14ac:dyDescent="0.3"/>
    <row r="64456" s="160" customFormat="1" x14ac:dyDescent="0.3"/>
    <row r="64457" s="160" customFormat="1" x14ac:dyDescent="0.3"/>
    <row r="64458" s="160" customFormat="1" x14ac:dyDescent="0.3"/>
    <row r="64459" s="160" customFormat="1" x14ac:dyDescent="0.3"/>
    <row r="64460" s="160" customFormat="1" x14ac:dyDescent="0.3"/>
    <row r="64461" s="160" customFormat="1" x14ac:dyDescent="0.3"/>
    <row r="64462" s="160" customFormat="1" x14ac:dyDescent="0.3"/>
    <row r="64463" s="160" customFormat="1" x14ac:dyDescent="0.3"/>
    <row r="64464" s="160" customFormat="1" x14ac:dyDescent="0.3"/>
    <row r="64465" s="160" customFormat="1" x14ac:dyDescent="0.3"/>
    <row r="64466" s="160" customFormat="1" x14ac:dyDescent="0.3"/>
    <row r="64467" s="160" customFormat="1" x14ac:dyDescent="0.3"/>
    <row r="64468" s="160" customFormat="1" x14ac:dyDescent="0.3"/>
    <row r="64469" s="160" customFormat="1" x14ac:dyDescent="0.3"/>
    <row r="64470" s="160" customFormat="1" x14ac:dyDescent="0.3"/>
    <row r="64471" s="160" customFormat="1" x14ac:dyDescent="0.3"/>
    <row r="64472" s="160" customFormat="1" x14ac:dyDescent="0.3"/>
    <row r="64473" s="160" customFormat="1" x14ac:dyDescent="0.3"/>
    <row r="64474" s="160" customFormat="1" x14ac:dyDescent="0.3"/>
    <row r="64475" s="160" customFormat="1" x14ac:dyDescent="0.3"/>
    <row r="64476" s="160" customFormat="1" x14ac:dyDescent="0.3"/>
    <row r="64477" s="160" customFormat="1" x14ac:dyDescent="0.3"/>
    <row r="64478" s="160" customFormat="1" x14ac:dyDescent="0.3"/>
    <row r="64479" s="160" customFormat="1" x14ac:dyDescent="0.3"/>
    <row r="64480" s="160" customFormat="1" x14ac:dyDescent="0.3"/>
    <row r="64481" s="160" customFormat="1" x14ac:dyDescent="0.3"/>
    <row r="64482" s="160" customFormat="1" x14ac:dyDescent="0.3"/>
    <row r="64483" s="160" customFormat="1" x14ac:dyDescent="0.3"/>
    <row r="64484" s="160" customFormat="1" x14ac:dyDescent="0.3"/>
    <row r="64485" s="160" customFormat="1" x14ac:dyDescent="0.3"/>
    <row r="64486" s="160" customFormat="1" x14ac:dyDescent="0.3"/>
    <row r="64487" s="160" customFormat="1" x14ac:dyDescent="0.3"/>
    <row r="64488" s="160" customFormat="1" x14ac:dyDescent="0.3"/>
    <row r="64489" s="160" customFormat="1" x14ac:dyDescent="0.3"/>
    <row r="64490" s="160" customFormat="1" x14ac:dyDescent="0.3"/>
    <row r="64491" s="160" customFormat="1" x14ac:dyDescent="0.3"/>
    <row r="64492" s="160" customFormat="1" x14ac:dyDescent="0.3"/>
    <row r="64493" s="160" customFormat="1" x14ac:dyDescent="0.3"/>
    <row r="64494" s="160" customFormat="1" x14ac:dyDescent="0.3"/>
    <row r="64495" s="160" customFormat="1" x14ac:dyDescent="0.3"/>
    <row r="64496" s="160" customFormat="1" x14ac:dyDescent="0.3"/>
    <row r="64497" s="160" customFormat="1" x14ac:dyDescent="0.3"/>
    <row r="64498" s="160" customFormat="1" x14ac:dyDescent="0.3"/>
    <row r="64499" s="160" customFormat="1" x14ac:dyDescent="0.3"/>
    <row r="64500" s="160" customFormat="1" x14ac:dyDescent="0.3"/>
    <row r="64501" s="160" customFormat="1" x14ac:dyDescent="0.3"/>
    <row r="64502" s="160" customFormat="1" x14ac:dyDescent="0.3"/>
    <row r="64503" s="160" customFormat="1" x14ac:dyDescent="0.3"/>
    <row r="64504" s="160" customFormat="1" x14ac:dyDescent="0.3"/>
    <row r="64505" s="160" customFormat="1" x14ac:dyDescent="0.3"/>
    <row r="64506" s="160" customFormat="1" x14ac:dyDescent="0.3"/>
    <row r="64507" s="160" customFormat="1" x14ac:dyDescent="0.3"/>
    <row r="64508" s="160" customFormat="1" x14ac:dyDescent="0.3"/>
    <row r="64509" s="160" customFormat="1" x14ac:dyDescent="0.3"/>
    <row r="64510" s="160" customFormat="1" x14ac:dyDescent="0.3"/>
    <row r="64511" s="160" customFormat="1" x14ac:dyDescent="0.3"/>
    <row r="64512" s="160" customFormat="1" x14ac:dyDescent="0.3"/>
    <row r="64513" s="160" customFormat="1" x14ac:dyDescent="0.3"/>
    <row r="64514" s="160" customFormat="1" x14ac:dyDescent="0.3"/>
    <row r="64515" s="160" customFormat="1" x14ac:dyDescent="0.3"/>
    <row r="64516" s="160" customFormat="1" x14ac:dyDescent="0.3"/>
    <row r="64517" s="160" customFormat="1" x14ac:dyDescent="0.3"/>
    <row r="64518" s="160" customFormat="1" x14ac:dyDescent="0.3"/>
    <row r="64519" s="160" customFormat="1" x14ac:dyDescent="0.3"/>
    <row r="64520" s="160" customFormat="1" x14ac:dyDescent="0.3"/>
    <row r="64521" s="160" customFormat="1" x14ac:dyDescent="0.3"/>
    <row r="64522" s="160" customFormat="1" x14ac:dyDescent="0.3"/>
    <row r="64523" s="160" customFormat="1" x14ac:dyDescent="0.3"/>
    <row r="64524" s="160" customFormat="1" x14ac:dyDescent="0.3"/>
    <row r="64525" s="160" customFormat="1" x14ac:dyDescent="0.3"/>
    <row r="64526" s="160" customFormat="1" x14ac:dyDescent="0.3"/>
    <row r="64527" s="160" customFormat="1" x14ac:dyDescent="0.3"/>
    <row r="64528" s="160" customFormat="1" x14ac:dyDescent="0.3"/>
    <row r="64529" s="160" customFormat="1" x14ac:dyDescent="0.3"/>
    <row r="64530" s="160" customFormat="1" x14ac:dyDescent="0.3"/>
    <row r="64531" s="160" customFormat="1" x14ac:dyDescent="0.3"/>
    <row r="64532" s="160" customFormat="1" x14ac:dyDescent="0.3"/>
    <row r="64533" s="160" customFormat="1" x14ac:dyDescent="0.3"/>
    <row r="64534" s="160" customFormat="1" x14ac:dyDescent="0.3"/>
    <row r="64535" s="160" customFormat="1" x14ac:dyDescent="0.3"/>
    <row r="64536" s="160" customFormat="1" x14ac:dyDescent="0.3"/>
    <row r="64537" s="160" customFormat="1" x14ac:dyDescent="0.3"/>
    <row r="64538" s="160" customFormat="1" x14ac:dyDescent="0.3"/>
    <row r="64539" s="160" customFormat="1" x14ac:dyDescent="0.3"/>
    <row r="64540" s="160" customFormat="1" x14ac:dyDescent="0.3"/>
    <row r="64541" s="160" customFormat="1" x14ac:dyDescent="0.3"/>
    <row r="64542" s="160" customFormat="1" x14ac:dyDescent="0.3"/>
    <row r="64543" s="160" customFormat="1" x14ac:dyDescent="0.3"/>
    <row r="64544" s="160" customFormat="1" x14ac:dyDescent="0.3"/>
    <row r="64545" s="160" customFormat="1" x14ac:dyDescent="0.3"/>
    <row r="64546" s="160" customFormat="1" x14ac:dyDescent="0.3"/>
    <row r="64547" s="160" customFormat="1" x14ac:dyDescent="0.3"/>
    <row r="64548" s="160" customFormat="1" x14ac:dyDescent="0.3"/>
    <row r="64549" s="160" customFormat="1" x14ac:dyDescent="0.3"/>
    <row r="64550" s="160" customFormat="1" x14ac:dyDescent="0.3"/>
    <row r="64551" s="160" customFormat="1" x14ac:dyDescent="0.3"/>
    <row r="64552" s="160" customFormat="1" x14ac:dyDescent="0.3"/>
    <row r="64553" s="160" customFormat="1" x14ac:dyDescent="0.3"/>
    <row r="64554" s="160" customFormat="1" x14ac:dyDescent="0.3"/>
    <row r="64555" s="160" customFormat="1" x14ac:dyDescent="0.3"/>
    <row r="64556" s="160" customFormat="1" x14ac:dyDescent="0.3"/>
    <row r="64557" s="160" customFormat="1" x14ac:dyDescent="0.3"/>
    <row r="64558" s="160" customFormat="1" x14ac:dyDescent="0.3"/>
    <row r="64559" s="160" customFormat="1" x14ac:dyDescent="0.3"/>
    <row r="64560" s="160" customFormat="1" x14ac:dyDescent="0.3"/>
    <row r="64561" s="160" customFormat="1" x14ac:dyDescent="0.3"/>
    <row r="64562" s="160" customFormat="1" x14ac:dyDescent="0.3"/>
    <row r="64563" s="160" customFormat="1" x14ac:dyDescent="0.3"/>
    <row r="64564" s="160" customFormat="1" x14ac:dyDescent="0.3"/>
    <row r="64565" s="160" customFormat="1" x14ac:dyDescent="0.3"/>
    <row r="64566" s="160" customFormat="1" x14ac:dyDescent="0.3"/>
    <row r="64567" s="160" customFormat="1" x14ac:dyDescent="0.3"/>
    <row r="64568" s="160" customFormat="1" x14ac:dyDescent="0.3"/>
    <row r="64569" s="160" customFormat="1" x14ac:dyDescent="0.3"/>
    <row r="64570" s="160" customFormat="1" x14ac:dyDescent="0.3"/>
    <row r="64571" s="160" customFormat="1" x14ac:dyDescent="0.3"/>
    <row r="64572" s="160" customFormat="1" x14ac:dyDescent="0.3"/>
    <row r="64573" s="160" customFormat="1" x14ac:dyDescent="0.3"/>
    <row r="64574" s="160" customFormat="1" x14ac:dyDescent="0.3"/>
    <row r="64575" s="160" customFormat="1" x14ac:dyDescent="0.3"/>
    <row r="64576" s="160" customFormat="1" x14ac:dyDescent="0.3"/>
    <row r="64577" s="160" customFormat="1" x14ac:dyDescent="0.3"/>
    <row r="64578" s="160" customFormat="1" x14ac:dyDescent="0.3"/>
    <row r="64579" s="160" customFormat="1" x14ac:dyDescent="0.3"/>
    <row r="64580" s="160" customFormat="1" x14ac:dyDescent="0.3"/>
    <row r="64581" s="160" customFormat="1" x14ac:dyDescent="0.3"/>
    <row r="64582" s="160" customFormat="1" x14ac:dyDescent="0.3"/>
    <row r="64583" s="160" customFormat="1" x14ac:dyDescent="0.3"/>
    <row r="64584" s="160" customFormat="1" x14ac:dyDescent="0.3"/>
    <row r="64585" s="160" customFormat="1" x14ac:dyDescent="0.3"/>
    <row r="64586" s="160" customFormat="1" x14ac:dyDescent="0.3"/>
    <row r="64587" s="160" customFormat="1" x14ac:dyDescent="0.3"/>
    <row r="64588" s="160" customFormat="1" x14ac:dyDescent="0.3"/>
    <row r="64589" s="160" customFormat="1" x14ac:dyDescent="0.3"/>
    <row r="64590" s="160" customFormat="1" x14ac:dyDescent="0.3"/>
    <row r="64591" s="160" customFormat="1" x14ac:dyDescent="0.3"/>
    <row r="64592" s="160" customFormat="1" x14ac:dyDescent="0.3"/>
    <row r="64593" s="160" customFormat="1" x14ac:dyDescent="0.3"/>
    <row r="64594" s="160" customFormat="1" x14ac:dyDescent="0.3"/>
    <row r="64595" s="160" customFormat="1" x14ac:dyDescent="0.3"/>
    <row r="64596" s="160" customFormat="1" x14ac:dyDescent="0.3"/>
    <row r="64597" s="160" customFormat="1" x14ac:dyDescent="0.3"/>
    <row r="64598" s="160" customFormat="1" x14ac:dyDescent="0.3"/>
    <row r="64599" s="160" customFormat="1" x14ac:dyDescent="0.3"/>
    <row r="64600" s="160" customFormat="1" x14ac:dyDescent="0.3"/>
    <row r="64601" s="160" customFormat="1" x14ac:dyDescent="0.3"/>
    <row r="64602" s="160" customFormat="1" x14ac:dyDescent="0.3"/>
    <row r="64603" s="160" customFormat="1" x14ac:dyDescent="0.3"/>
    <row r="64604" s="160" customFormat="1" x14ac:dyDescent="0.3"/>
    <row r="64605" s="160" customFormat="1" x14ac:dyDescent="0.3"/>
    <row r="64606" s="160" customFormat="1" x14ac:dyDescent="0.3"/>
    <row r="64607" s="160" customFormat="1" x14ac:dyDescent="0.3"/>
    <row r="64608" s="160" customFormat="1" x14ac:dyDescent="0.3"/>
    <row r="64609" s="160" customFormat="1" x14ac:dyDescent="0.3"/>
    <row r="64610" s="160" customFormat="1" x14ac:dyDescent="0.3"/>
    <row r="64611" s="160" customFormat="1" x14ac:dyDescent="0.3"/>
    <row r="64612" s="160" customFormat="1" x14ac:dyDescent="0.3"/>
    <row r="64613" s="160" customFormat="1" x14ac:dyDescent="0.3"/>
    <row r="64614" s="160" customFormat="1" x14ac:dyDescent="0.3"/>
    <row r="64615" s="160" customFormat="1" x14ac:dyDescent="0.3"/>
    <row r="64616" s="160" customFormat="1" x14ac:dyDescent="0.3"/>
    <row r="64617" s="160" customFormat="1" x14ac:dyDescent="0.3"/>
    <row r="64618" s="160" customFormat="1" x14ac:dyDescent="0.3"/>
    <row r="64619" s="160" customFormat="1" x14ac:dyDescent="0.3"/>
    <row r="64620" s="160" customFormat="1" x14ac:dyDescent="0.3"/>
    <row r="64621" s="160" customFormat="1" x14ac:dyDescent="0.3"/>
    <row r="64622" s="160" customFormat="1" x14ac:dyDescent="0.3"/>
    <row r="64623" s="160" customFormat="1" x14ac:dyDescent="0.3"/>
    <row r="64624" s="160" customFormat="1" x14ac:dyDescent="0.3"/>
    <row r="64625" s="160" customFormat="1" x14ac:dyDescent="0.3"/>
    <row r="64626" s="160" customFormat="1" x14ac:dyDescent="0.3"/>
    <row r="64627" s="160" customFormat="1" x14ac:dyDescent="0.3"/>
    <row r="64628" s="160" customFormat="1" x14ac:dyDescent="0.3"/>
    <row r="64629" s="160" customFormat="1" x14ac:dyDescent="0.3"/>
    <row r="64630" s="160" customFormat="1" x14ac:dyDescent="0.3"/>
    <row r="64631" s="160" customFormat="1" x14ac:dyDescent="0.3"/>
    <row r="64632" s="160" customFormat="1" x14ac:dyDescent="0.3"/>
    <row r="64633" s="160" customFormat="1" x14ac:dyDescent="0.3"/>
    <row r="64634" s="160" customFormat="1" x14ac:dyDescent="0.3"/>
    <row r="64635" s="160" customFormat="1" x14ac:dyDescent="0.3"/>
    <row r="64636" s="160" customFormat="1" x14ac:dyDescent="0.3"/>
    <row r="64637" s="160" customFormat="1" x14ac:dyDescent="0.3"/>
    <row r="64638" s="160" customFormat="1" x14ac:dyDescent="0.3"/>
    <row r="64639" s="160" customFormat="1" x14ac:dyDescent="0.3"/>
    <row r="64640" s="160" customFormat="1" x14ac:dyDescent="0.3"/>
    <row r="64641" s="160" customFormat="1" x14ac:dyDescent="0.3"/>
    <row r="64642" s="160" customFormat="1" x14ac:dyDescent="0.3"/>
    <row r="64643" s="160" customFormat="1" x14ac:dyDescent="0.3"/>
    <row r="64644" s="160" customFormat="1" x14ac:dyDescent="0.3"/>
    <row r="64645" s="160" customFormat="1" x14ac:dyDescent="0.3"/>
    <row r="64646" s="160" customFormat="1" x14ac:dyDescent="0.3"/>
    <row r="64647" s="160" customFormat="1" x14ac:dyDescent="0.3"/>
    <row r="64648" s="160" customFormat="1" x14ac:dyDescent="0.3"/>
    <row r="64649" s="160" customFormat="1" x14ac:dyDescent="0.3"/>
    <row r="64650" s="160" customFormat="1" x14ac:dyDescent="0.3"/>
    <row r="64651" s="160" customFormat="1" x14ac:dyDescent="0.3"/>
    <row r="64652" s="160" customFormat="1" x14ac:dyDescent="0.3"/>
    <row r="64653" s="160" customFormat="1" x14ac:dyDescent="0.3"/>
    <row r="64654" s="160" customFormat="1" x14ac:dyDescent="0.3"/>
    <row r="64655" s="160" customFormat="1" x14ac:dyDescent="0.3"/>
    <row r="64656" s="160" customFormat="1" x14ac:dyDescent="0.3"/>
    <row r="64657" s="160" customFormat="1" x14ac:dyDescent="0.3"/>
    <row r="64658" s="160" customFormat="1" x14ac:dyDescent="0.3"/>
    <row r="64659" s="160" customFormat="1" x14ac:dyDescent="0.3"/>
    <row r="64660" s="160" customFormat="1" x14ac:dyDescent="0.3"/>
    <row r="64661" s="160" customFormat="1" x14ac:dyDescent="0.3"/>
    <row r="64662" s="160" customFormat="1" x14ac:dyDescent="0.3"/>
    <row r="64663" s="160" customFormat="1" x14ac:dyDescent="0.3"/>
    <row r="64664" s="160" customFormat="1" x14ac:dyDescent="0.3"/>
    <row r="64665" s="160" customFormat="1" x14ac:dyDescent="0.3"/>
    <row r="64666" s="160" customFormat="1" x14ac:dyDescent="0.3"/>
    <row r="64667" s="160" customFormat="1" x14ac:dyDescent="0.3"/>
    <row r="64668" s="160" customFormat="1" x14ac:dyDescent="0.3"/>
    <row r="64669" s="160" customFormat="1" x14ac:dyDescent="0.3"/>
    <row r="64670" s="160" customFormat="1" x14ac:dyDescent="0.3"/>
    <row r="64671" s="160" customFormat="1" x14ac:dyDescent="0.3"/>
    <row r="64672" s="160" customFormat="1" x14ac:dyDescent="0.3"/>
    <row r="64673" s="160" customFormat="1" x14ac:dyDescent="0.3"/>
    <row r="64674" s="160" customFormat="1" x14ac:dyDescent="0.3"/>
    <row r="64675" s="160" customFormat="1" x14ac:dyDescent="0.3"/>
    <row r="64676" s="160" customFormat="1" x14ac:dyDescent="0.3"/>
    <row r="64677" s="160" customFormat="1" x14ac:dyDescent="0.3"/>
    <row r="64678" s="160" customFormat="1" x14ac:dyDescent="0.3"/>
    <row r="64679" s="160" customFormat="1" x14ac:dyDescent="0.3"/>
    <row r="64680" s="160" customFormat="1" x14ac:dyDescent="0.3"/>
    <row r="64681" s="160" customFormat="1" x14ac:dyDescent="0.3"/>
    <row r="64682" s="160" customFormat="1" x14ac:dyDescent="0.3"/>
    <row r="64683" s="160" customFormat="1" x14ac:dyDescent="0.3"/>
    <row r="64684" s="160" customFormat="1" x14ac:dyDescent="0.3"/>
    <row r="64685" s="160" customFormat="1" x14ac:dyDescent="0.3"/>
    <row r="64686" s="160" customFormat="1" x14ac:dyDescent="0.3"/>
    <row r="64687" s="160" customFormat="1" x14ac:dyDescent="0.3"/>
    <row r="64688" s="160" customFormat="1" x14ac:dyDescent="0.3"/>
    <row r="64689" s="160" customFormat="1" x14ac:dyDescent="0.3"/>
    <row r="64690" s="160" customFormat="1" x14ac:dyDescent="0.3"/>
    <row r="64691" s="160" customFormat="1" x14ac:dyDescent="0.3"/>
    <row r="64692" s="160" customFormat="1" x14ac:dyDescent="0.3"/>
    <row r="64693" s="160" customFormat="1" x14ac:dyDescent="0.3"/>
    <row r="64694" s="160" customFormat="1" x14ac:dyDescent="0.3"/>
    <row r="64695" s="160" customFormat="1" x14ac:dyDescent="0.3"/>
    <row r="64696" s="160" customFormat="1" x14ac:dyDescent="0.3"/>
    <row r="64697" s="160" customFormat="1" x14ac:dyDescent="0.3"/>
    <row r="64698" s="160" customFormat="1" x14ac:dyDescent="0.3"/>
    <row r="64699" s="160" customFormat="1" x14ac:dyDescent="0.3"/>
    <row r="64700" s="160" customFormat="1" x14ac:dyDescent="0.3"/>
    <row r="64701" s="160" customFormat="1" x14ac:dyDescent="0.3"/>
    <row r="64702" s="160" customFormat="1" x14ac:dyDescent="0.3"/>
    <row r="64703" s="160" customFormat="1" x14ac:dyDescent="0.3"/>
    <row r="64704" s="160" customFormat="1" x14ac:dyDescent="0.3"/>
    <row r="64705" s="160" customFormat="1" x14ac:dyDescent="0.3"/>
    <row r="64706" s="160" customFormat="1" x14ac:dyDescent="0.3"/>
    <row r="64707" s="160" customFormat="1" x14ac:dyDescent="0.3"/>
    <row r="64708" s="160" customFormat="1" x14ac:dyDescent="0.3"/>
    <row r="64709" s="160" customFormat="1" x14ac:dyDescent="0.3"/>
    <row r="64710" s="160" customFormat="1" x14ac:dyDescent="0.3"/>
    <row r="64711" s="160" customFormat="1" x14ac:dyDescent="0.3"/>
    <row r="64712" s="160" customFormat="1" x14ac:dyDescent="0.3"/>
    <row r="64713" s="160" customFormat="1" x14ac:dyDescent="0.3"/>
    <row r="64714" s="160" customFormat="1" x14ac:dyDescent="0.3"/>
    <row r="64715" s="160" customFormat="1" x14ac:dyDescent="0.3"/>
    <row r="64716" s="160" customFormat="1" x14ac:dyDescent="0.3"/>
    <row r="64717" s="160" customFormat="1" x14ac:dyDescent="0.3"/>
    <row r="64718" s="160" customFormat="1" x14ac:dyDescent="0.3"/>
    <row r="64719" s="160" customFormat="1" x14ac:dyDescent="0.3"/>
    <row r="64720" s="160" customFormat="1" x14ac:dyDescent="0.3"/>
    <row r="64721" s="160" customFormat="1" x14ac:dyDescent="0.3"/>
    <row r="64722" s="160" customFormat="1" x14ac:dyDescent="0.3"/>
    <row r="64723" s="160" customFormat="1" x14ac:dyDescent="0.3"/>
    <row r="64724" s="160" customFormat="1" x14ac:dyDescent="0.3"/>
    <row r="64725" s="160" customFormat="1" x14ac:dyDescent="0.3"/>
    <row r="64726" s="160" customFormat="1" x14ac:dyDescent="0.3"/>
    <row r="64727" s="160" customFormat="1" x14ac:dyDescent="0.3"/>
    <row r="64728" s="160" customFormat="1" x14ac:dyDescent="0.3"/>
    <row r="64729" s="160" customFormat="1" x14ac:dyDescent="0.3"/>
    <row r="64730" s="160" customFormat="1" x14ac:dyDescent="0.3"/>
    <row r="64731" s="160" customFormat="1" x14ac:dyDescent="0.3"/>
    <row r="64732" s="160" customFormat="1" x14ac:dyDescent="0.3"/>
    <row r="64733" s="160" customFormat="1" x14ac:dyDescent="0.3"/>
    <row r="64734" s="160" customFormat="1" x14ac:dyDescent="0.3"/>
    <row r="64735" s="160" customFormat="1" x14ac:dyDescent="0.3"/>
    <row r="64736" s="160" customFormat="1" x14ac:dyDescent="0.3"/>
    <row r="64737" s="160" customFormat="1" x14ac:dyDescent="0.3"/>
    <row r="64738" s="160" customFormat="1" x14ac:dyDescent="0.3"/>
    <row r="64739" s="160" customFormat="1" x14ac:dyDescent="0.3"/>
    <row r="64740" s="160" customFormat="1" x14ac:dyDescent="0.3"/>
    <row r="64741" s="160" customFormat="1" x14ac:dyDescent="0.3"/>
    <row r="64742" s="160" customFormat="1" x14ac:dyDescent="0.3"/>
    <row r="64743" s="160" customFormat="1" x14ac:dyDescent="0.3"/>
    <row r="64744" s="160" customFormat="1" x14ac:dyDescent="0.3"/>
    <row r="64745" s="160" customFormat="1" x14ac:dyDescent="0.3"/>
    <row r="64746" s="160" customFormat="1" x14ac:dyDescent="0.3"/>
    <row r="64747" s="160" customFormat="1" x14ac:dyDescent="0.3"/>
    <row r="64748" s="160" customFormat="1" x14ac:dyDescent="0.3"/>
    <row r="64749" s="160" customFormat="1" x14ac:dyDescent="0.3"/>
    <row r="64750" s="160" customFormat="1" x14ac:dyDescent="0.3"/>
    <row r="64751" s="160" customFormat="1" x14ac:dyDescent="0.3"/>
    <row r="64752" s="160" customFormat="1" x14ac:dyDescent="0.3"/>
    <row r="64753" s="160" customFormat="1" x14ac:dyDescent="0.3"/>
    <row r="64754" s="160" customFormat="1" x14ac:dyDescent="0.3"/>
    <row r="64755" s="160" customFormat="1" x14ac:dyDescent="0.3"/>
    <row r="64756" s="160" customFormat="1" x14ac:dyDescent="0.3"/>
    <row r="64757" s="160" customFormat="1" x14ac:dyDescent="0.3"/>
    <row r="64758" s="160" customFormat="1" x14ac:dyDescent="0.3"/>
    <row r="64759" s="160" customFormat="1" x14ac:dyDescent="0.3"/>
    <row r="64760" s="160" customFormat="1" x14ac:dyDescent="0.3"/>
    <row r="64761" s="160" customFormat="1" x14ac:dyDescent="0.3"/>
    <row r="64762" s="160" customFormat="1" x14ac:dyDescent="0.3"/>
    <row r="64763" s="160" customFormat="1" x14ac:dyDescent="0.3"/>
    <row r="64764" s="160" customFormat="1" x14ac:dyDescent="0.3"/>
    <row r="64765" s="160" customFormat="1" x14ac:dyDescent="0.3"/>
    <row r="64766" s="160" customFormat="1" x14ac:dyDescent="0.3"/>
    <row r="64767" s="160" customFormat="1" x14ac:dyDescent="0.3"/>
    <row r="64768" s="160" customFormat="1" x14ac:dyDescent="0.3"/>
    <row r="64769" s="160" customFormat="1" x14ac:dyDescent="0.3"/>
    <row r="64770" s="160" customFormat="1" x14ac:dyDescent="0.3"/>
    <row r="64771" s="160" customFormat="1" x14ac:dyDescent="0.3"/>
    <row r="64772" s="160" customFormat="1" x14ac:dyDescent="0.3"/>
    <row r="64773" s="160" customFormat="1" x14ac:dyDescent="0.3"/>
    <row r="64774" s="160" customFormat="1" x14ac:dyDescent="0.3"/>
    <row r="64775" s="160" customFormat="1" x14ac:dyDescent="0.3"/>
    <row r="64776" s="160" customFormat="1" x14ac:dyDescent="0.3"/>
    <row r="64777" s="160" customFormat="1" x14ac:dyDescent="0.3"/>
    <row r="64778" s="160" customFormat="1" x14ac:dyDescent="0.3"/>
    <row r="64779" s="160" customFormat="1" x14ac:dyDescent="0.3"/>
    <row r="64780" s="160" customFormat="1" x14ac:dyDescent="0.3"/>
    <row r="64781" s="160" customFormat="1" x14ac:dyDescent="0.3"/>
    <row r="64782" s="160" customFormat="1" x14ac:dyDescent="0.3"/>
    <row r="64783" s="160" customFormat="1" x14ac:dyDescent="0.3"/>
    <row r="64784" s="160" customFormat="1" x14ac:dyDescent="0.3"/>
    <row r="64785" s="160" customFormat="1" x14ac:dyDescent="0.3"/>
    <row r="64786" s="160" customFormat="1" x14ac:dyDescent="0.3"/>
    <row r="64787" s="160" customFormat="1" x14ac:dyDescent="0.3"/>
    <row r="64788" s="160" customFormat="1" x14ac:dyDescent="0.3"/>
    <row r="64789" s="160" customFormat="1" x14ac:dyDescent="0.3"/>
    <row r="64790" s="160" customFormat="1" x14ac:dyDescent="0.3"/>
    <row r="64791" s="160" customFormat="1" x14ac:dyDescent="0.3"/>
    <row r="64792" s="160" customFormat="1" x14ac:dyDescent="0.3"/>
    <row r="64793" s="160" customFormat="1" x14ac:dyDescent="0.3"/>
    <row r="64794" s="160" customFormat="1" x14ac:dyDescent="0.3"/>
    <row r="64795" s="160" customFormat="1" x14ac:dyDescent="0.3"/>
    <row r="64796" s="160" customFormat="1" x14ac:dyDescent="0.3"/>
    <row r="64797" s="160" customFormat="1" x14ac:dyDescent="0.3"/>
    <row r="64798" s="160" customFormat="1" x14ac:dyDescent="0.3"/>
    <row r="64799" s="160" customFormat="1" x14ac:dyDescent="0.3"/>
    <row r="64800" s="160" customFormat="1" x14ac:dyDescent="0.3"/>
    <row r="64801" s="160" customFormat="1" x14ac:dyDescent="0.3"/>
    <row r="64802" s="160" customFormat="1" x14ac:dyDescent="0.3"/>
    <row r="64803" s="160" customFormat="1" x14ac:dyDescent="0.3"/>
    <row r="64804" s="160" customFormat="1" x14ac:dyDescent="0.3"/>
    <row r="64805" s="160" customFormat="1" x14ac:dyDescent="0.3"/>
    <row r="64806" s="160" customFormat="1" x14ac:dyDescent="0.3"/>
    <row r="64807" s="160" customFormat="1" x14ac:dyDescent="0.3"/>
    <row r="64808" s="160" customFormat="1" x14ac:dyDescent="0.3"/>
    <row r="64809" s="160" customFormat="1" x14ac:dyDescent="0.3"/>
    <row r="64810" s="160" customFormat="1" x14ac:dyDescent="0.3"/>
    <row r="64811" s="160" customFormat="1" x14ac:dyDescent="0.3"/>
    <row r="64812" s="160" customFormat="1" x14ac:dyDescent="0.3"/>
    <row r="64813" s="160" customFormat="1" x14ac:dyDescent="0.3"/>
    <row r="64814" s="160" customFormat="1" x14ac:dyDescent="0.3"/>
    <row r="64815" s="160" customFormat="1" x14ac:dyDescent="0.3"/>
    <row r="64816" s="160" customFormat="1" x14ac:dyDescent="0.3"/>
    <row r="64817" s="160" customFormat="1" x14ac:dyDescent="0.3"/>
    <row r="64818" s="160" customFormat="1" x14ac:dyDescent="0.3"/>
    <row r="64819" s="160" customFormat="1" x14ac:dyDescent="0.3"/>
    <row r="64820" s="160" customFormat="1" x14ac:dyDescent="0.3"/>
    <row r="64821" s="160" customFormat="1" x14ac:dyDescent="0.3"/>
    <row r="64822" s="160" customFormat="1" x14ac:dyDescent="0.3"/>
    <row r="64823" s="160" customFormat="1" x14ac:dyDescent="0.3"/>
    <row r="64824" s="160" customFormat="1" x14ac:dyDescent="0.3"/>
    <row r="64825" s="160" customFormat="1" x14ac:dyDescent="0.3"/>
    <row r="64826" s="160" customFormat="1" x14ac:dyDescent="0.3"/>
    <row r="64827" s="160" customFormat="1" x14ac:dyDescent="0.3"/>
    <row r="64828" s="160" customFormat="1" x14ac:dyDescent="0.3"/>
    <row r="64829" s="160" customFormat="1" x14ac:dyDescent="0.3"/>
    <row r="64830" s="160" customFormat="1" x14ac:dyDescent="0.3"/>
    <row r="64831" s="160" customFormat="1" x14ac:dyDescent="0.3"/>
    <row r="64832" s="160" customFormat="1" x14ac:dyDescent="0.3"/>
    <row r="64833" s="160" customFormat="1" x14ac:dyDescent="0.3"/>
    <row r="64834" s="160" customFormat="1" x14ac:dyDescent="0.3"/>
    <row r="64835" s="160" customFormat="1" x14ac:dyDescent="0.3"/>
    <row r="64836" s="160" customFormat="1" x14ac:dyDescent="0.3"/>
    <row r="64837" s="160" customFormat="1" x14ac:dyDescent="0.3"/>
    <row r="64838" s="160" customFormat="1" x14ac:dyDescent="0.3"/>
    <row r="64839" s="160" customFormat="1" x14ac:dyDescent="0.3"/>
    <row r="64840" s="160" customFormat="1" x14ac:dyDescent="0.3"/>
    <row r="64841" s="160" customFormat="1" x14ac:dyDescent="0.3"/>
    <row r="64842" s="160" customFormat="1" x14ac:dyDescent="0.3"/>
    <row r="64843" s="160" customFormat="1" x14ac:dyDescent="0.3"/>
    <row r="64844" s="160" customFormat="1" x14ac:dyDescent="0.3"/>
    <row r="64845" s="160" customFormat="1" x14ac:dyDescent="0.3"/>
    <row r="64846" s="160" customFormat="1" x14ac:dyDescent="0.3"/>
    <row r="64847" s="160" customFormat="1" x14ac:dyDescent="0.3"/>
    <row r="64848" s="160" customFormat="1" x14ac:dyDescent="0.3"/>
    <row r="64849" s="160" customFormat="1" x14ac:dyDescent="0.3"/>
    <row r="64850" s="160" customFormat="1" x14ac:dyDescent="0.3"/>
    <row r="64851" s="160" customFormat="1" x14ac:dyDescent="0.3"/>
    <row r="64852" s="160" customFormat="1" x14ac:dyDescent="0.3"/>
    <row r="64853" s="160" customFormat="1" x14ac:dyDescent="0.3"/>
    <row r="64854" s="160" customFormat="1" x14ac:dyDescent="0.3"/>
    <row r="64855" s="160" customFormat="1" x14ac:dyDescent="0.3"/>
    <row r="64856" s="160" customFormat="1" x14ac:dyDescent="0.3"/>
    <row r="64857" s="160" customFormat="1" x14ac:dyDescent="0.3"/>
    <row r="64858" s="160" customFormat="1" x14ac:dyDescent="0.3"/>
    <row r="64859" s="160" customFormat="1" x14ac:dyDescent="0.3"/>
    <row r="64860" s="160" customFormat="1" x14ac:dyDescent="0.3"/>
    <row r="64861" s="160" customFormat="1" x14ac:dyDescent="0.3"/>
    <row r="64862" s="160" customFormat="1" x14ac:dyDescent="0.3"/>
    <row r="64863" s="160" customFormat="1" x14ac:dyDescent="0.3"/>
    <row r="64864" s="160" customFormat="1" x14ac:dyDescent="0.3"/>
    <row r="64865" s="160" customFormat="1" x14ac:dyDescent="0.3"/>
    <row r="64866" s="160" customFormat="1" x14ac:dyDescent="0.3"/>
    <row r="64867" s="160" customFormat="1" x14ac:dyDescent="0.3"/>
    <row r="64868" s="160" customFormat="1" x14ac:dyDescent="0.3"/>
    <row r="64869" s="160" customFormat="1" x14ac:dyDescent="0.3"/>
    <row r="64870" s="160" customFormat="1" x14ac:dyDescent="0.3"/>
    <row r="64871" s="160" customFormat="1" x14ac:dyDescent="0.3"/>
    <row r="64872" s="160" customFormat="1" x14ac:dyDescent="0.3"/>
    <row r="64873" s="160" customFormat="1" x14ac:dyDescent="0.3"/>
    <row r="64874" s="160" customFormat="1" x14ac:dyDescent="0.3"/>
    <row r="64875" s="160" customFormat="1" x14ac:dyDescent="0.3"/>
    <row r="64876" s="160" customFormat="1" x14ac:dyDescent="0.3"/>
    <row r="64877" s="160" customFormat="1" x14ac:dyDescent="0.3"/>
    <row r="64878" s="160" customFormat="1" x14ac:dyDescent="0.3"/>
    <row r="64879" s="160" customFormat="1" x14ac:dyDescent="0.3"/>
    <row r="64880" s="160" customFormat="1" x14ac:dyDescent="0.3"/>
    <row r="64881" s="160" customFormat="1" x14ac:dyDescent="0.3"/>
    <row r="64882" s="160" customFormat="1" x14ac:dyDescent="0.3"/>
    <row r="64883" s="160" customFormat="1" x14ac:dyDescent="0.3"/>
    <row r="64884" s="160" customFormat="1" x14ac:dyDescent="0.3"/>
    <row r="64885" s="160" customFormat="1" x14ac:dyDescent="0.3"/>
    <row r="64886" s="160" customFormat="1" x14ac:dyDescent="0.3"/>
    <row r="64887" s="160" customFormat="1" x14ac:dyDescent="0.3"/>
    <row r="64888" s="160" customFormat="1" x14ac:dyDescent="0.3"/>
    <row r="64889" s="160" customFormat="1" x14ac:dyDescent="0.3"/>
    <row r="64890" s="160" customFormat="1" x14ac:dyDescent="0.3"/>
    <row r="64891" s="160" customFormat="1" x14ac:dyDescent="0.3"/>
    <row r="64892" s="160" customFormat="1" x14ac:dyDescent="0.3"/>
    <row r="64893" s="160" customFormat="1" x14ac:dyDescent="0.3"/>
    <row r="64894" s="160" customFormat="1" x14ac:dyDescent="0.3"/>
    <row r="64895" s="160" customFormat="1" x14ac:dyDescent="0.3"/>
    <row r="64896" s="160" customFormat="1" x14ac:dyDescent="0.3"/>
    <row r="64897" s="160" customFormat="1" x14ac:dyDescent="0.3"/>
    <row r="64898" s="160" customFormat="1" x14ac:dyDescent="0.3"/>
    <row r="64899" s="160" customFormat="1" x14ac:dyDescent="0.3"/>
    <row r="64900" s="160" customFormat="1" x14ac:dyDescent="0.3"/>
    <row r="64901" s="160" customFormat="1" x14ac:dyDescent="0.3"/>
    <row r="64902" s="160" customFormat="1" x14ac:dyDescent="0.3"/>
    <row r="64903" s="160" customFormat="1" x14ac:dyDescent="0.3"/>
    <row r="64904" s="160" customFormat="1" x14ac:dyDescent="0.3"/>
    <row r="64905" s="160" customFormat="1" x14ac:dyDescent="0.3"/>
    <row r="64906" s="160" customFormat="1" x14ac:dyDescent="0.3"/>
    <row r="64907" s="160" customFormat="1" x14ac:dyDescent="0.3"/>
    <row r="64908" s="160" customFormat="1" x14ac:dyDescent="0.3"/>
    <row r="64909" s="160" customFormat="1" x14ac:dyDescent="0.3"/>
    <row r="64910" s="160" customFormat="1" x14ac:dyDescent="0.3"/>
    <row r="64911" s="160" customFormat="1" x14ac:dyDescent="0.3"/>
    <row r="64912" s="160" customFormat="1" x14ac:dyDescent="0.3"/>
    <row r="64913" s="160" customFormat="1" x14ac:dyDescent="0.3"/>
    <row r="64914" s="160" customFormat="1" x14ac:dyDescent="0.3"/>
    <row r="64915" s="160" customFormat="1" x14ac:dyDescent="0.3"/>
    <row r="64916" s="160" customFormat="1" x14ac:dyDescent="0.3"/>
    <row r="64917" s="160" customFormat="1" x14ac:dyDescent="0.3"/>
    <row r="64918" s="160" customFormat="1" x14ac:dyDescent="0.3"/>
    <row r="64919" s="160" customFormat="1" x14ac:dyDescent="0.3"/>
    <row r="64920" s="160" customFormat="1" x14ac:dyDescent="0.3"/>
    <row r="64921" s="160" customFormat="1" x14ac:dyDescent="0.3"/>
    <row r="64922" s="160" customFormat="1" x14ac:dyDescent="0.3"/>
    <row r="64923" s="160" customFormat="1" x14ac:dyDescent="0.3"/>
    <row r="64924" s="160" customFormat="1" x14ac:dyDescent="0.3"/>
    <row r="64925" s="160" customFormat="1" x14ac:dyDescent="0.3"/>
    <row r="64926" s="160" customFormat="1" x14ac:dyDescent="0.3"/>
    <row r="64927" s="160" customFormat="1" x14ac:dyDescent="0.3"/>
    <row r="64928" s="160" customFormat="1" x14ac:dyDescent="0.3"/>
    <row r="64929" s="160" customFormat="1" x14ac:dyDescent="0.3"/>
    <row r="64930" s="160" customFormat="1" x14ac:dyDescent="0.3"/>
    <row r="64931" s="160" customFormat="1" x14ac:dyDescent="0.3"/>
    <row r="64932" s="160" customFormat="1" x14ac:dyDescent="0.3"/>
    <row r="64933" s="160" customFormat="1" x14ac:dyDescent="0.3"/>
    <row r="64934" s="160" customFormat="1" x14ac:dyDescent="0.3"/>
    <row r="64935" s="160" customFormat="1" x14ac:dyDescent="0.3"/>
    <row r="64936" s="160" customFormat="1" x14ac:dyDescent="0.3"/>
    <row r="64937" s="160" customFormat="1" x14ac:dyDescent="0.3"/>
    <row r="64938" s="160" customFormat="1" x14ac:dyDescent="0.3"/>
    <row r="64939" s="160" customFormat="1" x14ac:dyDescent="0.3"/>
    <row r="64940" s="160" customFormat="1" x14ac:dyDescent="0.3"/>
    <row r="64941" s="160" customFormat="1" x14ac:dyDescent="0.3"/>
    <row r="64942" s="160" customFormat="1" x14ac:dyDescent="0.3"/>
    <row r="64943" s="160" customFormat="1" x14ac:dyDescent="0.3"/>
    <row r="64944" s="160" customFormat="1" x14ac:dyDescent="0.3"/>
    <row r="64945" s="160" customFormat="1" x14ac:dyDescent="0.3"/>
    <row r="64946" s="160" customFormat="1" x14ac:dyDescent="0.3"/>
    <row r="64947" s="160" customFormat="1" x14ac:dyDescent="0.3"/>
    <row r="64948" s="160" customFormat="1" x14ac:dyDescent="0.3"/>
    <row r="64949" s="160" customFormat="1" x14ac:dyDescent="0.3"/>
    <row r="64950" s="160" customFormat="1" x14ac:dyDescent="0.3"/>
    <row r="64951" s="160" customFormat="1" x14ac:dyDescent="0.3"/>
    <row r="64952" s="160" customFormat="1" x14ac:dyDescent="0.3"/>
    <row r="64953" s="160" customFormat="1" x14ac:dyDescent="0.3"/>
    <row r="64954" s="160" customFormat="1" x14ac:dyDescent="0.3"/>
    <row r="64955" s="160" customFormat="1" x14ac:dyDescent="0.3"/>
    <row r="64956" s="160" customFormat="1" x14ac:dyDescent="0.3"/>
    <row r="64957" s="160" customFormat="1" x14ac:dyDescent="0.3"/>
    <row r="64958" s="160" customFormat="1" x14ac:dyDescent="0.3"/>
    <row r="64959" s="160" customFormat="1" x14ac:dyDescent="0.3"/>
    <row r="64960" s="160" customFormat="1" x14ac:dyDescent="0.3"/>
    <row r="64961" s="160" customFormat="1" x14ac:dyDescent="0.3"/>
    <row r="64962" s="160" customFormat="1" x14ac:dyDescent="0.3"/>
    <row r="64963" s="160" customFormat="1" x14ac:dyDescent="0.3"/>
    <row r="64964" s="160" customFormat="1" x14ac:dyDescent="0.3"/>
    <row r="64965" s="160" customFormat="1" x14ac:dyDescent="0.3"/>
    <row r="64966" s="160" customFormat="1" x14ac:dyDescent="0.3"/>
    <row r="64967" s="160" customFormat="1" x14ac:dyDescent="0.3"/>
    <row r="64968" s="160" customFormat="1" x14ac:dyDescent="0.3"/>
    <row r="64969" s="160" customFormat="1" x14ac:dyDescent="0.3"/>
    <row r="64970" s="160" customFormat="1" x14ac:dyDescent="0.3"/>
    <row r="64971" s="160" customFormat="1" x14ac:dyDescent="0.3"/>
    <row r="64972" s="160" customFormat="1" x14ac:dyDescent="0.3"/>
    <row r="64973" s="160" customFormat="1" x14ac:dyDescent="0.3"/>
    <row r="64974" s="160" customFormat="1" x14ac:dyDescent="0.3"/>
    <row r="64975" s="160" customFormat="1" x14ac:dyDescent="0.3"/>
    <row r="64976" s="160" customFormat="1" x14ac:dyDescent="0.3"/>
    <row r="64977" s="160" customFormat="1" x14ac:dyDescent="0.3"/>
    <row r="64978" s="160" customFormat="1" x14ac:dyDescent="0.3"/>
    <row r="64979" s="160" customFormat="1" x14ac:dyDescent="0.3"/>
    <row r="64980" s="160" customFormat="1" x14ac:dyDescent="0.3"/>
    <row r="64981" s="160" customFormat="1" x14ac:dyDescent="0.3"/>
    <row r="64982" s="160" customFormat="1" x14ac:dyDescent="0.3"/>
    <row r="64983" s="160" customFormat="1" x14ac:dyDescent="0.3"/>
    <row r="64984" s="160" customFormat="1" x14ac:dyDescent="0.3"/>
    <row r="64985" s="160" customFormat="1" x14ac:dyDescent="0.3"/>
    <row r="64986" s="160" customFormat="1" x14ac:dyDescent="0.3"/>
    <row r="64987" s="160" customFormat="1" x14ac:dyDescent="0.3"/>
    <row r="64988" s="160" customFormat="1" x14ac:dyDescent="0.3"/>
    <row r="64989" s="160" customFormat="1" x14ac:dyDescent="0.3"/>
    <row r="64990" s="160" customFormat="1" x14ac:dyDescent="0.3"/>
    <row r="64991" s="160" customFormat="1" x14ac:dyDescent="0.3"/>
    <row r="64992" s="160" customFormat="1" x14ac:dyDescent="0.3"/>
    <row r="64993" s="160" customFormat="1" x14ac:dyDescent="0.3"/>
    <row r="64994" s="160" customFormat="1" x14ac:dyDescent="0.3"/>
    <row r="64995" s="160" customFormat="1" x14ac:dyDescent="0.3"/>
    <row r="64996" s="160" customFormat="1" x14ac:dyDescent="0.3"/>
    <row r="64997" s="160" customFormat="1" x14ac:dyDescent="0.3"/>
    <row r="64998" s="160" customFormat="1" x14ac:dyDescent="0.3"/>
    <row r="64999" s="160" customFormat="1" x14ac:dyDescent="0.3"/>
    <row r="65000" s="160" customFormat="1" x14ac:dyDescent="0.3"/>
    <row r="65001" s="160" customFormat="1" x14ac:dyDescent="0.3"/>
    <row r="65002" s="160" customFormat="1" x14ac:dyDescent="0.3"/>
    <row r="65003" s="160" customFormat="1" x14ac:dyDescent="0.3"/>
    <row r="65004" s="160" customFormat="1" x14ac:dyDescent="0.3"/>
    <row r="65005" s="160" customFormat="1" x14ac:dyDescent="0.3"/>
    <row r="65006" s="160" customFormat="1" x14ac:dyDescent="0.3"/>
    <row r="65007" s="160" customFormat="1" x14ac:dyDescent="0.3"/>
    <row r="65008" s="160" customFormat="1" x14ac:dyDescent="0.3"/>
    <row r="65009" s="160" customFormat="1" x14ac:dyDescent="0.3"/>
    <row r="65010" s="160" customFormat="1" x14ac:dyDescent="0.3"/>
    <row r="65011" s="160" customFormat="1" x14ac:dyDescent="0.3"/>
    <row r="65012" s="160" customFormat="1" x14ac:dyDescent="0.3"/>
    <row r="65013" s="160" customFormat="1" x14ac:dyDescent="0.3"/>
    <row r="65014" s="160" customFormat="1" x14ac:dyDescent="0.3"/>
    <row r="65015" s="160" customFormat="1" x14ac:dyDescent="0.3"/>
    <row r="65016" s="160" customFormat="1" x14ac:dyDescent="0.3"/>
    <row r="65017" s="160" customFormat="1" x14ac:dyDescent="0.3"/>
    <row r="65018" s="160" customFormat="1" x14ac:dyDescent="0.3"/>
    <row r="65019" s="160" customFormat="1" x14ac:dyDescent="0.3"/>
    <row r="65020" s="160" customFormat="1" x14ac:dyDescent="0.3"/>
    <row r="65021" s="160" customFormat="1" x14ac:dyDescent="0.3"/>
    <row r="65022" s="160" customFormat="1" x14ac:dyDescent="0.3"/>
    <row r="65023" s="160" customFormat="1" x14ac:dyDescent="0.3"/>
    <row r="65024" s="160" customFormat="1" x14ac:dyDescent="0.3"/>
    <row r="65025" s="160" customFormat="1" x14ac:dyDescent="0.3"/>
    <row r="65026" s="160" customFormat="1" x14ac:dyDescent="0.3"/>
    <row r="65027" s="160" customFormat="1" x14ac:dyDescent="0.3"/>
    <row r="65028" s="160" customFormat="1" x14ac:dyDescent="0.3"/>
    <row r="65029" s="160" customFormat="1" x14ac:dyDescent="0.3"/>
    <row r="65030" s="160" customFormat="1" x14ac:dyDescent="0.3"/>
    <row r="65031" s="160" customFormat="1" x14ac:dyDescent="0.3"/>
    <row r="65032" s="160" customFormat="1" x14ac:dyDescent="0.3"/>
    <row r="65033" s="160" customFormat="1" x14ac:dyDescent="0.3"/>
    <row r="65034" s="160" customFormat="1" x14ac:dyDescent="0.3"/>
    <row r="65035" s="160" customFormat="1" x14ac:dyDescent="0.3"/>
    <row r="65036" s="160" customFormat="1" x14ac:dyDescent="0.3"/>
    <row r="65037" s="160" customFormat="1" x14ac:dyDescent="0.3"/>
    <row r="65038" s="160" customFormat="1" x14ac:dyDescent="0.3"/>
    <row r="65039" s="160" customFormat="1" x14ac:dyDescent="0.3"/>
    <row r="65040" s="160" customFormat="1" x14ac:dyDescent="0.3"/>
    <row r="65041" s="160" customFormat="1" x14ac:dyDescent="0.3"/>
    <row r="65042" s="160" customFormat="1" x14ac:dyDescent="0.3"/>
    <row r="65043" s="160" customFormat="1" x14ac:dyDescent="0.3"/>
    <row r="65044" s="160" customFormat="1" x14ac:dyDescent="0.3"/>
    <row r="65045" s="160" customFormat="1" x14ac:dyDescent="0.3"/>
    <row r="65046" s="160" customFormat="1" x14ac:dyDescent="0.3"/>
    <row r="65047" s="160" customFormat="1" x14ac:dyDescent="0.3"/>
    <row r="65048" s="160" customFormat="1" x14ac:dyDescent="0.3"/>
    <row r="65049" s="160" customFormat="1" x14ac:dyDescent="0.3"/>
    <row r="65050" s="160" customFormat="1" x14ac:dyDescent="0.3"/>
    <row r="65051" s="160" customFormat="1" x14ac:dyDescent="0.3"/>
    <row r="65052" s="160" customFormat="1" x14ac:dyDescent="0.3"/>
    <row r="65053" s="160" customFormat="1" x14ac:dyDescent="0.3"/>
    <row r="65054" s="160" customFormat="1" x14ac:dyDescent="0.3"/>
    <row r="65055" s="160" customFormat="1" x14ac:dyDescent="0.3"/>
    <row r="65056" s="160" customFormat="1" x14ac:dyDescent="0.3"/>
    <row r="65057" s="160" customFormat="1" x14ac:dyDescent="0.3"/>
    <row r="65058" s="160" customFormat="1" x14ac:dyDescent="0.3"/>
    <row r="65059" s="160" customFormat="1" x14ac:dyDescent="0.3"/>
    <row r="65060" s="160" customFormat="1" x14ac:dyDescent="0.3"/>
    <row r="65061" s="160" customFormat="1" x14ac:dyDescent="0.3"/>
    <row r="65062" s="160" customFormat="1" x14ac:dyDescent="0.3"/>
    <row r="65063" s="160" customFormat="1" x14ac:dyDescent="0.3"/>
    <row r="65064" s="160" customFormat="1" x14ac:dyDescent="0.3"/>
    <row r="65065" s="160" customFormat="1" x14ac:dyDescent="0.3"/>
    <row r="65066" s="160" customFormat="1" x14ac:dyDescent="0.3"/>
    <row r="65067" s="160" customFormat="1" x14ac:dyDescent="0.3"/>
    <row r="65068" s="160" customFormat="1" x14ac:dyDescent="0.3"/>
    <row r="65069" s="160" customFormat="1" x14ac:dyDescent="0.3"/>
    <row r="65070" s="160" customFormat="1" x14ac:dyDescent="0.3"/>
    <row r="65071" s="160" customFormat="1" x14ac:dyDescent="0.3"/>
    <row r="65072" s="160" customFormat="1" x14ac:dyDescent="0.3"/>
    <row r="65073" s="160" customFormat="1" x14ac:dyDescent="0.3"/>
    <row r="65074" s="160" customFormat="1" x14ac:dyDescent="0.3"/>
    <row r="65075" s="160" customFormat="1" x14ac:dyDescent="0.3"/>
    <row r="65076" s="160" customFormat="1" x14ac:dyDescent="0.3"/>
    <row r="65077" s="160" customFormat="1" x14ac:dyDescent="0.3"/>
    <row r="65078" s="160" customFormat="1" x14ac:dyDescent="0.3"/>
    <row r="65079" s="160" customFormat="1" x14ac:dyDescent="0.3"/>
    <row r="65080" s="160" customFormat="1" x14ac:dyDescent="0.3"/>
    <row r="65081" s="160" customFormat="1" x14ac:dyDescent="0.3"/>
    <row r="65082" s="160" customFormat="1" x14ac:dyDescent="0.3"/>
    <row r="65083" s="160" customFormat="1" x14ac:dyDescent="0.3"/>
    <row r="65084" s="160" customFormat="1" x14ac:dyDescent="0.3"/>
    <row r="65085" s="160" customFormat="1" x14ac:dyDescent="0.3"/>
    <row r="65086" s="160" customFormat="1" x14ac:dyDescent="0.3"/>
    <row r="65087" s="160" customFormat="1" x14ac:dyDescent="0.3"/>
    <row r="65088" s="160" customFormat="1" x14ac:dyDescent="0.3"/>
    <row r="65089" s="160" customFormat="1" x14ac:dyDescent="0.3"/>
    <row r="65090" s="160" customFormat="1" x14ac:dyDescent="0.3"/>
    <row r="65091" s="160" customFormat="1" x14ac:dyDescent="0.3"/>
    <row r="65092" s="160" customFormat="1" x14ac:dyDescent="0.3"/>
    <row r="65093" s="160" customFormat="1" x14ac:dyDescent="0.3"/>
    <row r="65094" s="160" customFormat="1" x14ac:dyDescent="0.3"/>
    <row r="65095" s="160" customFormat="1" x14ac:dyDescent="0.3"/>
    <row r="65096" s="160" customFormat="1" x14ac:dyDescent="0.3"/>
    <row r="65097" s="160" customFormat="1" x14ac:dyDescent="0.3"/>
    <row r="65098" s="160" customFormat="1" x14ac:dyDescent="0.3"/>
    <row r="65099" s="160" customFormat="1" x14ac:dyDescent="0.3"/>
    <row r="65100" s="160" customFormat="1" x14ac:dyDescent="0.3"/>
    <row r="65101" s="160" customFormat="1" x14ac:dyDescent="0.3"/>
    <row r="65102" s="160" customFormat="1" x14ac:dyDescent="0.3"/>
    <row r="65103" s="160" customFormat="1" x14ac:dyDescent="0.3"/>
    <row r="65104" s="160" customFormat="1" x14ac:dyDescent="0.3"/>
    <row r="65105" s="160" customFormat="1" x14ac:dyDescent="0.3"/>
    <row r="65106" s="160" customFormat="1" x14ac:dyDescent="0.3"/>
    <row r="65107" s="160" customFormat="1" x14ac:dyDescent="0.3"/>
    <row r="65108" s="160" customFormat="1" x14ac:dyDescent="0.3"/>
    <row r="65109" s="160" customFormat="1" x14ac:dyDescent="0.3"/>
    <row r="65110" s="160" customFormat="1" x14ac:dyDescent="0.3"/>
    <row r="65111" s="160" customFormat="1" x14ac:dyDescent="0.3"/>
    <row r="65112" s="160" customFormat="1" x14ac:dyDescent="0.3"/>
    <row r="65113" s="160" customFormat="1" x14ac:dyDescent="0.3"/>
    <row r="65114" s="160" customFormat="1" x14ac:dyDescent="0.3"/>
    <row r="65115" s="160" customFormat="1" x14ac:dyDescent="0.3"/>
    <row r="65116" s="160" customFormat="1" x14ac:dyDescent="0.3"/>
    <row r="65117" s="160" customFormat="1" x14ac:dyDescent="0.3"/>
    <row r="65118" s="160" customFormat="1" x14ac:dyDescent="0.3"/>
    <row r="65119" s="160" customFormat="1" x14ac:dyDescent="0.3"/>
    <row r="65120" s="160" customFormat="1" x14ac:dyDescent="0.3"/>
    <row r="65121" s="160" customFormat="1" x14ac:dyDescent="0.3"/>
    <row r="65122" s="160" customFormat="1" x14ac:dyDescent="0.3"/>
    <row r="65123" s="160" customFormat="1" x14ac:dyDescent="0.3"/>
    <row r="65124" s="160" customFormat="1" x14ac:dyDescent="0.3"/>
    <row r="65125" s="160" customFormat="1" x14ac:dyDescent="0.3"/>
    <row r="65126" s="160" customFormat="1" x14ac:dyDescent="0.3"/>
    <row r="65127" s="160" customFormat="1" x14ac:dyDescent="0.3"/>
    <row r="65128" s="160" customFormat="1" x14ac:dyDescent="0.3"/>
    <row r="65129" s="160" customFormat="1" x14ac:dyDescent="0.3"/>
    <row r="65130" s="160" customFormat="1" x14ac:dyDescent="0.3"/>
    <row r="65131" s="160" customFormat="1" x14ac:dyDescent="0.3"/>
    <row r="65132" s="160" customFormat="1" x14ac:dyDescent="0.3"/>
    <row r="65133" s="160" customFormat="1" x14ac:dyDescent="0.3"/>
    <row r="65134" s="160" customFormat="1" x14ac:dyDescent="0.3"/>
    <row r="65135" s="160" customFormat="1" x14ac:dyDescent="0.3"/>
    <row r="65136" s="160" customFormat="1" x14ac:dyDescent="0.3"/>
    <row r="65137" s="160" customFormat="1" x14ac:dyDescent="0.3"/>
    <row r="65138" s="160" customFormat="1" x14ac:dyDescent="0.3"/>
    <row r="65139" s="160" customFormat="1" x14ac:dyDescent="0.3"/>
    <row r="65140" s="160" customFormat="1" x14ac:dyDescent="0.3"/>
    <row r="65141" s="160" customFormat="1" x14ac:dyDescent="0.3"/>
    <row r="65142" s="160" customFormat="1" x14ac:dyDescent="0.3"/>
    <row r="65143" s="160" customFormat="1" x14ac:dyDescent="0.3"/>
    <row r="65144" s="160" customFormat="1" x14ac:dyDescent="0.3"/>
    <row r="65145" s="160" customFormat="1" x14ac:dyDescent="0.3"/>
    <row r="65146" s="160" customFormat="1" x14ac:dyDescent="0.3"/>
    <row r="65147" s="160" customFormat="1" x14ac:dyDescent="0.3"/>
    <row r="65148" s="160" customFormat="1" x14ac:dyDescent="0.3"/>
    <row r="65149" s="160" customFormat="1" x14ac:dyDescent="0.3"/>
    <row r="65150" s="160" customFormat="1" x14ac:dyDescent="0.3"/>
    <row r="65151" s="160" customFormat="1" x14ac:dyDescent="0.3"/>
    <row r="65152" s="160" customFormat="1" x14ac:dyDescent="0.3"/>
    <row r="65153" s="160" customFormat="1" x14ac:dyDescent="0.3"/>
    <row r="65154" s="160" customFormat="1" x14ac:dyDescent="0.3"/>
    <row r="65155" s="160" customFormat="1" x14ac:dyDescent="0.3"/>
    <row r="65156" s="160" customFormat="1" x14ac:dyDescent="0.3"/>
    <row r="65157" s="160" customFormat="1" x14ac:dyDescent="0.3"/>
    <row r="65158" s="160" customFormat="1" x14ac:dyDescent="0.3"/>
    <row r="65159" s="160" customFormat="1" x14ac:dyDescent="0.3"/>
    <row r="65160" s="160" customFormat="1" x14ac:dyDescent="0.3"/>
    <row r="65161" s="160" customFormat="1" x14ac:dyDescent="0.3"/>
    <row r="65162" s="160" customFormat="1" x14ac:dyDescent="0.3"/>
    <row r="65163" s="160" customFormat="1" x14ac:dyDescent="0.3"/>
    <row r="65164" s="160" customFormat="1" x14ac:dyDescent="0.3"/>
    <row r="65165" s="160" customFormat="1" x14ac:dyDescent="0.3"/>
    <row r="65166" s="160" customFormat="1" x14ac:dyDescent="0.3"/>
    <row r="65167" s="160" customFormat="1" x14ac:dyDescent="0.3"/>
    <row r="65168" s="160" customFormat="1" x14ac:dyDescent="0.3"/>
    <row r="65169" s="160" customFormat="1" x14ac:dyDescent="0.3"/>
    <row r="65170" s="160" customFormat="1" x14ac:dyDescent="0.3"/>
    <row r="65171" s="160" customFormat="1" x14ac:dyDescent="0.3"/>
    <row r="65172" s="160" customFormat="1" x14ac:dyDescent="0.3"/>
    <row r="65173" s="160" customFormat="1" x14ac:dyDescent="0.3"/>
    <row r="65174" s="160" customFormat="1" x14ac:dyDescent="0.3"/>
    <row r="65175" s="160" customFormat="1" x14ac:dyDescent="0.3"/>
    <row r="65176" s="160" customFormat="1" x14ac:dyDescent="0.3"/>
    <row r="65177" s="160" customFormat="1" x14ac:dyDescent="0.3"/>
    <row r="65178" s="160" customFormat="1" x14ac:dyDescent="0.3"/>
    <row r="65179" s="160" customFormat="1" x14ac:dyDescent="0.3"/>
    <row r="65180" s="160" customFormat="1" x14ac:dyDescent="0.3"/>
    <row r="65181" s="160" customFormat="1" x14ac:dyDescent="0.3"/>
    <row r="65182" s="160" customFormat="1" x14ac:dyDescent="0.3"/>
    <row r="65183" s="160" customFormat="1" x14ac:dyDescent="0.3"/>
    <row r="65184" s="160" customFormat="1" x14ac:dyDescent="0.3"/>
    <row r="65185" s="160" customFormat="1" x14ac:dyDescent="0.3"/>
    <row r="65186" s="160" customFormat="1" x14ac:dyDescent="0.3"/>
    <row r="65187" s="160" customFormat="1" x14ac:dyDescent="0.3"/>
    <row r="65188" s="160" customFormat="1" x14ac:dyDescent="0.3"/>
    <row r="65189" s="160" customFormat="1" x14ac:dyDescent="0.3"/>
    <row r="65190" s="160" customFormat="1" x14ac:dyDescent="0.3"/>
    <row r="65191" s="160" customFormat="1" x14ac:dyDescent="0.3"/>
    <row r="65192" s="160" customFormat="1" x14ac:dyDescent="0.3"/>
    <row r="65193" s="160" customFormat="1" x14ac:dyDescent="0.3"/>
    <row r="65194" s="160" customFormat="1" x14ac:dyDescent="0.3"/>
    <row r="65195" s="160" customFormat="1" x14ac:dyDescent="0.3"/>
    <row r="65196" s="160" customFormat="1" x14ac:dyDescent="0.3"/>
    <row r="65197" s="160" customFormat="1" x14ac:dyDescent="0.3"/>
    <row r="65198" s="160" customFormat="1" x14ac:dyDescent="0.3"/>
    <row r="65199" s="160" customFormat="1" x14ac:dyDescent="0.3"/>
    <row r="65200" s="160" customFormat="1" x14ac:dyDescent="0.3"/>
    <row r="65201" s="160" customFormat="1" x14ac:dyDescent="0.3"/>
    <row r="65202" s="160" customFormat="1" x14ac:dyDescent="0.3"/>
    <row r="65203" s="160" customFormat="1" x14ac:dyDescent="0.3"/>
    <row r="65204" s="160" customFormat="1" x14ac:dyDescent="0.3"/>
    <row r="65205" s="160" customFormat="1" x14ac:dyDescent="0.3"/>
    <row r="65206" s="160" customFormat="1" x14ac:dyDescent="0.3"/>
    <row r="65207" s="160" customFormat="1" x14ac:dyDescent="0.3"/>
    <row r="65208" s="160" customFormat="1" x14ac:dyDescent="0.3"/>
    <row r="65209" s="160" customFormat="1" x14ac:dyDescent="0.3"/>
    <row r="65210" s="160" customFormat="1" x14ac:dyDescent="0.3"/>
    <row r="65211" s="160" customFormat="1" x14ac:dyDescent="0.3"/>
    <row r="65212" s="160" customFormat="1" x14ac:dyDescent="0.3"/>
    <row r="65213" s="160" customFormat="1" x14ac:dyDescent="0.3"/>
    <row r="65214" s="160" customFormat="1" x14ac:dyDescent="0.3"/>
    <row r="65215" s="160" customFormat="1" x14ac:dyDescent="0.3"/>
    <row r="65216" s="160" customFormat="1" x14ac:dyDescent="0.3"/>
    <row r="65217" s="160" customFormat="1" x14ac:dyDescent="0.3"/>
    <row r="65218" s="160" customFormat="1" x14ac:dyDescent="0.3"/>
    <row r="65219" s="160" customFormat="1" x14ac:dyDescent="0.3"/>
    <row r="65220" s="160" customFormat="1" x14ac:dyDescent="0.3"/>
    <row r="65221" s="160" customFormat="1" x14ac:dyDescent="0.3"/>
    <row r="65222" s="160" customFormat="1" x14ac:dyDescent="0.3"/>
    <row r="65223" s="160" customFormat="1" x14ac:dyDescent="0.3"/>
    <row r="65224" s="160" customFormat="1" x14ac:dyDescent="0.3"/>
    <row r="65225" s="160" customFormat="1" x14ac:dyDescent="0.3"/>
    <row r="65226" s="160" customFormat="1" x14ac:dyDescent="0.3"/>
    <row r="65227" s="160" customFormat="1" x14ac:dyDescent="0.3"/>
    <row r="65228" s="160" customFormat="1" x14ac:dyDescent="0.3"/>
    <row r="65229" s="160" customFormat="1" x14ac:dyDescent="0.3"/>
    <row r="65230" s="160" customFormat="1" x14ac:dyDescent="0.3"/>
    <row r="65231" s="160" customFormat="1" x14ac:dyDescent="0.3"/>
    <row r="65232" s="160" customFormat="1" x14ac:dyDescent="0.3"/>
    <row r="65233" s="160" customFormat="1" x14ac:dyDescent="0.3"/>
    <row r="65234" s="160" customFormat="1" x14ac:dyDescent="0.3"/>
    <row r="65235" s="160" customFormat="1" x14ac:dyDescent="0.3"/>
    <row r="65236" s="160" customFormat="1" x14ac:dyDescent="0.3"/>
    <row r="65237" s="160" customFormat="1" x14ac:dyDescent="0.3"/>
    <row r="65238" s="160" customFormat="1" x14ac:dyDescent="0.3"/>
    <row r="65239" s="160" customFormat="1" x14ac:dyDescent="0.3"/>
    <row r="65240" s="160" customFormat="1" x14ac:dyDescent="0.3"/>
    <row r="65241" s="160" customFormat="1" x14ac:dyDescent="0.3"/>
    <row r="65242" s="160" customFormat="1" x14ac:dyDescent="0.3"/>
    <row r="65243" s="160" customFormat="1" x14ac:dyDescent="0.3"/>
    <row r="65244" s="160" customFormat="1" x14ac:dyDescent="0.3"/>
    <row r="65245" s="160" customFormat="1" x14ac:dyDescent="0.3"/>
    <row r="65246" s="160" customFormat="1" x14ac:dyDescent="0.3"/>
    <row r="65247" s="160" customFormat="1" x14ac:dyDescent="0.3"/>
    <row r="65248" s="160" customFormat="1" x14ac:dyDescent="0.3"/>
    <row r="65249" s="160" customFormat="1" x14ac:dyDescent="0.3"/>
    <row r="65250" s="160" customFormat="1" x14ac:dyDescent="0.3"/>
    <row r="65251" s="160" customFormat="1" x14ac:dyDescent="0.3"/>
    <row r="65252" s="160" customFormat="1" x14ac:dyDescent="0.3"/>
    <row r="65253" s="160" customFormat="1" x14ac:dyDescent="0.3"/>
    <row r="65254" s="160" customFormat="1" x14ac:dyDescent="0.3"/>
    <row r="65255" s="160" customFormat="1" x14ac:dyDescent="0.3"/>
    <row r="65256" s="160" customFormat="1" x14ac:dyDescent="0.3"/>
    <row r="65257" s="160" customFormat="1" x14ac:dyDescent="0.3"/>
    <row r="65258" s="160" customFormat="1" x14ac:dyDescent="0.3"/>
    <row r="65259" s="160" customFormat="1" x14ac:dyDescent="0.3"/>
    <row r="65260" s="160" customFormat="1" x14ac:dyDescent="0.3"/>
    <row r="65261" s="160" customFormat="1" x14ac:dyDescent="0.3"/>
    <row r="65262" s="160" customFormat="1" x14ac:dyDescent="0.3"/>
    <row r="65263" s="160" customFormat="1" x14ac:dyDescent="0.3"/>
    <row r="65264" s="160" customFormat="1" x14ac:dyDescent="0.3"/>
    <row r="65265" s="160" customFormat="1" x14ac:dyDescent="0.3"/>
    <row r="65266" s="160" customFormat="1" x14ac:dyDescent="0.3"/>
    <row r="65267" s="160" customFormat="1" x14ac:dyDescent="0.3"/>
    <row r="65268" s="160" customFormat="1" x14ac:dyDescent="0.3"/>
    <row r="65269" s="160" customFormat="1" x14ac:dyDescent="0.3"/>
    <row r="65270" s="160" customFormat="1" x14ac:dyDescent="0.3"/>
    <row r="65271" s="160" customFormat="1" x14ac:dyDescent="0.3"/>
    <row r="65272" s="160" customFormat="1" x14ac:dyDescent="0.3"/>
    <row r="65273" s="160" customFormat="1" x14ac:dyDescent="0.3"/>
    <row r="65274" s="160" customFormat="1" x14ac:dyDescent="0.3"/>
    <row r="65275" s="160" customFormat="1" x14ac:dyDescent="0.3"/>
    <row r="65276" s="160" customFormat="1" x14ac:dyDescent="0.3"/>
    <row r="65277" s="160" customFormat="1" x14ac:dyDescent="0.3"/>
    <row r="65278" s="160" customFormat="1" x14ac:dyDescent="0.3"/>
    <row r="65279" s="160" customFormat="1" x14ac:dyDescent="0.3"/>
    <row r="65280" s="160" customFormat="1" x14ac:dyDescent="0.3"/>
    <row r="65281" s="160" customFormat="1" x14ac:dyDescent="0.3"/>
    <row r="65282" s="160" customFormat="1" x14ac:dyDescent="0.3"/>
    <row r="65283" s="160" customFormat="1" x14ac:dyDescent="0.3"/>
    <row r="65284" s="160" customFormat="1" x14ac:dyDescent="0.3"/>
    <row r="65285" s="160" customFormat="1" x14ac:dyDescent="0.3"/>
    <row r="65286" s="160" customFormat="1" x14ac:dyDescent="0.3"/>
    <row r="65287" s="160" customFormat="1" x14ac:dyDescent="0.3"/>
    <row r="65288" s="160" customFormat="1" x14ac:dyDescent="0.3"/>
    <row r="65289" s="160" customFormat="1" x14ac:dyDescent="0.3"/>
    <row r="65290" s="160" customFormat="1" x14ac:dyDescent="0.3"/>
    <row r="65291" s="160" customFormat="1" x14ac:dyDescent="0.3"/>
    <row r="65292" s="160" customFormat="1" x14ac:dyDescent="0.3"/>
    <row r="65293" s="160" customFormat="1" x14ac:dyDescent="0.3"/>
    <row r="65294" s="160" customFormat="1" x14ac:dyDescent="0.3"/>
    <row r="65295" s="160" customFormat="1" x14ac:dyDescent="0.3"/>
    <row r="65296" s="160" customFormat="1" x14ac:dyDescent="0.3"/>
    <row r="65297" s="160" customFormat="1" x14ac:dyDescent="0.3"/>
    <row r="65298" s="160" customFormat="1" x14ac:dyDescent="0.3"/>
    <row r="65299" s="160" customFormat="1" x14ac:dyDescent="0.3"/>
    <row r="65300" s="160" customFormat="1" x14ac:dyDescent="0.3"/>
    <row r="65301" s="160" customFormat="1" x14ac:dyDescent="0.3"/>
    <row r="65302" s="160" customFormat="1" x14ac:dyDescent="0.3"/>
    <row r="65303" s="160" customFormat="1" x14ac:dyDescent="0.3"/>
    <row r="65304" s="160" customFormat="1" x14ac:dyDescent="0.3"/>
    <row r="65305" s="160" customFormat="1" x14ac:dyDescent="0.3"/>
    <row r="65306" s="160" customFormat="1" x14ac:dyDescent="0.3"/>
    <row r="65307" s="160" customFormat="1" x14ac:dyDescent="0.3"/>
    <row r="65308" s="160" customFormat="1" x14ac:dyDescent="0.3"/>
    <row r="65309" s="160" customFormat="1" x14ac:dyDescent="0.3"/>
    <row r="65310" s="160" customFormat="1" x14ac:dyDescent="0.3"/>
    <row r="65311" s="160" customFormat="1" x14ac:dyDescent="0.3"/>
    <row r="65312" s="160" customFormat="1" x14ac:dyDescent="0.3"/>
    <row r="65313" s="160" customFormat="1" x14ac:dyDescent="0.3"/>
    <row r="65314" s="160" customFormat="1" x14ac:dyDescent="0.3"/>
    <row r="65315" s="160" customFormat="1" x14ac:dyDescent="0.3"/>
    <row r="65316" s="160" customFormat="1" x14ac:dyDescent="0.3"/>
    <row r="65317" s="160" customFormat="1" x14ac:dyDescent="0.3"/>
    <row r="65318" s="160" customFormat="1" x14ac:dyDescent="0.3"/>
    <row r="65319" s="160" customFormat="1" x14ac:dyDescent="0.3"/>
    <row r="65320" s="160" customFormat="1" x14ac:dyDescent="0.3"/>
    <row r="65321" s="160" customFormat="1" x14ac:dyDescent="0.3"/>
    <row r="65322" s="160" customFormat="1" x14ac:dyDescent="0.3"/>
    <row r="65323" s="160" customFormat="1" x14ac:dyDescent="0.3"/>
    <row r="65324" s="160" customFormat="1" x14ac:dyDescent="0.3"/>
    <row r="65325" s="160" customFormat="1" x14ac:dyDescent="0.3"/>
    <row r="65326" s="160" customFormat="1" x14ac:dyDescent="0.3"/>
    <row r="65327" s="160" customFormat="1" x14ac:dyDescent="0.3"/>
    <row r="65328" s="160" customFormat="1" x14ac:dyDescent="0.3"/>
    <row r="65329" s="160" customFormat="1" x14ac:dyDescent="0.3"/>
    <row r="65330" s="160" customFormat="1" x14ac:dyDescent="0.3"/>
    <row r="65331" s="160" customFormat="1" x14ac:dyDescent="0.3"/>
    <row r="65332" s="160" customFormat="1" x14ac:dyDescent="0.3"/>
    <row r="65333" s="160" customFormat="1" x14ac:dyDescent="0.3"/>
    <row r="65334" s="160" customFormat="1" x14ac:dyDescent="0.3"/>
    <row r="65335" s="160" customFormat="1" x14ac:dyDescent="0.3"/>
    <row r="65336" s="160" customFormat="1" x14ac:dyDescent="0.3"/>
    <row r="65337" s="160" customFormat="1" x14ac:dyDescent="0.3"/>
    <row r="65338" s="160" customFormat="1" x14ac:dyDescent="0.3"/>
    <row r="65339" s="160" customFormat="1" x14ac:dyDescent="0.3"/>
    <row r="65340" s="160" customFormat="1" x14ac:dyDescent="0.3"/>
    <row r="65341" s="160" customFormat="1" x14ac:dyDescent="0.3"/>
    <row r="65342" s="160" customFormat="1" x14ac:dyDescent="0.3"/>
    <row r="65343" s="160" customFormat="1" x14ac:dyDescent="0.3"/>
    <row r="65344" s="160" customFormat="1" x14ac:dyDescent="0.3"/>
    <row r="65345" s="160" customFormat="1" x14ac:dyDescent="0.3"/>
    <row r="65346" s="160" customFormat="1" x14ac:dyDescent="0.3"/>
    <row r="65347" s="160" customFormat="1" x14ac:dyDescent="0.3"/>
    <row r="65348" s="160" customFormat="1" x14ac:dyDescent="0.3"/>
    <row r="65349" s="160" customFormat="1" x14ac:dyDescent="0.3"/>
    <row r="65350" s="160" customFormat="1" x14ac:dyDescent="0.3"/>
    <row r="65351" s="160" customFormat="1" x14ac:dyDescent="0.3"/>
    <row r="65352" s="160" customFormat="1" x14ac:dyDescent="0.3"/>
    <row r="65353" s="160" customFormat="1" x14ac:dyDescent="0.3"/>
    <row r="65354" s="160" customFormat="1" x14ac:dyDescent="0.3"/>
    <row r="65355" s="160" customFormat="1" x14ac:dyDescent="0.3"/>
    <row r="65356" s="160" customFormat="1" x14ac:dyDescent="0.3"/>
    <row r="65357" s="160" customFormat="1" x14ac:dyDescent="0.3"/>
    <row r="65358" s="160" customFormat="1" x14ac:dyDescent="0.3"/>
    <row r="65359" s="160" customFormat="1" x14ac:dyDescent="0.3"/>
    <row r="65360" s="160" customFormat="1" x14ac:dyDescent="0.3"/>
    <row r="65361" s="160" customFormat="1" x14ac:dyDescent="0.3"/>
    <row r="65362" s="160" customFormat="1" x14ac:dyDescent="0.3"/>
    <row r="65363" s="160" customFormat="1" x14ac:dyDescent="0.3"/>
    <row r="65364" s="160" customFormat="1" x14ac:dyDescent="0.3"/>
    <row r="65365" s="160" customFormat="1" x14ac:dyDescent="0.3"/>
    <row r="65366" s="160" customFormat="1" x14ac:dyDescent="0.3"/>
    <row r="65367" s="160" customFormat="1" x14ac:dyDescent="0.3"/>
    <row r="65368" s="160" customFormat="1" x14ac:dyDescent="0.3"/>
    <row r="65369" s="160" customFormat="1" x14ac:dyDescent="0.3"/>
    <row r="65370" s="160" customFormat="1" x14ac:dyDescent="0.3"/>
    <row r="65371" s="160" customFormat="1" x14ac:dyDescent="0.3"/>
    <row r="65372" s="160" customFormat="1" x14ac:dyDescent="0.3"/>
    <row r="65373" s="160" customFormat="1" x14ac:dyDescent="0.3"/>
    <row r="65374" s="160" customFormat="1" x14ac:dyDescent="0.3"/>
    <row r="65375" s="160" customFormat="1" x14ac:dyDescent="0.3"/>
    <row r="65376" s="160" customFormat="1" x14ac:dyDescent="0.3"/>
    <row r="65377" s="160" customFormat="1" x14ac:dyDescent="0.3"/>
    <row r="65378" s="160" customFormat="1" x14ac:dyDescent="0.3"/>
    <row r="65379" s="160" customFormat="1" x14ac:dyDescent="0.3"/>
    <row r="65380" s="160" customFormat="1" x14ac:dyDescent="0.3"/>
    <row r="65381" s="160" customFormat="1" x14ac:dyDescent="0.3"/>
    <row r="65382" s="160" customFormat="1" x14ac:dyDescent="0.3"/>
    <row r="65383" s="160" customFormat="1" x14ac:dyDescent="0.3"/>
    <row r="65384" s="160" customFormat="1" x14ac:dyDescent="0.3"/>
    <row r="65385" s="160" customFormat="1" x14ac:dyDescent="0.3"/>
    <row r="65386" s="160" customFormat="1" x14ac:dyDescent="0.3"/>
    <row r="65387" s="160" customFormat="1" x14ac:dyDescent="0.3"/>
    <row r="65388" s="160" customFormat="1" x14ac:dyDescent="0.3"/>
    <row r="65389" s="160" customFormat="1" x14ac:dyDescent="0.3"/>
    <row r="65390" s="160" customFormat="1" x14ac:dyDescent="0.3"/>
    <row r="65391" s="160" customFormat="1" x14ac:dyDescent="0.3"/>
    <row r="65392" s="160" customFormat="1" x14ac:dyDescent="0.3"/>
    <row r="65393" s="160" customFormat="1" x14ac:dyDescent="0.3"/>
    <row r="65394" s="160" customFormat="1" x14ac:dyDescent="0.3"/>
    <row r="65395" s="160" customFormat="1" x14ac:dyDescent="0.3"/>
    <row r="65396" s="160" customFormat="1" x14ac:dyDescent="0.3"/>
    <row r="65397" s="160" customFormat="1" x14ac:dyDescent="0.3"/>
    <row r="65398" s="160" customFormat="1" x14ac:dyDescent="0.3"/>
    <row r="65399" s="160" customFormat="1" x14ac:dyDescent="0.3"/>
    <row r="65400" s="160" customFormat="1" x14ac:dyDescent="0.3"/>
    <row r="65401" s="160" customFormat="1" x14ac:dyDescent="0.3"/>
    <row r="65402" s="160" customFormat="1" x14ac:dyDescent="0.3"/>
    <row r="65403" s="160" customFormat="1" x14ac:dyDescent="0.3"/>
    <row r="65404" s="160" customFormat="1" x14ac:dyDescent="0.3"/>
    <row r="65405" s="160" customFormat="1" x14ac:dyDescent="0.3"/>
    <row r="65406" s="160" customFormat="1" x14ac:dyDescent="0.3"/>
    <row r="65407" s="160" customFormat="1" x14ac:dyDescent="0.3"/>
    <row r="65408" s="160" customFormat="1" x14ac:dyDescent="0.3"/>
    <row r="65409" s="160" customFormat="1" x14ac:dyDescent="0.3"/>
    <row r="65410" s="160" customFormat="1" x14ac:dyDescent="0.3"/>
    <row r="65411" s="160" customFormat="1" x14ac:dyDescent="0.3"/>
    <row r="65412" s="160" customFormat="1" x14ac:dyDescent="0.3"/>
    <row r="65413" s="160" customFormat="1" x14ac:dyDescent="0.3"/>
    <row r="65414" s="160" customFormat="1" x14ac:dyDescent="0.3"/>
    <row r="65415" s="160" customFormat="1" x14ac:dyDescent="0.3"/>
    <row r="65416" s="160" customFormat="1" x14ac:dyDescent="0.3"/>
    <row r="65417" s="160" customFormat="1" x14ac:dyDescent="0.3"/>
    <row r="65418" s="160" customFormat="1" x14ac:dyDescent="0.3"/>
    <row r="65419" s="160" customFormat="1" x14ac:dyDescent="0.3"/>
    <row r="65420" s="160" customFormat="1" x14ac:dyDescent="0.3"/>
    <row r="65421" s="160" customFormat="1" x14ac:dyDescent="0.3"/>
    <row r="65422" s="160" customFormat="1" x14ac:dyDescent="0.3"/>
    <row r="65423" s="160" customFormat="1" x14ac:dyDescent="0.3"/>
    <row r="65424" s="160" customFormat="1" x14ac:dyDescent="0.3"/>
    <row r="65425" s="160" customFormat="1" x14ac:dyDescent="0.3"/>
    <row r="65426" s="160" customFormat="1" x14ac:dyDescent="0.3"/>
    <row r="65427" s="160" customFormat="1" x14ac:dyDescent="0.3"/>
    <row r="65428" s="160" customFormat="1" x14ac:dyDescent="0.3"/>
    <row r="65429" s="160" customFormat="1" x14ac:dyDescent="0.3"/>
    <row r="65430" s="160" customFormat="1" x14ac:dyDescent="0.3"/>
    <row r="65431" s="160" customFormat="1" x14ac:dyDescent="0.3"/>
    <row r="65432" s="160" customFormat="1" x14ac:dyDescent="0.3"/>
    <row r="65433" s="160" customFormat="1" x14ac:dyDescent="0.3"/>
    <row r="65434" s="160" customFormat="1" x14ac:dyDescent="0.3"/>
    <row r="65435" s="160" customFormat="1" x14ac:dyDescent="0.3"/>
    <row r="65436" s="160" customFormat="1" x14ac:dyDescent="0.3"/>
    <row r="65437" s="160" customFormat="1" x14ac:dyDescent="0.3"/>
    <row r="65438" s="160" customFormat="1" x14ac:dyDescent="0.3"/>
    <row r="65439" s="160" customFormat="1" x14ac:dyDescent="0.3"/>
    <row r="65440" s="160" customFormat="1" x14ac:dyDescent="0.3"/>
    <row r="65441" s="160" customFormat="1" x14ac:dyDescent="0.3"/>
    <row r="65442" s="160" customFormat="1" x14ac:dyDescent="0.3"/>
    <row r="65443" s="160" customFormat="1" x14ac:dyDescent="0.3"/>
    <row r="65444" s="160" customFormat="1" x14ac:dyDescent="0.3"/>
    <row r="65445" s="160" customFormat="1" x14ac:dyDescent="0.3"/>
    <row r="65446" s="160" customFormat="1" x14ac:dyDescent="0.3"/>
    <row r="65447" s="160" customFormat="1" x14ac:dyDescent="0.3"/>
    <row r="65448" s="160" customFormat="1" x14ac:dyDescent="0.3"/>
    <row r="65449" s="160" customFormat="1" x14ac:dyDescent="0.3"/>
    <row r="65450" s="160" customFormat="1" x14ac:dyDescent="0.3"/>
    <row r="65451" s="160" customFormat="1" x14ac:dyDescent="0.3"/>
    <row r="65452" s="160" customFormat="1" x14ac:dyDescent="0.3"/>
    <row r="65453" s="160" customFormat="1" x14ac:dyDescent="0.3"/>
    <row r="65454" s="160" customFormat="1" x14ac:dyDescent="0.3"/>
    <row r="65455" s="160" customFormat="1" x14ac:dyDescent="0.3"/>
    <row r="65456" s="160" customFormat="1" x14ac:dyDescent="0.3"/>
    <row r="65457" s="160" customFormat="1" x14ac:dyDescent="0.3"/>
    <row r="65458" s="160" customFormat="1" x14ac:dyDescent="0.3"/>
    <row r="65459" s="160" customFormat="1" x14ac:dyDescent="0.3"/>
    <row r="65460" s="160" customFormat="1" x14ac:dyDescent="0.3"/>
    <row r="65461" s="160" customFormat="1" x14ac:dyDescent="0.3"/>
    <row r="65462" s="160" customFormat="1" x14ac:dyDescent="0.3"/>
    <row r="65463" s="160" customFormat="1" x14ac:dyDescent="0.3"/>
    <row r="65464" s="160" customFormat="1" x14ac:dyDescent="0.3"/>
    <row r="65465" s="160" customFormat="1" x14ac:dyDescent="0.3"/>
    <row r="65466" s="160" customFormat="1" x14ac:dyDescent="0.3"/>
    <row r="65467" s="160" customFormat="1" x14ac:dyDescent="0.3"/>
    <row r="65468" s="160" customFormat="1" x14ac:dyDescent="0.3"/>
    <row r="65469" s="160" customFormat="1" x14ac:dyDescent="0.3"/>
    <row r="65470" s="160" customFormat="1" x14ac:dyDescent="0.3"/>
    <row r="65471" s="160" customFormat="1" x14ac:dyDescent="0.3"/>
    <row r="65472" s="160" customFormat="1" x14ac:dyDescent="0.3"/>
    <row r="65473" s="160" customFormat="1" x14ac:dyDescent="0.3"/>
    <row r="65474" s="160" customFormat="1" x14ac:dyDescent="0.3"/>
    <row r="65475" s="160" customFormat="1" x14ac:dyDescent="0.3"/>
    <row r="65476" s="160" customFormat="1" x14ac:dyDescent="0.3"/>
    <row r="65477" s="160" customFormat="1" x14ac:dyDescent="0.3"/>
    <row r="65478" s="160" customFormat="1" x14ac:dyDescent="0.3"/>
    <row r="65479" s="160" customFormat="1" x14ac:dyDescent="0.3"/>
    <row r="65480" s="160" customFormat="1" x14ac:dyDescent="0.3"/>
    <row r="65481" s="160" customFormat="1" x14ac:dyDescent="0.3"/>
    <row r="65482" s="160" customFormat="1" x14ac:dyDescent="0.3"/>
    <row r="65483" s="160" customFormat="1" x14ac:dyDescent="0.3"/>
    <row r="65484" s="160" customFormat="1" x14ac:dyDescent="0.3"/>
    <row r="65485" s="160" customFormat="1" x14ac:dyDescent="0.3"/>
    <row r="65486" s="160" customFormat="1" x14ac:dyDescent="0.3"/>
    <row r="65487" s="160" customFormat="1" x14ac:dyDescent="0.3"/>
    <row r="65488" s="160" customFormat="1" x14ac:dyDescent="0.3"/>
    <row r="65489" s="160" customFormat="1" x14ac:dyDescent="0.3"/>
    <row r="65490" s="160" customFormat="1" x14ac:dyDescent="0.3"/>
    <row r="65491" s="160" customFormat="1" x14ac:dyDescent="0.3"/>
    <row r="65492" s="160" customFormat="1" x14ac:dyDescent="0.3"/>
    <row r="65493" s="160" customFormat="1" x14ac:dyDescent="0.3"/>
    <row r="65494" s="160" customFormat="1" x14ac:dyDescent="0.3"/>
    <row r="65495" s="160" customFormat="1" x14ac:dyDescent="0.3"/>
    <row r="65496" s="160" customFormat="1" x14ac:dyDescent="0.3"/>
    <row r="65497" s="160" customFormat="1" x14ac:dyDescent="0.3"/>
    <row r="65498" s="160" customFormat="1" x14ac:dyDescent="0.3"/>
    <row r="65499" s="160" customFormat="1" x14ac:dyDescent="0.3"/>
    <row r="65500" s="160" customFormat="1" x14ac:dyDescent="0.3"/>
    <row r="65501" s="160" customFormat="1" x14ac:dyDescent="0.3"/>
    <row r="65502" s="160" customFormat="1" x14ac:dyDescent="0.3"/>
    <row r="65503" s="160" customFormat="1" x14ac:dyDescent="0.3"/>
    <row r="65504" s="160" customFormat="1" x14ac:dyDescent="0.3"/>
    <row r="65505" s="160" customFormat="1" x14ac:dyDescent="0.3"/>
    <row r="65506" s="160" customFormat="1" x14ac:dyDescent="0.3"/>
    <row r="65507" s="160" customFormat="1" x14ac:dyDescent="0.3"/>
    <row r="65508" s="160" customFormat="1" x14ac:dyDescent="0.3"/>
    <row r="65509" s="160" customFormat="1" x14ac:dyDescent="0.3"/>
    <row r="65510" s="160" customFormat="1" x14ac:dyDescent="0.3"/>
    <row r="65511" s="160" customFormat="1" x14ac:dyDescent="0.3"/>
    <row r="65512" s="160" customFormat="1" x14ac:dyDescent="0.3"/>
    <row r="65513" s="160" customFormat="1" x14ac:dyDescent="0.3"/>
    <row r="65514" s="160" customFormat="1" x14ac:dyDescent="0.3"/>
    <row r="65515" s="160" customFormat="1" x14ac:dyDescent="0.3"/>
    <row r="65516" s="160" customFormat="1" x14ac:dyDescent="0.3"/>
    <row r="65517" s="160" customFormat="1" x14ac:dyDescent="0.3"/>
    <row r="65518" s="160" customFormat="1" x14ac:dyDescent="0.3"/>
    <row r="65519" s="160" customFormat="1" x14ac:dyDescent="0.3"/>
    <row r="65520" s="160" customFormat="1" x14ac:dyDescent="0.3"/>
    <row r="65521" s="160" customFormat="1" x14ac:dyDescent="0.3"/>
    <row r="65522" s="160" customFormat="1" x14ac:dyDescent="0.3"/>
    <row r="65523" s="160" customFormat="1" x14ac:dyDescent="0.3"/>
    <row r="65524" s="160" customFormat="1" x14ac:dyDescent="0.3"/>
    <row r="65525" s="160" customFormat="1" x14ac:dyDescent="0.3"/>
    <row r="65526" s="160" customFormat="1" x14ac:dyDescent="0.3"/>
    <row r="65527" s="160" customFormat="1" x14ac:dyDescent="0.3"/>
    <row r="65528" s="160" customFormat="1" x14ac:dyDescent="0.3"/>
    <row r="65529" s="160" customFormat="1" x14ac:dyDescent="0.3"/>
    <row r="65530" s="160" customFormat="1" x14ac:dyDescent="0.3"/>
    <row r="65531" s="160" customFormat="1" x14ac:dyDescent="0.3"/>
    <row r="65532" s="160" customFormat="1" x14ac:dyDescent="0.3"/>
    <row r="65533" s="160" customFormat="1" x14ac:dyDescent="0.3"/>
    <row r="65534" s="160" customFormat="1" x14ac:dyDescent="0.3"/>
    <row r="65535" s="160" customFormat="1" x14ac:dyDescent="0.3"/>
    <row r="65536" s="160" customFormat="1" x14ac:dyDescent="0.3"/>
  </sheetData>
  <phoneticPr fontId="6" type="noConversion"/>
  <conditionalFormatting sqref="C112">
    <cfRule type="containsText" dxfId="64" priority="1" operator="containsText" text="Поручитель неплатоспроможний">
      <formula>NOT(ISERROR(SEARCH("Поручитель неплатоспроможний",C112)))</formula>
    </cfRule>
    <cfRule type="containsText" dxfId="63" priority="2" operator="containsText" text="Поручитель платоспроможний">
      <formula>NOT(ISERROR(SEARCH("Поручитель платоспроможний",C112)))</formula>
    </cfRule>
  </conditionalFormatting>
  <conditionalFormatting sqref="D1">
    <cfRule type="expression" dxfId="62" priority="3">
      <formula>IF(#REF!="Так",FALSE,TRUE)</formula>
    </cfRule>
  </conditionalFormatting>
  <dataValidations count="9">
    <dataValidation type="list" allowBlank="1" showInputMessage="1" showErrorMessage="1" sqref="H3" xr:uid="{2D38CE28-F5E9-44E6-B4CA-DE448DBDE02C}">
      <formula1>"ануїтет,класика"</formula1>
    </dataValidation>
    <dataValidation type="list" allowBlank="1" showInputMessage="1" showErrorMessage="1" sqref="H18:I18" xr:uid="{759601A3-F252-447D-9057-29F0577B07D0}">
      <formula1>"одружений(на),не одружений(на),не зареєстрований шлюб,розлучений(на),вдова/вдівець"</formula1>
    </dataValidation>
    <dataValidation type="list" allowBlank="1" showInputMessage="1" showErrorMessage="1" sqref="C58" xr:uid="{949FF970-C9DC-4B98-B477-26D48D404D54}">
      <formula1>"I,II,III,IV"</formula1>
    </dataValidation>
    <dataValidation type="list" allowBlank="1" showInputMessage="1" showErrorMessage="1" sqref="H23:H27" xr:uid="{729C46B5-033F-4190-ADF7-EC4DC0526171}">
      <formula1>"так,ні"</formula1>
    </dataValidation>
    <dataValidation type="list" allowBlank="1" showInputMessage="1" showErrorMessage="1" sqref="C9:C12" xr:uid="{61CE32AE-B0FD-44B4-8CBC-3F6697C57A8C}">
      <formula1>"Так,Ні"</formula1>
    </dataValidation>
    <dataValidation type="list" allowBlank="1" showInputMessage="1" showErrorMessage="1" sqref="C1" xr:uid="{24FA0CA8-FCFF-4450-9A24-87F5468D4D58}">
      <formula1>"Автокредит,Іпотечний кредит,Поточні потреби під заставу нерухомості"</formula1>
    </dataValidation>
    <dataValidation showInputMessage="1" showErrorMessage="1" sqref="B29" xr:uid="{1C78395D-6853-4D7C-A98C-AB02E994C89B}"/>
    <dataValidation type="list" allowBlank="1" showInputMessage="1" showErrorMessage="1" sqref="H8:K8" xr:uid="{12EB9F2D-FE09-4CF9-A6F7-FDF80E6BC31B}">
      <formula1>"Фіксована,Змінна"</formula1>
    </dataValidation>
    <dataValidation type="list" allowBlank="1" showInputMessage="1" showErrorMessage="1" sqref="C33:E33" xr:uid="{BF11B582-84A8-440D-89F7-38D5D302E919}">
      <formula1>"Чистий дохід за мінусом податків,Дохід брутто (без вирахування податків)"</formula1>
    </dataValidation>
  </dataValidations>
  <pageMargins left="0.7" right="0.7" top="0.75" bottom="0.75" header="0.3" footer="0.3"/>
  <pageSetup paperSize="9" orientation="portrait" r:id="rId1"/>
  <headerFooter>
    <oddHeader>&amp;R&amp;"Calibri"&amp;10&amp;KFF0000КОНФІДЕНЦІЙНА ІНФОРМАЦІЯ&amp;1#</oddHeader>
  </headerFooter>
  <drawing r:id="rId2"/>
  <legacyDrawing r:id="rId3"/>
  <controls>
    <mc:AlternateContent xmlns:mc="http://schemas.openxmlformats.org/markup-compatibility/2006">
      <mc:Choice Requires="x14">
        <control shapeId="8204" r:id="rId4" name="CommandButton1">
          <controlPr defaultSize="0" autoLine="0" r:id="rId5">
            <anchor moveWithCells="1">
              <from>
                <xdr:col>0</xdr:col>
                <xdr:colOff>0</xdr:colOff>
                <xdr:row>0</xdr:row>
                <xdr:rowOff>0</xdr:rowOff>
              </from>
              <to>
                <xdr:col>65</xdr:col>
                <xdr:colOff>373380</xdr:colOff>
                <xdr:row>2</xdr:row>
                <xdr:rowOff>30480</xdr:rowOff>
              </to>
            </anchor>
          </controlPr>
        </control>
      </mc:Choice>
      <mc:Fallback>
        <control shapeId="8204" r:id="rId4" name="CommandButton1"/>
      </mc:Fallback>
    </mc:AlternateContent>
    <mc:AlternateContent xmlns:mc="http://schemas.openxmlformats.org/markup-compatibility/2006">
      <mc:Choice Requires="x14">
        <control shapeId="8196" r:id="rId6" name="Button 4">
          <controlPr defaultSize="0" print="0" autoFill="0" autoPict="0" macro="[0]!choose_product">
            <anchor>
              <from>
                <xdr:col>85</xdr:col>
                <xdr:colOff>68580</xdr:colOff>
                <xdr:row>0</xdr:row>
                <xdr:rowOff>60960</xdr:rowOff>
              </from>
              <to>
                <xdr:col>86</xdr:col>
                <xdr:colOff>601980</xdr:colOff>
                <xdr:row>2</xdr:row>
                <xdr:rowOff>83820</xdr:rowOff>
              </to>
            </anchor>
          </controlPr>
        </control>
      </mc:Choice>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r:uid="{CB026B8F-DCC1-4578-A2EF-6C3F3E272AB6}">
          <x14:formula1>
            <xm:f>'Таблиця МП_БВС'!$B$3:$B$47</xm:f>
          </x14:formula1>
          <xm:sqref>C20:C22 D20:D21</xm:sqref>
        </x14:dataValidation>
        <x14:dataValidation type="list" allowBlank="1" showInputMessage="1" showErrorMessage="1" xr:uid="{4756AE63-AA60-47D6-B3CA-66254A1EBC03}">
          <x14:formula1>
            <xm:f>'коефіцієнт витрат'!$B$2:$B$7</xm:f>
          </x14:formula1>
          <xm:sqref>C40:D40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56FAF-05A9-4E6B-B6F5-5BD0B9FEA035}">
  <sheetPr codeName="Лист3">
    <pageSetUpPr fitToPage="1"/>
  </sheetPr>
  <dimension ref="A1:O248"/>
  <sheetViews>
    <sheetView showGridLines="0" topLeftCell="BY1" zoomScale="70" zoomScaleNormal="70" workbookViewId="0">
      <selection sqref="A1:BX1048576"/>
    </sheetView>
  </sheetViews>
  <sheetFormatPr defaultRowHeight="14.4" x14ac:dyDescent="0.3"/>
  <cols>
    <col min="1" max="2" width="0" style="160" hidden="1" customWidth="1"/>
    <col min="3" max="3" width="13.109375" style="160" hidden="1" customWidth="1"/>
    <col min="4" max="4" width="12.33203125" style="160" hidden="1" customWidth="1"/>
    <col min="5" max="76" width="0" style="160" hidden="1" customWidth="1"/>
    <col min="77" max="16384" width="8.88671875" style="160"/>
  </cols>
  <sheetData>
    <row r="1" spans="1:15" x14ac:dyDescent="0.3">
      <c r="A1" s="160" t="s">
        <v>312</v>
      </c>
      <c r="B1" s="158">
        <f>((E1*POWER(1+(E2/12),E3)*(E2/12)))/(POWER(1+(E2/12),E3)-1)</f>
        <v>108250</v>
      </c>
      <c r="C1" s="159">
        <f>PMT(E2/12,E3,-E1)</f>
        <v>108250</v>
      </c>
      <c r="D1" s="159" t="s">
        <v>313</v>
      </c>
      <c r="E1" s="160">
        <f>'Платоспроможність боржника'!C135</f>
        <v>100000</v>
      </c>
      <c r="H1" s="160" t="s">
        <v>314</v>
      </c>
      <c r="J1" s="160">
        <f ca="1">TODAY()</f>
        <v>45840</v>
      </c>
      <c r="O1" s="160" t="s">
        <v>364</v>
      </c>
    </row>
    <row r="2" spans="1:15" x14ac:dyDescent="0.3">
      <c r="A2" s="160" t="s">
        <v>315</v>
      </c>
      <c r="B2" s="161">
        <f>E1*(E2/12)</f>
        <v>108250</v>
      </c>
      <c r="C2" s="162">
        <f>IPMT(E2/12,1,E3,-(E1))</f>
        <v>108250</v>
      </c>
      <c r="D2" s="162" t="s">
        <v>316</v>
      </c>
      <c r="E2" s="160">
        <f>'Платоспроможність боржника'!H6</f>
        <v>12.99</v>
      </c>
      <c r="F2" s="160" t="s">
        <v>317</v>
      </c>
      <c r="G2" s="160" t="s">
        <v>353</v>
      </c>
      <c r="H2" s="160" t="s">
        <v>318</v>
      </c>
    </row>
    <row r="3" spans="1:15" x14ac:dyDescent="0.3">
      <c r="A3" s="160" t="s">
        <v>319</v>
      </c>
      <c r="B3" s="160">
        <f>B1-B2</f>
        <v>0</v>
      </c>
      <c r="C3" s="163">
        <f>PPMT(E2/12,1,E3,-E1)</f>
        <v>8.3047640930032255E-15</v>
      </c>
      <c r="D3" s="163" t="s">
        <v>320</v>
      </c>
      <c r="E3" s="160">
        <f>'Платоспроможність боржника'!H5</f>
        <v>60</v>
      </c>
      <c r="H3" s="160" t="s">
        <v>321</v>
      </c>
      <c r="I3" s="160" t="s">
        <v>322</v>
      </c>
      <c r="J3" s="160" t="s">
        <v>323</v>
      </c>
      <c r="K3" s="160" t="s">
        <v>324</v>
      </c>
      <c r="L3" s="160" t="s">
        <v>325</v>
      </c>
      <c r="M3" s="160" t="s">
        <v>326</v>
      </c>
      <c r="O3" s="160" t="s">
        <v>327</v>
      </c>
    </row>
    <row r="4" spans="1:15" x14ac:dyDescent="0.3">
      <c r="A4" s="160" t="s">
        <v>328</v>
      </c>
      <c r="C4" s="163">
        <f ca="1">TODAY()</f>
        <v>45840</v>
      </c>
      <c r="D4" s="163" t="s">
        <v>329</v>
      </c>
      <c r="E4" s="160">
        <f>'Платоспроможність боржника'!H4/100*E1</f>
        <v>0</v>
      </c>
      <c r="F4" s="160" t="s">
        <v>330</v>
      </c>
      <c r="H4" s="160">
        <v>0</v>
      </c>
      <c r="I4" s="160" t="str">
        <f>IF($E$5="EUR","Євро",IF($E$5="USD","дол. США","грн."))</f>
        <v>грн.</v>
      </c>
      <c r="J4" s="160" t="str">
        <f>IF($E$5="EUR","Євро",IF($E$5="USD","дол. США","грн."))</f>
        <v>грн.</v>
      </c>
      <c r="K4" s="160" t="str">
        <f>IF($E$5="EUR","Євро",IF($E$5="USD","дол. США","грн."))</f>
        <v>грн.</v>
      </c>
      <c r="L4" s="160" t="s">
        <v>331</v>
      </c>
      <c r="M4" s="160" t="str">
        <f>IF($E$5="EUR","Євро",IF($E$5="USD","дол. США","грн."))</f>
        <v>грн.</v>
      </c>
      <c r="N4" s="160" t="s">
        <v>331</v>
      </c>
      <c r="O4" s="160">
        <f>E1</f>
        <v>100000</v>
      </c>
    </row>
    <row r="5" spans="1:15" x14ac:dyDescent="0.3">
      <c r="A5" s="160" t="s">
        <v>332</v>
      </c>
      <c r="B5" s="160">
        <v>1</v>
      </c>
      <c r="C5" s="163">
        <v>1</v>
      </c>
      <c r="D5" s="163" t="s">
        <v>333</v>
      </c>
      <c r="E5" s="160" t="s">
        <v>338</v>
      </c>
      <c r="F5" s="160">
        <f ca="1">IF(G5="Всього:","",IF(AND(G5&gt;$B$9,G5&lt;=$B$10),$C$16,IF(AND(G5&gt;$B$9,G5&lt;=$B$11),$D$16,IF(AND(G5&gt;$B$10,G5&lt;=$B$14),$E$16,$B$16))))</f>
        <v>12.99</v>
      </c>
      <c r="G5" s="160">
        <f ca="1">IF(AND(DAY(C4)&lt;=15,$B$7&gt;DAY(C4)),DATE(YEAR(C4),MONTH(C4),IF($B$7&lt;&gt;"",DAY(IF($B$7&gt;DAY(EOMONTH(C4,0)),EOMONTH(C4,0),$B$7)),DAY(1))),DATE(YEAR(C4),MONTH(C4)+1,IF($B$7&lt;&gt;"",DAY(IF($B$7&gt;DAY(EOMONTH(C4,1)),EOMONTH(C4,1),$B$7)),DAY(1))))</f>
        <v>45870</v>
      </c>
      <c r="H5" s="160">
        <f ca="1">IF(H4&gt;$E$8,"",H4+1)</f>
        <v>1</v>
      </c>
      <c r="I5" s="160">
        <f ca="1">IF($G5="Всього:",SUM($I$4:I4),IF(AND(DAY($C$4)&gt;=15,H5=1),K5+L5,$C$32))</f>
        <v>3804</v>
      </c>
      <c r="J5" s="160">
        <f ca="1">IF($G5="Всього:",SUM($J$4:J4),IF(DAY(C4)&gt;15,0,IF(I5-SUM(K5:L5)&lt;0,0,I5-SUM(K5:L5))))</f>
        <v>2721.5</v>
      </c>
      <c r="K5" s="160">
        <f ca="1">$E$1*F5*(G5-$C$4)/36000</f>
        <v>1082.5</v>
      </c>
      <c r="L5" s="160">
        <f>$E$4</f>
        <v>0</v>
      </c>
      <c r="M5" s="160">
        <f ca="1">IF($E$5="UAH",J5+L5+K5,J5+K5)</f>
        <v>3804</v>
      </c>
      <c r="N5" s="160" t="str">
        <f>IF($E$5="UAH","",L5)</f>
        <v/>
      </c>
      <c r="O5" s="160">
        <f t="shared" ref="O5:O68" ca="1" si="0">O4-J5</f>
        <v>97278.5</v>
      </c>
    </row>
    <row r="6" spans="1:15" x14ac:dyDescent="0.3">
      <c r="A6" s="160" t="s">
        <v>334</v>
      </c>
      <c r="C6" s="163">
        <f>IF(E5="EUR",C1*E7,IF(E5="USD",C1*E6,C1))</f>
        <v>108250</v>
      </c>
      <c r="D6" s="163"/>
      <c r="F6" s="160">
        <f t="shared" ref="F6:F69" ca="1" si="1">IF(G6="Всього:","",IF(AND(G6&gt;$B$9,G6&lt;=$B$10),$C$16,IF(AND(G6&gt;$B$9,G6&lt;=$B$11),$D$16,IF(AND(G6&gt;$B$10,G6&lt;=$B$14),$E$16,$B$16))))</f>
        <v>12.99</v>
      </c>
      <c r="G6" s="160">
        <f ca="1">IF(H5=$E$8,"Всього:",IF($E$3+1=H6,$B$14,DATE(YEAR(G5),MONTH(G5)+1,IF($B$7&lt;&gt;"",DAY(IF($B$7&gt;DAY(EOMONTH(G5,1)),EOMONTH(G5,1),$B$7)),DAY(1)))))</f>
        <v>45901</v>
      </c>
      <c r="H6" s="160">
        <f t="shared" ref="H6:H69" ca="1" si="2">IF(H5&gt;$E$8,"",H5+1)</f>
        <v>2</v>
      </c>
      <c r="I6" s="160">
        <f ca="1">IF($G6="Всього:",SUM($I$4:I5),IF(AND(DAY($C$4)&gt;=15,H6=1),K6+L6,$C$32))</f>
        <v>3804</v>
      </c>
      <c r="J6" s="160">
        <f ca="1">IF($G6="Всього:",SUM($J$4:J5),IF(I6-SUM(K6:L6)&lt;0,0,I6-SUM(K6:L6)))</f>
        <v>2715.8589120833331</v>
      </c>
      <c r="K6" s="160">
        <f ca="1">IF(G6="Всього:",SUM($K$5:K5),IF(F6&lt;&gt;F5,(F6*O5/36000*(G6-CONCATENATE(DAY($C$4),".",MONTH(G5),".",YEAR(G5)))+(F5*O5/36000*(CONCATENATE(DAY($C$4),".",MONTH(G5),".",YEAR(G5))-G5))),F6*O5/36000*(G6-G5)))</f>
        <v>1088.1410879166667</v>
      </c>
      <c r="L6" s="160">
        <f ca="1">IF(G6="Всього:",SUM($L$5:L5),$E$4)</f>
        <v>0</v>
      </c>
      <c r="M6" s="160">
        <f ca="1">IF(G6="Всього:",SUM($M$5:M5),IF($E$5="UAH",J6+L6+K6,J6+K6))</f>
        <v>3804</v>
      </c>
      <c r="N6" s="160" t="str">
        <f ca="1">IF(G6="Всього:",SUM($N$4:N5),IF($E$5="UAH","",L6))</f>
        <v/>
      </c>
      <c r="O6" s="160">
        <f t="shared" ca="1" si="0"/>
        <v>94562.641087916665</v>
      </c>
    </row>
    <row r="7" spans="1:15" x14ac:dyDescent="0.3">
      <c r="A7" s="160" t="s">
        <v>341</v>
      </c>
      <c r="B7" s="160">
        <v>1</v>
      </c>
      <c r="C7" s="163"/>
      <c r="D7" s="163"/>
      <c r="F7" s="160">
        <f t="shared" ca="1" si="1"/>
        <v>12.99</v>
      </c>
      <c r="G7" s="160">
        <f t="shared" ref="G7:G70" ca="1" si="3">IF(H6=$E$8,"Всього:",IF($E$3+1=H7,$B$14,DATE(YEAR(G6),MONTH(G6)+1,IF($B$7&lt;&gt;"",DAY(IF($B$7&gt;DAY(EOMONTH(G6,1)),EOMONTH(G6,1),$B$7)),DAY(1)))))</f>
        <v>45931</v>
      </c>
      <c r="H7" s="160">
        <f t="shared" ca="1" si="2"/>
        <v>3</v>
      </c>
      <c r="I7" s="160">
        <f ca="1">IF($G7="Всього:",SUM($I$4:I6),IF(AND(DAY($C$4)&gt;=15,H7=1),K7+L7,$C$32))</f>
        <v>3804</v>
      </c>
      <c r="J7" s="160">
        <f ca="1">IF($G7="Всього:",SUM($J$4:J6),IF(I7-SUM(K7:L7)&lt;0,0,I7-SUM(K7:L7)))</f>
        <v>2780.3594102233019</v>
      </c>
      <c r="K7" s="160">
        <f ca="1">IF(G7="Всього:",SUM($K$5:K6),IF(F7&lt;&gt;F6,(F7*O6/36000*(G7-CONCATENATE(DAY($C$4),".",MONTH(G6),".",YEAR(G6)))+(F6*O6/36000*(CONCATENATE(DAY($C$4),".",MONTH(G6),".",YEAR(G6))-G6))),F7*O6/36000*(G7-G6)))</f>
        <v>1023.6405897766979</v>
      </c>
      <c r="L7" s="160">
        <f ca="1">IF(G7="Всього:",SUM($L$5:L6),$E$4)</f>
        <v>0</v>
      </c>
      <c r="M7" s="160">
        <f ca="1">IF(G7="Всього:",SUM($M$5:M6),IF($E$5="UAH",J7+L7+K7,J7+K7))</f>
        <v>3804</v>
      </c>
      <c r="N7" s="160" t="str">
        <f ca="1">IF(G7="Всього:",SUM($N$4:N6),IF($E$5="UAH","",L7))</f>
        <v/>
      </c>
      <c r="O7" s="160">
        <f t="shared" ca="1" si="0"/>
        <v>91782.281677693361</v>
      </c>
    </row>
    <row r="8" spans="1:15" x14ac:dyDescent="0.3">
      <c r="A8" s="160" t="s">
        <v>354</v>
      </c>
      <c r="B8" s="160">
        <f ca="1">C4</f>
        <v>45840</v>
      </c>
      <c r="C8" s="163"/>
      <c r="D8" s="163" t="s">
        <v>343</v>
      </c>
      <c r="E8" s="160">
        <f ca="1">IF(DAY(C4)&gt;=15,E3+1,E3+1)</f>
        <v>61</v>
      </c>
      <c r="F8" s="160">
        <f t="shared" ca="1" si="1"/>
        <v>12.99</v>
      </c>
      <c r="G8" s="160">
        <f t="shared" ca="1" si="3"/>
        <v>45962</v>
      </c>
      <c r="H8" s="160">
        <f t="shared" ca="1" si="2"/>
        <v>4</v>
      </c>
      <c r="I8" s="160">
        <f ca="1">IF($G8="Всього:",SUM($I$4:I7),IF(AND(DAY($C$4)&gt;=15,H8=1),K8+L8,$C$32))</f>
        <v>3804</v>
      </c>
      <c r="J8" s="160">
        <f ca="1">IF($G8="Всього:",SUM($J$4:J7),IF(I8-SUM(K8:L8)&lt;0,0,I8-SUM(K8:L8)))</f>
        <v>2777.338694200268</v>
      </c>
      <c r="K8" s="160">
        <f ca="1">IF(G8="Всього:",SUM($K$5:K7),IF(F8&lt;&gt;F7,(F8*O7/36000*(G8-CONCATENATE(DAY($C$4),".",MONTH(G7),".",YEAR(G7)))+(F7*O7/36000*(CONCATENATE(DAY($C$4),".",MONTH(G7),".",YEAR(G7))-G7))),F8*O7/36000*(G8-G7)))</f>
        <v>1026.6613057997317</v>
      </c>
      <c r="L8" s="160">
        <f ca="1">IF(G8="Всього:",SUM($L$5:L7),$E$4)</f>
        <v>0</v>
      </c>
      <c r="M8" s="160">
        <f ca="1">IF(G8="Всього:",SUM($M$5:M7),IF($E$5="UAH",J8+L8+K8,J8+K8))</f>
        <v>3804</v>
      </c>
      <c r="N8" s="160" t="str">
        <f ca="1">IF(G8="Всього:",SUM($N$4:N7),IF($E$5="UAH","",L8))</f>
        <v/>
      </c>
      <c r="O8" s="160">
        <f t="shared" ca="1" si="0"/>
        <v>89004.942983493092</v>
      </c>
    </row>
    <row r="9" spans="1:15" x14ac:dyDescent="0.3">
      <c r="A9" s="160" t="s">
        <v>355</v>
      </c>
      <c r="B9" s="160">
        <f ca="1">IF('Платоспроможність боржника'!H7="",B14,EDATE($C$4,'Платоспроможність боржника'!$H$7))</f>
        <v>47665</v>
      </c>
      <c r="C9" s="163"/>
      <c r="D9" s="163"/>
      <c r="F9" s="160">
        <f t="shared" ca="1" si="1"/>
        <v>12.99</v>
      </c>
      <c r="G9" s="160">
        <f t="shared" ca="1" si="3"/>
        <v>45992</v>
      </c>
      <c r="H9" s="160">
        <f t="shared" ca="1" si="2"/>
        <v>5</v>
      </c>
      <c r="I9" s="160">
        <f ca="1">IF($G9="Всього:",SUM($I$4:I8),IF(AND(DAY($C$4)&gt;=15,H9=1),K9+L9,$C$32))</f>
        <v>3804</v>
      </c>
      <c r="J9" s="160">
        <f ca="1">IF($G9="Всього:",SUM($J$4:J8),IF(I9-SUM(K9:L9)&lt;0,0,I9-SUM(K9:L9)))</f>
        <v>2840.5214922036876</v>
      </c>
      <c r="K9" s="160">
        <f ca="1">IF(G9="Всього:",SUM($K$5:K8),IF(F9&lt;&gt;F8,(F9*O8/36000*(G9-CONCATENATE(DAY($C$4),".",MONTH(G8),".",YEAR(G8)))+(F8*O8/36000*(CONCATENATE(DAY($C$4),".",MONTH(G8),".",YEAR(G8))-G8))),F9*O8/36000*(G9-G8)))</f>
        <v>963.47850779631267</v>
      </c>
      <c r="L9" s="160">
        <f ca="1">IF(G9="Всього:",SUM($L$5:L8),$E$4)</f>
        <v>0</v>
      </c>
      <c r="M9" s="160">
        <f ca="1">IF(G9="Всього:",SUM($M$5:M8),IF($E$5="UAH",J9+L9+K9,J9+K9))</f>
        <v>3804</v>
      </c>
      <c r="N9" s="160" t="str">
        <f ca="1">IF(G9="Всього:",SUM($N$4:N8),IF($E$5="UAH","",L9))</f>
        <v/>
      </c>
      <c r="O9" s="160">
        <f t="shared" ca="1" si="0"/>
        <v>86164.421491289409</v>
      </c>
    </row>
    <row r="10" spans="1:15" x14ac:dyDescent="0.3">
      <c r="A10" s="160" t="s">
        <v>356</v>
      </c>
      <c r="B10" s="160">
        <f ca="1">IF('Платоспроможність боржника'!I7="",B14,EDATE($C$4,'Платоспроможність боржника'!$H$7+'Платоспроможність боржника'!$I$7))</f>
        <v>47665</v>
      </c>
      <c r="C10" s="163"/>
      <c r="D10" s="163"/>
      <c r="F10" s="160">
        <f t="shared" ca="1" si="1"/>
        <v>12.99</v>
      </c>
      <c r="G10" s="160">
        <f t="shared" ca="1" si="3"/>
        <v>46023</v>
      </c>
      <c r="H10" s="160">
        <f t="shared" ca="1" si="2"/>
        <v>6</v>
      </c>
      <c r="I10" s="160">
        <f ca="1">IF($G10="Всього:",SUM($I$4:I9),IF(AND(DAY($C$4)&gt;=15,H10=1),K10+L10,$C$32))</f>
        <v>3804</v>
      </c>
      <c r="J10" s="160">
        <f ca="1">IF($G10="Всього:",SUM($J$4:J9),IF(I10-SUM(K10:L10)&lt;0,0,I10-SUM(K10:L10)))</f>
        <v>2840.1791419353522</v>
      </c>
      <c r="K10" s="160">
        <f ca="1">IF(G10="Всього:",SUM($K$5:K9),IF(F10&lt;&gt;F9,(F10*O9/36000*(G10-CONCATENATE(DAY($C$4),".",MONTH(G9),".",YEAR(G9)))+(F9*O9/36000*(CONCATENATE(DAY($C$4),".",MONTH(G9),".",YEAR(G9))-G9))),F10*O9/36000*(G10-G9)))</f>
        <v>963.82085806464806</v>
      </c>
      <c r="L10" s="160">
        <f ca="1">IF(G10="Всього:",SUM($L$5:L9),$E$4)</f>
        <v>0</v>
      </c>
      <c r="M10" s="160">
        <f ca="1">IF(G10="Всього:",SUM($M$5:M9),IF($E$5="UAH",J10+L10+K10,J10+K10))</f>
        <v>3804</v>
      </c>
      <c r="N10" s="160" t="str">
        <f ca="1">IF(G10="Всього:",SUM($N$4:N9),IF($E$5="UAH","",L10))</f>
        <v/>
      </c>
      <c r="O10" s="160">
        <f t="shared" ca="1" si="0"/>
        <v>83324.242349354055</v>
      </c>
    </row>
    <row r="11" spans="1:15" x14ac:dyDescent="0.3">
      <c r="A11" s="160" t="s">
        <v>357</v>
      </c>
      <c r="B11" s="160">
        <f ca="1">IF('Платоспроможність боржника'!J7="",B14,EDATE($C$4,'Платоспроможність боржника'!$H$7+'Платоспроможність боржника'!$I$7+'Платоспроможність боржника'!$J$7))</f>
        <v>47665</v>
      </c>
      <c r="F11" s="160">
        <f t="shared" ca="1" si="1"/>
        <v>12.99</v>
      </c>
      <c r="G11" s="160">
        <f t="shared" ca="1" si="3"/>
        <v>46054</v>
      </c>
      <c r="H11" s="160">
        <f t="shared" ca="1" si="2"/>
        <v>7</v>
      </c>
      <c r="I11" s="160">
        <f ca="1">IF($G11="Всього:",SUM($I$4:I10),IF(AND(DAY($C$4)&gt;=15,H11=1),K11+L11,$C$32))</f>
        <v>3804</v>
      </c>
      <c r="J11" s="160">
        <f ca="1">IF($G11="Всього:",SUM($J$4:J10),IF(I11-SUM(K11:L11)&lt;0,0,I11-SUM(K11:L11)))</f>
        <v>2871.9489124538504</v>
      </c>
      <c r="K11" s="160">
        <f ca="1">IF(G11="Всього:",SUM($K$5:K10),IF(F11&lt;&gt;F10,(F11*O10/36000*(G11-CONCATENATE(DAY($C$4),".",MONTH(G10),".",YEAR(G10)))+(F10*O10/36000*(CONCATENATE(DAY($C$4),".",MONTH(G10),".",YEAR(G10))-G10))),F11*O10/36000*(G11-G10)))</f>
        <v>932.05108754614969</v>
      </c>
      <c r="L11" s="160">
        <f ca="1">IF(G11="Всього:",SUM($L$5:L10),$E$4)</f>
        <v>0</v>
      </c>
      <c r="M11" s="160">
        <f ca="1">IF(G11="Всього:",SUM($M$5:M10),IF($E$5="UAH",J11+L11+K11,J11+K11))</f>
        <v>3804</v>
      </c>
      <c r="N11" s="160" t="str">
        <f ca="1">IF(G11="Всього:",SUM($N$4:N10),IF($E$5="UAH","",L11))</f>
        <v/>
      </c>
      <c r="O11" s="160">
        <f t="shared" ca="1" si="0"/>
        <v>80452.293436900203</v>
      </c>
    </row>
    <row r="12" spans="1:15" x14ac:dyDescent="0.3">
      <c r="B12" s="161"/>
      <c r="C12" s="161"/>
      <c r="F12" s="160">
        <f t="shared" ca="1" si="1"/>
        <v>12.99</v>
      </c>
      <c r="G12" s="160">
        <f t="shared" ca="1" si="3"/>
        <v>46082</v>
      </c>
      <c r="H12" s="160">
        <f t="shared" ca="1" si="2"/>
        <v>8</v>
      </c>
      <c r="I12" s="160">
        <f ca="1">IF($G12="Всього:",SUM($I$4:I11),IF(AND(DAY($C$4)&gt;=15,H12=1),K12+L12,$C$32))</f>
        <v>3804</v>
      </c>
      <c r="J12" s="160">
        <f ca="1">IF($G12="Всього:",SUM($J$4:J11),IF(I12-SUM(K12:L12)&lt;0,0,I12-SUM(K12:L12)))</f>
        <v>2991.1636619758515</v>
      </c>
      <c r="K12" s="160">
        <f ca="1">IF(G12="Всього:",SUM($K$5:K11),IF(F12&lt;&gt;F11,(F12*O11/36000*(G12-CONCATENATE(DAY($C$4),".",MONTH(G11),".",YEAR(G11)))+(F11*O11/36000*(CONCATENATE(DAY($C$4),".",MONTH(G11),".",YEAR(G11))-G11))),F12*O11/36000*(G12-G11)))</f>
        <v>812.8363380241484</v>
      </c>
      <c r="L12" s="160">
        <f ca="1">IF(G12="Всього:",SUM($L$5:L11),$E$4)</f>
        <v>0</v>
      </c>
      <c r="M12" s="160">
        <f ca="1">IF(G12="Всього:",SUM($M$5:M11),IF($E$5="UAH",J12+L12+K12,J12+K12))</f>
        <v>3804</v>
      </c>
      <c r="N12" s="160" t="str">
        <f ca="1">IF(G12="Всього:",SUM($N$4:N11),IF($E$5="UAH","",L12))</f>
        <v/>
      </c>
      <c r="O12" s="160">
        <f t="shared" ca="1" si="0"/>
        <v>77461.129774924353</v>
      </c>
    </row>
    <row r="13" spans="1:15" x14ac:dyDescent="0.3">
      <c r="C13" s="163"/>
      <c r="F13" s="160">
        <f t="shared" ca="1" si="1"/>
        <v>12.99</v>
      </c>
      <c r="G13" s="160">
        <f t="shared" ca="1" si="3"/>
        <v>46113</v>
      </c>
      <c r="H13" s="160">
        <f t="shared" ca="1" si="2"/>
        <v>9</v>
      </c>
      <c r="I13" s="160">
        <f ca="1">IF($G13="Всього:",SUM($I$4:I12),IF(AND(DAY($C$4)&gt;=15,H13=1),K13+L13,$C$32))</f>
        <v>3804</v>
      </c>
      <c r="J13" s="160">
        <f ca="1">IF($G13="Всього:",SUM($J$4:J12),IF(I13-SUM(K13:L13)&lt;0,0,I13-SUM(K13:L13)))</f>
        <v>2937.5327125259919</v>
      </c>
      <c r="K13" s="160">
        <f ca="1">IF(G13="Всього:",SUM($K$5:K12),IF(F13&lt;&gt;F12,(F13*O12/36000*(G13-CONCATENATE(DAY($C$4),".",MONTH(G12),".",YEAR(G12)))+(F12*O12/36000*(CONCATENATE(DAY($C$4),".",MONTH(G12),".",YEAR(G12))-G12))),F13*O12/36000*(G13-G12)))</f>
        <v>866.467287474008</v>
      </c>
      <c r="L13" s="160">
        <f ca="1">IF(G13="Всього:",SUM($L$5:L12),$E$4)</f>
        <v>0</v>
      </c>
      <c r="M13" s="160">
        <f ca="1">IF(G13="Всього:",SUM($M$5:M12),IF($E$5="UAH",J13+L13+K13,J13+K13))</f>
        <v>3804</v>
      </c>
      <c r="N13" s="160" t="str">
        <f ca="1">IF(G13="Всього:",SUM($N$4:N12),IF($E$5="UAH","",L13))</f>
        <v/>
      </c>
      <c r="O13" s="160">
        <f t="shared" ca="1" si="0"/>
        <v>74523.597062398359</v>
      </c>
    </row>
    <row r="14" spans="1:15" x14ac:dyDescent="0.3">
      <c r="A14" s="160" t="s">
        <v>335</v>
      </c>
      <c r="B14" s="160">
        <f ca="1">EDATE($C$4,$E$3)-1</f>
        <v>47665</v>
      </c>
      <c r="C14" s="163"/>
      <c r="F14" s="160">
        <f t="shared" ca="1" si="1"/>
        <v>12.99</v>
      </c>
      <c r="G14" s="160">
        <f t="shared" ca="1" si="3"/>
        <v>46143</v>
      </c>
      <c r="H14" s="160">
        <f t="shared" ca="1" si="2"/>
        <v>10</v>
      </c>
      <c r="I14" s="160">
        <f ca="1">IF($G14="Всього:",SUM($I$4:I13),IF(AND(DAY($C$4)&gt;=15,H14=1),K14+L14,$C$32))</f>
        <v>3804</v>
      </c>
      <c r="J14" s="160">
        <f ca="1">IF($G14="Всього:",SUM($J$4:J13),IF(I14-SUM(K14:L14)&lt;0,0,I14-SUM(K14:L14)))</f>
        <v>2997.2820617995376</v>
      </c>
      <c r="K14" s="160">
        <f ca="1">IF(G14="Всього:",SUM($K$5:K13),IF(F14&lt;&gt;F13,(F14*O13/36000*(G14-CONCATENATE(DAY($C$4),".",MONTH(G13),".",YEAR(G13)))+(F13*O13/36000*(CONCATENATE(DAY($C$4),".",MONTH(G13),".",YEAR(G13))-G13))),F14*O13/36000*(G14-G13)))</f>
        <v>806.7179382004623</v>
      </c>
      <c r="L14" s="160">
        <f ca="1">IF(G14="Всього:",SUM($L$5:L13),$E$4)</f>
        <v>0</v>
      </c>
      <c r="M14" s="160">
        <f ca="1">IF(G14="Всього:",SUM($M$5:M13),IF($E$5="UAH",J14+L14+K14,J14+K14))</f>
        <v>3804</v>
      </c>
      <c r="N14" s="160" t="str">
        <f ca="1">IF(G14="Всього:",SUM($N$4:N13),IF($E$5="UAH","",L14))</f>
        <v/>
      </c>
      <c r="O14" s="160">
        <f t="shared" ca="1" si="0"/>
        <v>71526.315000598828</v>
      </c>
    </row>
    <row r="15" spans="1:15" x14ac:dyDescent="0.3">
      <c r="C15" s="163"/>
      <c r="F15" s="160">
        <f t="shared" ca="1" si="1"/>
        <v>12.99</v>
      </c>
      <c r="G15" s="160">
        <f t="shared" ca="1" si="3"/>
        <v>46174</v>
      </c>
      <c r="H15" s="160">
        <f t="shared" ca="1" si="2"/>
        <v>11</v>
      </c>
      <c r="I15" s="160">
        <f ca="1">IF($G15="Всього:",SUM($I$4:I14),IF(AND(DAY($C$4)&gt;=15,H15=1),K15+L15,$C$32))</f>
        <v>3804</v>
      </c>
      <c r="J15" s="160">
        <f ca="1">IF($G15="Всього:",SUM($J$4:J14),IF(I15-SUM(K15:L15)&lt;0,0,I15-SUM(K15:L15)))</f>
        <v>3003.9185614558014</v>
      </c>
      <c r="K15" s="160">
        <f ca="1">IF(G15="Всього:",SUM($K$5:K14),IF(F15&lt;&gt;F14,(F15*O14/36000*(G15-CONCATENATE(DAY($C$4),".",MONTH(G14),".",YEAR(G14)))+(F14*O14/36000*(CONCATENATE(DAY($C$4),".",MONTH(G14),".",YEAR(G14))-G14))),F15*O14/36000*(G15-G14)))</f>
        <v>800.08143854419848</v>
      </c>
      <c r="L15" s="160">
        <f ca="1">IF(G15="Всього:",SUM($L$5:L14),$E$4)</f>
        <v>0</v>
      </c>
      <c r="M15" s="160">
        <f ca="1">IF(G15="Всього:",SUM($M$5:M14),IF($E$5="UAH",J15+L15+K15,J15+K15))</f>
        <v>3804</v>
      </c>
      <c r="N15" s="160" t="str">
        <f ca="1">IF(G15="Всього:",SUM($N$4:N14),IF($E$5="UAH","",L15))</f>
        <v/>
      </c>
      <c r="O15" s="160">
        <f t="shared" ca="1" si="0"/>
        <v>68522.39643914302</v>
      </c>
    </row>
    <row r="16" spans="1:15" x14ac:dyDescent="0.3">
      <c r="A16" s="160" t="s">
        <v>339</v>
      </c>
      <c r="B16" s="160">
        <f>IF(AND('Платоспроможність боржника'!H8="Змінна",'Платоспроможність боржника'!$H$5&lt;=24),'Платоспроможність боржника'!H6+0.5,IF(AND('Платоспроможність боржника'!H8="Змінна",'Платоспроможність боржника'!$H$5&gt;24,'Платоспроможність боржника'!$H$5&lt;=60),'Платоспроможність боржника'!H6+1,IF(AND('Платоспроможність боржника'!H8="Змінна",'Платоспроможність боржника'!$H$5&gt;60),'Платоспроможність боржника'!H6+2.5,'Платоспроможність боржника'!H6)))</f>
        <v>12.99</v>
      </c>
      <c r="C16" s="163">
        <f>IF(AND('Платоспроможність боржника'!I8="Змінна",'Платоспроможність боржника'!$H$5&lt;=24),'Платоспроможність боржника'!I6+0.5,IF(AND('Платоспроможність боржника'!I8="Змінна",'Платоспроможність боржника'!$H$5&gt;24,'Платоспроможність боржника'!$H$5&lt;=60),'Платоспроможність боржника'!I6+1,IF(AND('Платоспроможність боржника'!I8="Змінна",'Платоспроможність боржника'!$H$5&gt;60),'Платоспроможність боржника'!I6+2.5,'Платоспроможність боржника'!I6)))</f>
        <v>0</v>
      </c>
      <c r="D16" s="160">
        <f>IF(AND('Платоспроможність боржника'!J8="Змінна",'Платоспроможність боржника'!$H$5&lt;=24),'Платоспроможність боржника'!J6+0.5,IF(AND('Платоспроможність боржника'!J8="Змінна",'Платоспроможність боржника'!$H$5&gt;24,'Платоспроможність боржника'!$H$5&lt;=60),'Платоспроможність боржника'!J6+1,IF(AND('Платоспроможність боржника'!J8="Змінна",'Платоспроможність боржника'!$H$5&gt;60),'Платоспроможність боржника'!J6+2.5,'Платоспроможність боржника'!J6)))</f>
        <v>0</v>
      </c>
      <c r="E16" s="160">
        <f>IF(AND('Платоспроможність боржника'!K8="Змінна",'Платоспроможність боржника'!$H$5&lt;=24),'Платоспроможність боржника'!K6+0.5,IF(AND('Платоспроможність боржника'!K8="Змінна",'Платоспроможність боржника'!$H$5&gt;24,'Платоспроможність боржника'!$H$5&lt;=60),'Платоспроможність боржника'!K6+1,IF(AND('Платоспроможність боржника'!K8="Змінна",'Платоспроможність боржника'!$H$5&gt;60),'Платоспроможність боржника'!K6+2.5,'Платоспроможність боржника'!K6)))</f>
        <v>0</v>
      </c>
      <c r="F16" s="160">
        <f t="shared" ca="1" si="1"/>
        <v>12.99</v>
      </c>
      <c r="G16" s="160">
        <f t="shared" ca="1" si="3"/>
        <v>46204</v>
      </c>
      <c r="H16" s="160">
        <f t="shared" ca="1" si="2"/>
        <v>12</v>
      </c>
      <c r="I16" s="160">
        <f ca="1">IF($G16="Всього:",SUM($I$4:I15),IF(AND(DAY($C$4)&gt;=15,H16=1),K16+L16,$C$32))</f>
        <v>3804</v>
      </c>
      <c r="J16" s="160">
        <f ca="1">IF($G16="Всього:",SUM($J$4:J15),IF(I16-SUM(K16:L16)&lt;0,0,I16-SUM(K16:L16)))</f>
        <v>3062.2450585462766</v>
      </c>
      <c r="K16" s="160">
        <f ca="1">IF(G16="Всього:",SUM($K$5:K15),IF(F16&lt;&gt;F15,(F16*O15/36000*(G16-CONCATENATE(DAY($C$4),".",MONTH(G15),".",YEAR(G15)))+(F15*O15/36000*(CONCATENATE(DAY($C$4),".",MONTH(G15),".",YEAR(G15))-G15))),F16*O15/36000*(G16-G15)))</f>
        <v>741.75494145372318</v>
      </c>
      <c r="L16" s="160">
        <f ca="1">IF(G16="Всього:",SUM($L$5:L15),$E$4)</f>
        <v>0</v>
      </c>
      <c r="M16" s="160">
        <f ca="1">IF(G16="Всього:",SUM($M$5:M15),IF($E$5="UAH",J16+L16+K16,J16+K16))</f>
        <v>3804</v>
      </c>
      <c r="N16" s="160" t="str">
        <f ca="1">IF(G16="Всього:",SUM($N$4:N15),IF($E$5="UAH","",L16))</f>
        <v/>
      </c>
      <c r="O16" s="160">
        <f t="shared" ca="1" si="0"/>
        <v>65460.151380596741</v>
      </c>
    </row>
    <row r="17" spans="1:15" x14ac:dyDescent="0.3">
      <c r="C17" s="163"/>
      <c r="F17" s="160">
        <f t="shared" ca="1" si="1"/>
        <v>12.99</v>
      </c>
      <c r="G17" s="160">
        <f t="shared" ca="1" si="3"/>
        <v>46235</v>
      </c>
      <c r="H17" s="160">
        <f t="shared" ca="1" si="2"/>
        <v>13</v>
      </c>
      <c r="I17" s="160">
        <f ca="1">IF($G17="Всього:",SUM($I$4:I16),IF(AND(DAY($C$4)&gt;=15,H17=1),K17+L17,$C$32))</f>
        <v>3804</v>
      </c>
      <c r="J17" s="160">
        <f ca="1">IF($G17="Всього:",SUM($J$4:J16),IF(I17-SUM(K17:L17)&lt;0,0,I17-SUM(K17:L17)))</f>
        <v>3071.7736566818749</v>
      </c>
      <c r="K17" s="160">
        <f ca="1">IF(G17="Всього:",SUM($K$5:K16),IF(F17&lt;&gt;F16,(F17*O16/36000*(G17-CONCATENATE(DAY($C$4),".",MONTH(G16),".",YEAR(G16)))+(F16*O16/36000*(CONCATENATE(DAY($C$4),".",MONTH(G16),".",YEAR(G16))-G16))),F17*O16/36000*(G17-G16)))</f>
        <v>732.22634331812503</v>
      </c>
      <c r="L17" s="160">
        <f ca="1">IF(G17="Всього:",SUM($L$5:L16),$E$4)</f>
        <v>0</v>
      </c>
      <c r="M17" s="160">
        <f ca="1">IF(G17="Всього:",SUM($M$5:M16),IF($E$5="UAH",J17+L17+K17,J17+K17))</f>
        <v>3804</v>
      </c>
      <c r="N17" s="160" t="str">
        <f ca="1">IF(G17="Всього:",SUM($N$4:N16),IF($E$5="UAH","",L17))</f>
        <v/>
      </c>
      <c r="O17" s="160">
        <f t="shared" ca="1" si="0"/>
        <v>62388.377723914862</v>
      </c>
    </row>
    <row r="18" spans="1:15" x14ac:dyDescent="0.3">
      <c r="F18" s="160">
        <f t="shared" ca="1" si="1"/>
        <v>12.99</v>
      </c>
      <c r="G18" s="160">
        <f t="shared" ca="1" si="3"/>
        <v>46266</v>
      </c>
      <c r="H18" s="160">
        <f t="shared" ca="1" si="2"/>
        <v>14</v>
      </c>
      <c r="I18" s="160">
        <f ca="1">IF($G18="Всього:",SUM($I$4:I17),IF(AND(DAY($C$4)&gt;=15,H18=1),K18+L18,$C$32))</f>
        <v>3804</v>
      </c>
      <c r="J18" s="160">
        <f ca="1">IF($G18="Всього:",SUM($J$4:J17),IF(I18-SUM(K18:L18)&lt;0,0,I18-SUM(K18:L18)))</f>
        <v>3106.1340048432421</v>
      </c>
      <c r="K18" s="160">
        <f ca="1">IF(G18="Всього:",SUM($K$5:K17),IF(F18&lt;&gt;F17,(F18*O17/36000*(G18-CONCATENATE(DAY($C$4),".",MONTH(G17),".",YEAR(G17)))+(F17*O17/36000*(CONCATENATE(DAY($C$4),".",MONTH(G17),".",YEAR(G17))-G17))),F18*O17/36000*(G18-G17)))</f>
        <v>697.86599515675766</v>
      </c>
      <c r="L18" s="160">
        <f ca="1">IF(G18="Всього:",SUM($L$5:L17),$E$4)</f>
        <v>0</v>
      </c>
      <c r="M18" s="160">
        <f ca="1">IF(G18="Всього:",SUM($M$5:M17),IF($E$5="UAH",J18+L18+K18,J18+K18))</f>
        <v>3804</v>
      </c>
      <c r="N18" s="160" t="str">
        <f ca="1">IF(G18="Всього:",SUM($N$4:N17),IF($E$5="UAH","",L18))</f>
        <v/>
      </c>
      <c r="O18" s="160">
        <f t="shared" ca="1" si="0"/>
        <v>59282.243719071623</v>
      </c>
    </row>
    <row r="19" spans="1:15" x14ac:dyDescent="0.3">
      <c r="F19" s="160">
        <f t="shared" ca="1" si="1"/>
        <v>12.99</v>
      </c>
      <c r="G19" s="160">
        <f t="shared" ca="1" si="3"/>
        <v>46296</v>
      </c>
      <c r="H19" s="160">
        <f t="shared" ca="1" si="2"/>
        <v>15</v>
      </c>
      <c r="I19" s="160">
        <f ca="1">IF($G19="Всього:",SUM($I$4:I18),IF(AND(DAY($C$4)&gt;=15,H19=1),K19+L19,$C$32))</f>
        <v>3804</v>
      </c>
      <c r="J19" s="160">
        <f ca="1">IF($G19="Всього:",SUM($J$4:J18),IF(I19-SUM(K19:L19)&lt;0,0,I19-SUM(K19:L19)))</f>
        <v>3162.2697117410498</v>
      </c>
      <c r="K19" s="160">
        <f ca="1">IF(G19="Всього:",SUM($K$5:K18),IF(F19&lt;&gt;F18,(F19*O18/36000*(G19-CONCATENATE(DAY($C$4),".",MONTH(G18),".",YEAR(G18)))+(F18*O18/36000*(CONCATENATE(DAY($C$4),".",MONTH(G18),".",YEAR(G18))-G18))),F19*O18/36000*(G19-G18)))</f>
        <v>641.73028825895028</v>
      </c>
      <c r="L19" s="160">
        <f ca="1">IF(G19="Всього:",SUM($L$5:L18),$E$4)</f>
        <v>0</v>
      </c>
      <c r="M19" s="160">
        <f ca="1">IF(G19="Всього:",SUM($M$5:M18),IF($E$5="UAH",J19+L19+K19,J19+K19))</f>
        <v>3804</v>
      </c>
      <c r="N19" s="160" t="str">
        <f ca="1">IF(G19="Всього:",SUM($N$4:N18),IF($E$5="UAH","",L19))</f>
        <v/>
      </c>
      <c r="O19" s="160">
        <f t="shared" ca="1" si="0"/>
        <v>56119.974007330573</v>
      </c>
    </row>
    <row r="20" spans="1:15" x14ac:dyDescent="0.3">
      <c r="F20" s="160">
        <f t="shared" ca="1" si="1"/>
        <v>12.99</v>
      </c>
      <c r="G20" s="160">
        <f t="shared" ca="1" si="3"/>
        <v>46327</v>
      </c>
      <c r="H20" s="160">
        <f t="shared" ca="1" si="2"/>
        <v>16</v>
      </c>
      <c r="I20" s="160">
        <f ca="1">IF($G20="Всього:",SUM($I$4:I19),IF(AND(DAY($C$4)&gt;=15,H20=1),K20+L20,$C$32))</f>
        <v>3804</v>
      </c>
      <c r="J20" s="160">
        <f ca="1">IF($G20="Всього:",SUM($J$4:J19),IF(I20-SUM(K20:L20)&lt;0,0,I20-SUM(K20:L20)))</f>
        <v>3176.2513240830012</v>
      </c>
      <c r="K20" s="160">
        <f ca="1">IF(G20="Всього:",SUM($K$5:K19),IF(F20&lt;&gt;F19,(F20*O19/36000*(G20-CONCATENATE(DAY($C$4),".",MONTH(G19),".",YEAR(G19)))+(F19*O19/36000*(CONCATENATE(DAY($C$4),".",MONTH(G19),".",YEAR(G19))-G19))),F20*O19/36000*(G20-G19)))</f>
        <v>627.74867591699865</v>
      </c>
      <c r="L20" s="160">
        <f ca="1">IF(G20="Всього:",SUM($L$5:L19),$E$4)</f>
        <v>0</v>
      </c>
      <c r="M20" s="160">
        <f ca="1">IF(G20="Всього:",SUM($M$5:M19),IF($E$5="UAH",J20+L20+K20,J20+K20))</f>
        <v>3804</v>
      </c>
      <c r="N20" s="160" t="str">
        <f ca="1">IF(G20="Всього:",SUM($N$4:N19),IF($E$5="UAH","",L20))</f>
        <v/>
      </c>
      <c r="O20" s="160">
        <f t="shared" ca="1" si="0"/>
        <v>52943.722683247572</v>
      </c>
    </row>
    <row r="21" spans="1:15" x14ac:dyDescent="0.3">
      <c r="F21" s="160">
        <f t="shared" ca="1" si="1"/>
        <v>12.99</v>
      </c>
      <c r="G21" s="160">
        <f t="shared" ca="1" si="3"/>
        <v>46357</v>
      </c>
      <c r="H21" s="160">
        <f t="shared" ca="1" si="2"/>
        <v>17</v>
      </c>
      <c r="I21" s="160">
        <f ca="1">IF($G21="Всього:",SUM($I$4:I20),IF(AND(DAY($C$4)&gt;=15,H21=1),K21+L21,$C$32))</f>
        <v>3804</v>
      </c>
      <c r="J21" s="160">
        <f ca="1">IF($G21="Всього:",SUM($J$4:J20),IF(I21-SUM(K21:L21)&lt;0,0,I21-SUM(K21:L21)))</f>
        <v>3230.8842019538451</v>
      </c>
      <c r="K21" s="160">
        <f ca="1">IF(G21="Всього:",SUM($K$5:K20),IF(F21&lt;&gt;F20,(F21*O20/36000*(G21-CONCATENATE(DAY($C$4),".",MONTH(G20),".",YEAR(G20)))+(F20*O20/36000*(CONCATENATE(DAY($C$4),".",MONTH(G20),".",YEAR(G20))-G20))),F21*O20/36000*(G21-G20)))</f>
        <v>573.11579804615496</v>
      </c>
      <c r="L21" s="160">
        <f ca="1">IF(G21="Всього:",SUM($L$5:L20),$E$4)</f>
        <v>0</v>
      </c>
      <c r="M21" s="160">
        <f ca="1">IF(G21="Всього:",SUM($M$5:M20),IF($E$5="UAH",J21+L21+K21,J21+K21))</f>
        <v>3804</v>
      </c>
      <c r="N21" s="160" t="str">
        <f ca="1">IF(G21="Всього:",SUM($N$4:N20),IF($E$5="UAH","",L21))</f>
        <v/>
      </c>
      <c r="O21" s="160">
        <f t="shared" ca="1" si="0"/>
        <v>49712.838481293729</v>
      </c>
    </row>
    <row r="22" spans="1:15" x14ac:dyDescent="0.3">
      <c r="F22" s="160">
        <f t="shared" ca="1" si="1"/>
        <v>12.99</v>
      </c>
      <c r="G22" s="160">
        <f t="shared" ca="1" si="3"/>
        <v>46388</v>
      </c>
      <c r="H22" s="160">
        <f t="shared" ca="1" si="2"/>
        <v>18</v>
      </c>
      <c r="I22" s="160">
        <f ca="1">IF($G22="Всього:",SUM($I$4:I21),IF(AND(DAY($C$4)&gt;=15,H22=1),K22+L22,$C$32))</f>
        <v>3804</v>
      </c>
      <c r="J22" s="160">
        <f ca="1">IF($G22="Всього:",SUM($J$4:J21),IF(I22-SUM(K22:L22)&lt;0,0,I22-SUM(K22:L22)))</f>
        <v>3247.9204742213287</v>
      </c>
      <c r="K22" s="160">
        <f ca="1">IF(G22="Всього:",SUM($K$5:K21),IF(F22&lt;&gt;F21,(F22*O21/36000*(G22-CONCATENATE(DAY($C$4),".",MONTH(G21),".",YEAR(G21)))+(F21*O21/36000*(CONCATENATE(DAY($C$4),".",MONTH(G21),".",YEAR(G21))-G21))),F22*O21/36000*(G22-G21)))</f>
        <v>556.07952577867138</v>
      </c>
      <c r="L22" s="160">
        <f ca="1">IF(G22="Всього:",SUM($L$5:L21),$E$4)</f>
        <v>0</v>
      </c>
      <c r="M22" s="160">
        <f ca="1">IF(G22="Всього:",SUM($M$5:M21),IF($E$5="UAH",J22+L22+K22,J22+K22))</f>
        <v>3804</v>
      </c>
      <c r="N22" s="160" t="str">
        <f ca="1">IF(G22="Всього:",SUM($N$4:N21),IF($E$5="UAH","",L22))</f>
        <v/>
      </c>
      <c r="O22" s="160">
        <f t="shared" ca="1" si="0"/>
        <v>46464.918007072403</v>
      </c>
    </row>
    <row r="23" spans="1:15" x14ac:dyDescent="0.3">
      <c r="F23" s="160">
        <f t="shared" ca="1" si="1"/>
        <v>12.99</v>
      </c>
      <c r="G23" s="160">
        <f t="shared" ca="1" si="3"/>
        <v>46419</v>
      </c>
      <c r="H23" s="160">
        <f t="shared" ca="1" si="2"/>
        <v>19</v>
      </c>
      <c r="I23" s="160">
        <f ca="1">IF($G23="Всього:",SUM($I$4:I22),IF(AND(DAY($C$4)&gt;=15,H23=1),K23+L23,$C$32))</f>
        <v>3804</v>
      </c>
      <c r="J23" s="160">
        <f ca="1">IF($G23="Всього:",SUM($J$4:J22),IF(I23-SUM(K23:L23)&lt;0,0,I23-SUM(K23:L23)))</f>
        <v>3284.2511713258891</v>
      </c>
      <c r="K23" s="160">
        <f ca="1">IF(G23="Всього:",SUM($K$5:K22),IF(F23&lt;&gt;F22,(F23*O22/36000*(G23-CONCATENATE(DAY($C$4),".",MONTH(G22),".",YEAR(G22)))+(F22*O22/36000*(CONCATENATE(DAY($C$4),".",MONTH(G22),".",YEAR(G22))-G22))),F23*O22/36000*(G23-G22)))</f>
        <v>519.74882867411077</v>
      </c>
      <c r="L23" s="160">
        <f ca="1">IF(G23="Всього:",SUM($L$5:L22),$E$4)</f>
        <v>0</v>
      </c>
      <c r="M23" s="160">
        <f ca="1">IF(G23="Всього:",SUM($M$5:M22),IF($E$5="UAH",J23+L23+K23,J23+K23))</f>
        <v>3804</v>
      </c>
      <c r="N23" s="160" t="str">
        <f ca="1">IF(G23="Всього:",SUM($N$4:N22),IF($E$5="UAH","",L23))</f>
        <v/>
      </c>
      <c r="O23" s="160">
        <f t="shared" ca="1" si="0"/>
        <v>43180.666835746517</v>
      </c>
    </row>
    <row r="24" spans="1:15" x14ac:dyDescent="0.3">
      <c r="F24" s="160">
        <f t="shared" ca="1" si="1"/>
        <v>12.99</v>
      </c>
      <c r="G24" s="160">
        <f t="shared" ca="1" si="3"/>
        <v>46447</v>
      </c>
      <c r="H24" s="160">
        <f t="shared" ca="1" si="2"/>
        <v>20</v>
      </c>
      <c r="I24" s="160">
        <f ca="1">IF($G24="Всього:",SUM($I$4:I23),IF(AND(DAY($C$4)&gt;=15,H24=1),K24+L24,$C$32))</f>
        <v>3804</v>
      </c>
      <c r="J24" s="160">
        <f ca="1">IF($G24="Всього:",SUM($J$4:J23),IF(I24-SUM(K24:L24)&lt;0,0,I24-SUM(K24:L24)))</f>
        <v>3367.7313294028409</v>
      </c>
      <c r="K24" s="160">
        <f ca="1">IF(G24="Всього:",SUM($K$5:K23),IF(F24&lt;&gt;F23,(F24*O23/36000*(G24-CONCATENATE(DAY($C$4),".",MONTH(G23),".",YEAR(G23)))+(F23*O23/36000*(CONCATENATE(DAY($C$4),".",MONTH(G23),".",YEAR(G23))-G23))),F24*O23/36000*(G24-G23)))</f>
        <v>436.26867059715892</v>
      </c>
      <c r="L24" s="160">
        <f ca="1">IF(G24="Всього:",SUM($L$5:L23),$E$4)</f>
        <v>0</v>
      </c>
      <c r="M24" s="160">
        <f ca="1">IF(G24="Всього:",SUM($M$5:M23),IF($E$5="UAH",J24+L24+K24,J24+K24))</f>
        <v>3804</v>
      </c>
      <c r="N24" s="160" t="str">
        <f ca="1">IF(G24="Всього:",SUM($N$4:N23),IF($E$5="UAH","",L24))</f>
        <v/>
      </c>
      <c r="O24" s="160">
        <f t="shared" ca="1" si="0"/>
        <v>39812.935506343674</v>
      </c>
    </row>
    <row r="25" spans="1:15" x14ac:dyDescent="0.3">
      <c r="F25" s="160">
        <f t="shared" ca="1" si="1"/>
        <v>12.99</v>
      </c>
      <c r="G25" s="160">
        <f t="shared" ca="1" si="3"/>
        <v>46478</v>
      </c>
      <c r="H25" s="160">
        <f t="shared" ca="1" si="2"/>
        <v>21</v>
      </c>
      <c r="I25" s="160">
        <f ca="1">IF($G25="Всього:",SUM($I$4:I24),IF(AND(DAY($C$4)&gt;=15,H25=1),K25+L25,$C$32))</f>
        <v>3804</v>
      </c>
      <c r="J25" s="160">
        <f ca="1">IF($G25="Всього:",SUM($J$4:J24),IF(I25-SUM(K25:L25)&lt;0,0,I25-SUM(K25:L25)))</f>
        <v>3358.6591389152909</v>
      </c>
      <c r="K25" s="160">
        <f ca="1">IF(G25="Всього:",SUM($K$5:K24),IF(F25&lt;&gt;F24,(F25*O24/36000*(G25-CONCATENATE(DAY($C$4),".",MONTH(G24),".",YEAR(G24)))+(F24*O24/36000*(CONCATENATE(DAY($C$4),".",MONTH(G24),".",YEAR(G24))-G24))),F25*O24/36000*(G25-G24)))</f>
        <v>445.34086108470927</v>
      </c>
      <c r="L25" s="160">
        <f ca="1">IF(G25="Всього:",SUM($L$5:L24),$E$4)</f>
        <v>0</v>
      </c>
      <c r="M25" s="160">
        <f ca="1">IF(G25="Всього:",SUM($M$5:M24),IF($E$5="UAH",J25+L25+K25,J25+K25))</f>
        <v>3804</v>
      </c>
      <c r="N25" s="160" t="str">
        <f ca="1">IF(G25="Всього:",SUM($N$4:N24),IF($E$5="UAH","",L25))</f>
        <v/>
      </c>
      <c r="O25" s="160">
        <f t="shared" ca="1" si="0"/>
        <v>36454.276367428385</v>
      </c>
    </row>
    <row r="26" spans="1:15" x14ac:dyDescent="0.3">
      <c r="F26" s="160">
        <f t="shared" ca="1" si="1"/>
        <v>12.99</v>
      </c>
      <c r="G26" s="160">
        <f t="shared" ca="1" si="3"/>
        <v>46508</v>
      </c>
      <c r="H26" s="160">
        <f t="shared" ca="1" si="2"/>
        <v>22</v>
      </c>
      <c r="I26" s="160">
        <f ca="1">IF($G26="Всього:",SUM($I$4:I25),IF(AND(DAY($C$4)&gt;=15,H26=1),K26+L26,$C$32))</f>
        <v>3804</v>
      </c>
      <c r="J26" s="160">
        <f ca="1">IF($G26="Всього:",SUM($J$4:J25),IF(I26-SUM(K26:L26)&lt;0,0,I26-SUM(K26:L26)))</f>
        <v>3409.3824583225878</v>
      </c>
      <c r="K26" s="160">
        <f ca="1">IF(G26="Всього:",SUM($K$5:K25),IF(F26&lt;&gt;F25,(F26*O25/36000*(G26-CONCATENATE(DAY($C$4),".",MONTH(G25),".",YEAR(G25)))+(F25*O25/36000*(CONCATENATE(DAY($C$4),".",MONTH(G25),".",YEAR(G25))-G25))),F26*O25/36000*(G26-G25)))</f>
        <v>394.61754167741225</v>
      </c>
      <c r="L26" s="160">
        <f ca="1">IF(G26="Всього:",SUM($L$5:L25),$E$4)</f>
        <v>0</v>
      </c>
      <c r="M26" s="160">
        <f ca="1">IF(G26="Всього:",SUM($M$5:M25),IF($E$5="UAH",J26+L26+K26,J26+K26))</f>
        <v>3804</v>
      </c>
      <c r="N26" s="160" t="str">
        <f ca="1">IF(G26="Всього:",SUM($N$4:N25),IF($E$5="UAH","",L26))</f>
        <v/>
      </c>
      <c r="O26" s="160">
        <f t="shared" ca="1" si="0"/>
        <v>33044.893909105798</v>
      </c>
    </row>
    <row r="27" spans="1:15" x14ac:dyDescent="0.3">
      <c r="F27" s="160">
        <f t="shared" ca="1" si="1"/>
        <v>12.99</v>
      </c>
      <c r="G27" s="160">
        <f t="shared" ca="1" si="3"/>
        <v>46539</v>
      </c>
      <c r="H27" s="160">
        <f t="shared" ca="1" si="2"/>
        <v>23</v>
      </c>
      <c r="I27" s="160">
        <f ca="1">IF($G27="Всього:",SUM($I$4:I26),IF(AND(DAY($C$4)&gt;=15,H27=1),K27+L27,$C$32))</f>
        <v>3804</v>
      </c>
      <c r="J27" s="160">
        <f ca="1">IF($G27="Всього:",SUM($J$4:J26),IF(I27-SUM(K27:L27)&lt;0,0,I27-SUM(K27:L27)))</f>
        <v>3434.3653242150608</v>
      </c>
      <c r="K27" s="160">
        <f ca="1">IF(G27="Всього:",SUM($K$5:K26),IF(F27&lt;&gt;F26,(F27*O26/36000*(G27-CONCATENATE(DAY($C$4),".",MONTH(G26),".",YEAR(G26)))+(F26*O26/36000*(CONCATENATE(DAY($C$4),".",MONTH(G26),".",YEAR(G26))-G26))),F27*O26/36000*(G27-G26)))</f>
        <v>369.6346757849393</v>
      </c>
      <c r="L27" s="160">
        <f ca="1">IF(G27="Всього:",SUM($L$5:L26),$E$4)</f>
        <v>0</v>
      </c>
      <c r="M27" s="160">
        <f ca="1">IF(G27="Всього:",SUM($M$5:M26),IF($E$5="UAH",J27+L27+K27,J27+K27))</f>
        <v>3804</v>
      </c>
      <c r="N27" s="160" t="str">
        <f ca="1">IF(G27="Всього:",SUM($N$4:N26),IF($E$5="UAH","",L27))</f>
        <v/>
      </c>
      <c r="O27" s="160">
        <f t="shared" ca="1" si="0"/>
        <v>29610.528584890737</v>
      </c>
    </row>
    <row r="28" spans="1:15" x14ac:dyDescent="0.3">
      <c r="F28" s="160">
        <f t="shared" ca="1" si="1"/>
        <v>12.99</v>
      </c>
      <c r="G28" s="160">
        <f t="shared" ca="1" si="3"/>
        <v>46569</v>
      </c>
      <c r="H28" s="160">
        <f t="shared" ca="1" si="2"/>
        <v>24</v>
      </c>
      <c r="I28" s="160">
        <f ca="1">IF($G28="Всього:",SUM($I$4:I27),IF(AND(DAY($C$4)&gt;=15,H28=1),K28+L28,$C$32))</f>
        <v>3804</v>
      </c>
      <c r="J28" s="160">
        <f ca="1">IF($G28="Всього:",SUM($J$4:J27),IF(I28-SUM(K28:L28)&lt;0,0,I28-SUM(K28:L28)))</f>
        <v>3483.466028068558</v>
      </c>
      <c r="K28" s="160">
        <f ca="1">IF(G28="Всього:",SUM($K$5:K27),IF(F28&lt;&gt;F27,(F28*O27/36000*(G28-CONCATENATE(DAY($C$4),".",MONTH(G27),".",YEAR(G27)))+(F27*O27/36000*(CONCATENATE(DAY($C$4),".",MONTH(G27),".",YEAR(G27))-G27))),F28*O27/36000*(G28-G27)))</f>
        <v>320.53397193144218</v>
      </c>
      <c r="L28" s="160">
        <f ca="1">IF(G28="Всього:",SUM($L$5:L27),$E$4)</f>
        <v>0</v>
      </c>
      <c r="M28" s="160">
        <f ca="1">IF(G28="Всього:",SUM($M$5:M27),IF($E$5="UAH",J28+L28+K28,J28+K28))</f>
        <v>3804</v>
      </c>
      <c r="N28" s="160" t="str">
        <f ca="1">IF(G28="Всього:",SUM($N$4:N27),IF($E$5="UAH","",L28))</f>
        <v/>
      </c>
      <c r="O28" s="160">
        <f t="shared" ca="1" si="0"/>
        <v>26127.06255682218</v>
      </c>
    </row>
    <row r="29" spans="1:15" x14ac:dyDescent="0.3">
      <c r="F29" s="160">
        <f t="shared" ca="1" si="1"/>
        <v>12.99</v>
      </c>
      <c r="G29" s="160">
        <f t="shared" ca="1" si="3"/>
        <v>46600</v>
      </c>
      <c r="H29" s="160">
        <f t="shared" ca="1" si="2"/>
        <v>25</v>
      </c>
      <c r="I29" s="160">
        <f ca="1">IF($G29="Всього:",SUM($I$4:I28),IF(AND(DAY($C$4)&gt;=15,H29=1),K29+L29,$C$32))</f>
        <v>3804</v>
      </c>
      <c r="J29" s="160">
        <f ca="1">IF($G29="Всього:",SUM($J$4:J28),IF(I29-SUM(K29:L29)&lt;0,0,I29-SUM(K29:L29)))</f>
        <v>3511.7470327498131</v>
      </c>
      <c r="K29" s="160">
        <f ca="1">IF(G29="Всього:",SUM($K$5:K28),IF(F29&lt;&gt;F28,(F29*O28/36000*(G29-CONCATENATE(DAY($C$4),".",MONTH(G28),".",YEAR(G28)))+(F28*O28/36000*(CONCATENATE(DAY($C$4),".",MONTH(G28),".",YEAR(G28))-G28))),F29*O28/36000*(G29-G28)))</f>
        <v>292.25296725018677</v>
      </c>
      <c r="L29" s="160">
        <f ca="1">IF(G29="Всього:",SUM($L$5:L28),$E$4)</f>
        <v>0</v>
      </c>
      <c r="M29" s="160">
        <f ca="1">IF(G29="Всього:",SUM($M$5:M28),IF($E$5="UAH",J29+L29+K29,J29+K29))</f>
        <v>3804</v>
      </c>
      <c r="N29" s="160" t="str">
        <f ca="1">IF(G29="Всього:",SUM($N$4:N28),IF($E$5="UAH","",L29))</f>
        <v/>
      </c>
      <c r="O29" s="160">
        <f t="shared" ca="1" si="0"/>
        <v>22615.315524072368</v>
      </c>
    </row>
    <row r="30" spans="1:15" x14ac:dyDescent="0.3">
      <c r="F30" s="160">
        <f t="shared" ca="1" si="1"/>
        <v>12.99</v>
      </c>
      <c r="G30" s="160">
        <f t="shared" ca="1" si="3"/>
        <v>46631</v>
      </c>
      <c r="H30" s="160">
        <f t="shared" ca="1" si="2"/>
        <v>26</v>
      </c>
      <c r="I30" s="160">
        <f ca="1">IF($G30="Всього:",SUM($I$4:I29),IF(AND(DAY($C$4)&gt;=15,H30=1),K30+L30,$C$32))</f>
        <v>3804</v>
      </c>
      <c r="J30" s="160">
        <f ca="1">IF($G30="Всього:",SUM($J$4:J29),IF(I30-SUM(K30:L30)&lt;0,0,I30-SUM(K30:L30)))</f>
        <v>3551.0288497669803</v>
      </c>
      <c r="K30" s="160">
        <f ca="1">IF(G30="Всього:",SUM($K$5:K29),IF(F30&lt;&gt;F29,(F30*O29/36000*(G30-CONCATENATE(DAY($C$4),".",MONTH(G29),".",YEAR(G29)))+(F29*O29/36000*(CONCATENATE(DAY($C$4),".",MONTH(G29),".",YEAR(G29))-G29))),F30*O29/36000*(G30-G29)))</f>
        <v>252.9711502330195</v>
      </c>
      <c r="L30" s="160">
        <f ca="1">IF(G30="Всього:",SUM($L$5:L29),$E$4)</f>
        <v>0</v>
      </c>
      <c r="M30" s="160">
        <f ca="1">IF(G30="Всього:",SUM($M$5:M29),IF($E$5="UAH",J30+L30+K30,J30+K30))</f>
        <v>3804</v>
      </c>
      <c r="N30" s="160" t="str">
        <f ca="1">IF(G30="Всього:",SUM($N$4:N29),IF($E$5="UAH","",L30))</f>
        <v/>
      </c>
      <c r="O30" s="160">
        <f t="shared" ca="1" si="0"/>
        <v>19064.286674305389</v>
      </c>
    </row>
    <row r="31" spans="1:15" x14ac:dyDescent="0.3">
      <c r="F31" s="160">
        <f t="shared" ca="1" si="1"/>
        <v>12.99</v>
      </c>
      <c r="G31" s="160">
        <f t="shared" ca="1" si="3"/>
        <v>46661</v>
      </c>
      <c r="H31" s="160">
        <f t="shared" ca="1" si="2"/>
        <v>27</v>
      </c>
      <c r="I31" s="160">
        <f ca="1">IF($G31="Всього:",SUM($I$4:I30),IF(AND(DAY($C$4)&gt;=15,H31=1),K31+L31,$C$32))</f>
        <v>3804</v>
      </c>
      <c r="J31" s="160">
        <f ca="1">IF($G31="Всього:",SUM($J$4:J30),IF(I31-SUM(K31:L31)&lt;0,0,I31-SUM(K31:L31)))</f>
        <v>3597.6290967506443</v>
      </c>
      <c r="K31" s="160">
        <f ca="1">IF(G31="Всього:",SUM($K$5:K30),IF(F31&lt;&gt;F30,(F31*O30/36000*(G31-CONCATENATE(DAY($C$4),".",MONTH(G30),".",YEAR(G30)))+(F30*O30/36000*(CONCATENATE(DAY($C$4),".",MONTH(G30),".",YEAR(G30))-G30))),F31*O30/36000*(G31-G30)))</f>
        <v>206.37090324935582</v>
      </c>
      <c r="L31" s="160">
        <f ca="1">IF(G31="Всього:",SUM($L$5:L30),$E$4)</f>
        <v>0</v>
      </c>
      <c r="M31" s="160">
        <f ca="1">IF(G31="Всього:",SUM($M$5:M30),IF($E$5="UAH",J31+L31+K31,J31+K31))</f>
        <v>3804</v>
      </c>
      <c r="N31" s="160" t="str">
        <f ca="1">IF(G31="Всього:",SUM($N$4:N30),IF($E$5="UAH","",L31))</f>
        <v/>
      </c>
      <c r="O31" s="160">
        <f t="shared" ca="1" si="0"/>
        <v>15466.657577554744</v>
      </c>
    </row>
    <row r="32" spans="1:15" x14ac:dyDescent="0.3">
      <c r="A32" s="160" t="s">
        <v>336</v>
      </c>
      <c r="B32" s="160">
        <v>3803.9567544298634</v>
      </c>
      <c r="C32" s="160">
        <v>3804</v>
      </c>
      <c r="D32" s="160" t="s">
        <v>345</v>
      </c>
      <c r="F32" s="160">
        <f t="shared" ca="1" si="1"/>
        <v>12.99</v>
      </c>
      <c r="G32" s="160">
        <f t="shared" ca="1" si="3"/>
        <v>46692</v>
      </c>
      <c r="H32" s="160">
        <f t="shared" ca="1" si="2"/>
        <v>28</v>
      </c>
      <c r="I32" s="160">
        <f ca="1">IF($G32="Всього:",SUM($I$4:I31),IF(AND(DAY($C$4)&gt;=15,H32=1),K32+L32,$C$32))</f>
        <v>3804</v>
      </c>
      <c r="J32" s="160">
        <f ca="1">IF($G32="Всього:",SUM($J$4:J31),IF(I32-SUM(K32:L32)&lt;0,0,I32-SUM(K32:L32)))</f>
        <v>3630.9925461137354</v>
      </c>
      <c r="K32" s="160">
        <f ca="1">IF(G32="Всього:",SUM($K$5:K31),IF(F32&lt;&gt;F31,(F32*O31/36000*(G32-CONCATENATE(DAY($C$4),".",MONTH(G31),".",YEAR(G31)))+(F31*O31/36000*(CONCATENATE(DAY($C$4),".",MONTH(G31),".",YEAR(G31))-G31))),F32*O31/36000*(G32-G31)))</f>
        <v>173.00745388626444</v>
      </c>
      <c r="L32" s="160">
        <f ca="1">IF(G32="Всього:",SUM($L$5:L31),$E$4)</f>
        <v>0</v>
      </c>
      <c r="M32" s="160">
        <f ca="1">IF(G32="Всього:",SUM($M$5:M31),IF($E$5="UAH",J32+L32+K32,J32+K32))</f>
        <v>3804</v>
      </c>
      <c r="N32" s="160" t="str">
        <f ca="1">IF(G32="Всього:",SUM($N$4:N31),IF($E$5="UAH","",L32))</f>
        <v/>
      </c>
      <c r="O32" s="160">
        <f t="shared" ca="1" si="0"/>
        <v>11835.665031441009</v>
      </c>
    </row>
    <row r="33" spans="1:15" x14ac:dyDescent="0.3">
      <c r="A33" s="160" t="s">
        <v>337</v>
      </c>
      <c r="B33" s="160">
        <v>3803.9571162986153</v>
      </c>
      <c r="C33" s="160">
        <v>3804</v>
      </c>
      <c r="D33" s="160" t="s">
        <v>359</v>
      </c>
      <c r="F33" s="160">
        <f t="shared" ca="1" si="1"/>
        <v>12.99</v>
      </c>
      <c r="G33" s="160">
        <f t="shared" ca="1" si="3"/>
        <v>46722</v>
      </c>
      <c r="H33" s="160">
        <f t="shared" ca="1" si="2"/>
        <v>29</v>
      </c>
      <c r="I33" s="160">
        <f ca="1">IF($G33="Всього:",SUM($I$4:I32),IF(AND(DAY($C$4)&gt;=15,H33=1),K33+L33,$C$32))</f>
        <v>3804</v>
      </c>
      <c r="J33" s="160">
        <f ca="1">IF($G33="Всього:",SUM($J$4:J32),IF(I33-SUM(K33:L33)&lt;0,0,I33-SUM(K33:L33)))</f>
        <v>3675.8789260346512</v>
      </c>
      <c r="K33" s="160">
        <f ca="1">IF(G33="Всього:",SUM($K$5:K32),IF(F33&lt;&gt;F32,(F33*O32/36000*(G33-CONCATENATE(DAY($C$4),".",MONTH(G32),".",YEAR(G32)))+(F32*O32/36000*(CONCATENATE(DAY($C$4),".",MONTH(G32),".",YEAR(G32))-G32))),F33*O32/36000*(G33-G32)))</f>
        <v>128.1210739653489</v>
      </c>
      <c r="L33" s="160">
        <f ca="1">IF(G33="Всього:",SUM($L$5:L32),$E$4)</f>
        <v>0</v>
      </c>
      <c r="M33" s="160">
        <f ca="1">IF(G33="Всього:",SUM($M$5:M32),IF($E$5="UAH",J33+L33+K33,J33+K33))</f>
        <v>3804</v>
      </c>
      <c r="N33" s="160" t="str">
        <f ca="1">IF(G33="Всього:",SUM($N$4:N32),IF($E$5="UAH","",L33))</f>
        <v/>
      </c>
      <c r="O33" s="160">
        <f t="shared" ca="1" si="0"/>
        <v>8159.7861054063578</v>
      </c>
    </row>
    <row r="34" spans="1:15" x14ac:dyDescent="0.3">
      <c r="A34" s="160" t="s">
        <v>344</v>
      </c>
      <c r="B34" s="160">
        <v>3795.2158627380263</v>
      </c>
      <c r="F34" s="160">
        <f t="shared" ca="1" si="1"/>
        <v>12.99</v>
      </c>
      <c r="G34" s="160">
        <f t="shared" ca="1" si="3"/>
        <v>46753</v>
      </c>
      <c r="H34" s="160">
        <f t="shared" ca="1" si="2"/>
        <v>30</v>
      </c>
      <c r="I34" s="160">
        <f ca="1">IF($G34="Всього:",SUM($I$4:I33),IF(AND(DAY($C$4)&gt;=15,H34=1),K34+L34,$C$32))</f>
        <v>3804</v>
      </c>
      <c r="J34" s="160">
        <f ca="1">IF($G34="Всього:",SUM($J$4:J33),IF(I34-SUM(K34:L34)&lt;0,0,I34-SUM(K34:L34)))</f>
        <v>3712.7259925892754</v>
      </c>
      <c r="K34" s="160">
        <f ca="1">IF(G34="Всього:",SUM($K$5:K33),IF(F34&lt;&gt;F33,(F34*O33/36000*(G34-CONCATENATE(DAY($C$4),".",MONTH(G33),".",YEAR(G33)))+(F33*O33/36000*(CONCATENATE(DAY($C$4),".",MONTH(G33),".",YEAR(G33))-G33))),F34*O33/36000*(G34-G33)))</f>
        <v>91.274007410724607</v>
      </c>
      <c r="L34" s="160">
        <f ca="1">IF(G34="Всього:",SUM($L$5:L33),$E$4)</f>
        <v>0</v>
      </c>
      <c r="M34" s="160">
        <f ca="1">IF(G34="Всього:",SUM($M$5:M33),IF($E$5="UAH",J34+L34+K34,J34+K34))</f>
        <v>3804</v>
      </c>
      <c r="N34" s="160" t="str">
        <f ca="1">IF(G34="Всього:",SUM($N$4:N33),IF($E$5="UAH","",L34))</f>
        <v/>
      </c>
      <c r="O34" s="160">
        <f t="shared" ca="1" si="0"/>
        <v>4447.060112817082</v>
      </c>
    </row>
    <row r="35" spans="1:15" x14ac:dyDescent="0.3">
      <c r="F35" s="160">
        <f t="shared" ca="1" si="1"/>
        <v>12.99</v>
      </c>
      <c r="G35" s="160">
        <f t="shared" ca="1" si="3"/>
        <v>46784</v>
      </c>
      <c r="H35" s="160">
        <f t="shared" ca="1" si="2"/>
        <v>31</v>
      </c>
      <c r="I35" s="160">
        <f ca="1">IF($G35="Всього:",SUM($I$4:I34),IF(AND(DAY($C$4)&gt;=15,H35=1),K35+L35,$C$32))</f>
        <v>3804</v>
      </c>
      <c r="J35" s="160">
        <f ca="1">IF($G35="Всього:",SUM($J$4:J34),IF(I35-SUM(K35:L35)&lt;0,0,I35-SUM(K35:L35)))</f>
        <v>3754.2559267547135</v>
      </c>
      <c r="K35" s="160">
        <f ca="1">IF(G35="Всього:",SUM($K$5:K34),IF(F35&lt;&gt;F34,(F35*O34/36000*(G35-CONCATENATE(DAY($C$4),".",MONTH(G34),".",YEAR(G34)))+(F34*O34/36000*(CONCATENATE(DAY($C$4),".",MONTH(G34),".",YEAR(G34))-G34))),F35*O34/36000*(G35-G34)))</f>
        <v>49.744073245286415</v>
      </c>
      <c r="L35" s="160">
        <f ca="1">IF(G35="Всього:",SUM($L$5:L34),$E$4)</f>
        <v>0</v>
      </c>
      <c r="M35" s="160">
        <f ca="1">IF(G35="Всього:",SUM($M$5:M34),IF($E$5="UAH",J35+L35+K35,J35+K35))</f>
        <v>3804</v>
      </c>
      <c r="N35" s="160" t="str">
        <f ca="1">IF(G35="Всього:",SUM($N$4:N34),IF($E$5="UAH","",L35))</f>
        <v/>
      </c>
      <c r="O35" s="160">
        <f t="shared" ca="1" si="0"/>
        <v>692.80418606236844</v>
      </c>
    </row>
    <row r="36" spans="1:15" x14ac:dyDescent="0.3">
      <c r="F36" s="160">
        <f t="shared" ca="1" si="1"/>
        <v>12.99</v>
      </c>
      <c r="G36" s="160">
        <f t="shared" ca="1" si="3"/>
        <v>46813</v>
      </c>
      <c r="H36" s="160">
        <f t="shared" ca="1" si="2"/>
        <v>32</v>
      </c>
      <c r="I36" s="160">
        <f ca="1">IF($G36="Всього:",SUM($I$4:I35),IF(AND(DAY($C$4)&gt;=15,H36=1),K36+L36,$C$32))</f>
        <v>3804</v>
      </c>
      <c r="J36" s="160">
        <f ca="1">IF($G36="Всього:",SUM($J$4:J35),IF(I36-SUM(K36:L36)&lt;0,0,I36-SUM(K36:L36)))</f>
        <v>3796.7503815296791</v>
      </c>
      <c r="K36" s="160">
        <f ca="1">IF(G36="Всього:",SUM($K$5:K35),IF(F36&lt;&gt;F35,(F36*O35/36000*(G36-CONCATENATE(DAY($C$4),".",MONTH(G35),".",YEAR(G35)))+(F35*O35/36000*(CONCATENATE(DAY($C$4),".",MONTH(G35),".",YEAR(G35))-G35))),F36*O35/36000*(G36-G35)))</f>
        <v>7.2496184703209678</v>
      </c>
      <c r="L36" s="160">
        <f ca="1">IF(G36="Всього:",SUM($L$5:L35),$E$4)</f>
        <v>0</v>
      </c>
      <c r="M36" s="160">
        <f ca="1">IF(G36="Всього:",SUM($M$5:M35),IF($E$5="UAH",J36+L36+K36,J36+K36))</f>
        <v>3804</v>
      </c>
      <c r="N36" s="160" t="str">
        <f ca="1">IF(G36="Всього:",SUM($N$4:N35),IF($E$5="UAH","",L36))</f>
        <v/>
      </c>
      <c r="O36" s="160">
        <f t="shared" ca="1" si="0"/>
        <v>-3103.9461954673106</v>
      </c>
    </row>
    <row r="37" spans="1:15" x14ac:dyDescent="0.3">
      <c r="F37" s="160">
        <f t="shared" ca="1" si="1"/>
        <v>12.99</v>
      </c>
      <c r="G37" s="160">
        <f t="shared" ca="1" si="3"/>
        <v>46844</v>
      </c>
      <c r="H37" s="160">
        <f t="shared" ca="1" si="2"/>
        <v>33</v>
      </c>
      <c r="I37" s="160">
        <f ca="1">IF($G37="Всього:",SUM($I$4:I36),IF(AND(DAY($C$4)&gt;=15,H37=1),K37+L37,$C$32))</f>
        <v>3804</v>
      </c>
      <c r="J37" s="160">
        <f ca="1">IF($G37="Всього:",SUM($J$4:J36),IF(I37-SUM(K37:L37)&lt;0,0,I37-SUM(K37:L37)))</f>
        <v>3838.7202248181316</v>
      </c>
      <c r="K37" s="160">
        <f ca="1">IF(G37="Всього:",SUM($K$5:K36),IF(F37&lt;&gt;F36,(F37*O36/36000*(G37-CONCATENATE(DAY($C$4),".",MONTH(G36),".",YEAR(G36)))+(F36*O36/36000*(CONCATENATE(DAY($C$4),".",MONTH(G36),".",YEAR(G36))-G36))),F37*O36/36000*(G37-G36)))</f>
        <v>-34.72022481813142</v>
      </c>
      <c r="L37" s="160">
        <f ca="1">IF(G37="Всього:",SUM($L$5:L36),$E$4)</f>
        <v>0</v>
      </c>
      <c r="M37" s="160">
        <f ca="1">IF(G37="Всього:",SUM($M$5:M36),IF($E$5="UAH",J37+L37+K37,J37+K37))</f>
        <v>3804</v>
      </c>
      <c r="N37" s="160" t="str">
        <f ca="1">IF(G37="Всього:",SUM($N$4:N36),IF($E$5="UAH","",L37))</f>
        <v/>
      </c>
      <c r="O37" s="160">
        <f t="shared" ca="1" si="0"/>
        <v>-6942.6664202854427</v>
      </c>
    </row>
    <row r="38" spans="1:15" x14ac:dyDescent="0.3">
      <c r="F38" s="160">
        <f t="shared" ca="1" si="1"/>
        <v>12.99</v>
      </c>
      <c r="G38" s="160">
        <f t="shared" ca="1" si="3"/>
        <v>46874</v>
      </c>
      <c r="H38" s="160">
        <f t="shared" ca="1" si="2"/>
        <v>34</v>
      </c>
      <c r="I38" s="160">
        <f ca="1">IF($G38="Всього:",SUM($I$4:I37),IF(AND(DAY($C$4)&gt;=15,H38=1),K38+L38,$C$32))</f>
        <v>3804</v>
      </c>
      <c r="J38" s="160">
        <f ca="1">IF($G38="Всього:",SUM($J$4:J37),IF(I38-SUM(K38:L38)&lt;0,0,I38-SUM(K38:L38)))</f>
        <v>3879.1543639995898</v>
      </c>
      <c r="K38" s="160">
        <f ca="1">IF(G38="Всього:",SUM($K$5:K37),IF(F38&lt;&gt;F37,(F38*O37/36000*(G38-CONCATENATE(DAY($C$4),".",MONTH(G37),".",YEAR(G37)))+(F37*O37/36000*(CONCATENATE(DAY($C$4),".",MONTH(G37),".",YEAR(G37))-G37))),F38*O37/36000*(G38-G37)))</f>
        <v>-75.154363999589918</v>
      </c>
      <c r="L38" s="160">
        <f ca="1">IF(G38="Всього:",SUM($L$5:L37),$E$4)</f>
        <v>0</v>
      </c>
      <c r="M38" s="160">
        <f ca="1">IF(G38="Всього:",SUM($M$5:M37),IF($E$5="UAH",J38+L38+K38,J38+K38))</f>
        <v>3804</v>
      </c>
      <c r="N38" s="160" t="str">
        <f ca="1">IF(G38="Всього:",SUM($N$4:N37),IF($E$5="UAH","",L38))</f>
        <v/>
      </c>
      <c r="O38" s="160">
        <f t="shared" ca="1" si="0"/>
        <v>-10821.820784285032</v>
      </c>
    </row>
    <row r="39" spans="1:15" x14ac:dyDescent="0.3">
      <c r="F39" s="160">
        <f t="shared" ca="1" si="1"/>
        <v>12.99</v>
      </c>
      <c r="G39" s="160">
        <f t="shared" ca="1" si="3"/>
        <v>46905</v>
      </c>
      <c r="H39" s="160">
        <f t="shared" ca="1" si="2"/>
        <v>35</v>
      </c>
      <c r="I39" s="160">
        <f ca="1">IF($G39="Всього:",SUM($I$4:I38),IF(AND(DAY($C$4)&gt;=15,H39=1),K39+L39,$C$32))</f>
        <v>3804</v>
      </c>
      <c r="J39" s="160">
        <f ca="1">IF($G39="Всього:",SUM($J$4:J38),IF(I39-SUM(K39:L39)&lt;0,0,I39-SUM(K39:L39)))</f>
        <v>3925.0510836562148</v>
      </c>
      <c r="K39" s="160">
        <f ca="1">IF(G39="Всього:",SUM($K$5:K38),IF(F39&lt;&gt;F38,(F39*O38/36000*(G39-CONCATENATE(DAY($C$4),".",MONTH(G38),".",YEAR(G38)))+(F38*O38/36000*(CONCATENATE(DAY($C$4),".",MONTH(G38),".",YEAR(G38))-G38))),F39*O38/36000*(G39-G38)))</f>
        <v>-121.05108365621497</v>
      </c>
      <c r="L39" s="160">
        <f ca="1">IF(G39="Всього:",SUM($L$5:L38),$E$4)</f>
        <v>0</v>
      </c>
      <c r="M39" s="160">
        <f ca="1">IF(G39="Всього:",SUM($M$5:M38),IF($E$5="UAH",J39+L39+K39,J39+K39))</f>
        <v>3804</v>
      </c>
      <c r="N39" s="160" t="str">
        <f ca="1">IF(G39="Всього:",SUM($N$4:N38),IF($E$5="UAH","",L39))</f>
        <v/>
      </c>
      <c r="O39" s="160">
        <f t="shared" ca="1" si="0"/>
        <v>-14746.871867941247</v>
      </c>
    </row>
    <row r="40" spans="1:15" x14ac:dyDescent="0.3">
      <c r="F40" s="160">
        <f t="shared" ca="1" si="1"/>
        <v>12.99</v>
      </c>
      <c r="G40" s="160">
        <f t="shared" ca="1" si="3"/>
        <v>46935</v>
      </c>
      <c r="H40" s="160">
        <f t="shared" ca="1" si="2"/>
        <v>36</v>
      </c>
      <c r="I40" s="160">
        <f ca="1">IF($G40="Всього:",SUM($I$4:I39),IF(AND(DAY($C$4)&gt;=15,H40=1),K40+L40,$C$32))</f>
        <v>3804</v>
      </c>
      <c r="J40" s="160">
        <f ca="1">IF($G40="Всього:",SUM($J$4:J39),IF(I40-SUM(K40:L40)&lt;0,0,I40-SUM(K40:L40)))</f>
        <v>3963.6348879704642</v>
      </c>
      <c r="K40" s="160">
        <f ca="1">IF(G40="Всього:",SUM($K$5:K39),IF(F40&lt;&gt;F39,(F40*O39/36000*(G40-CONCATENATE(DAY($C$4),".",MONTH(G39),".",YEAR(G39)))+(F39*O39/36000*(CONCATENATE(DAY($C$4),".",MONTH(G39),".",YEAR(G39))-G39))),F40*O39/36000*(G40-G39)))</f>
        <v>-159.63488797046401</v>
      </c>
      <c r="L40" s="160">
        <f ca="1">IF(G40="Всього:",SUM($L$5:L39),$E$4)</f>
        <v>0</v>
      </c>
      <c r="M40" s="160">
        <f ca="1">IF(G40="Всього:",SUM($M$5:M39),IF($E$5="UAH",J40+L40+K40,J40+K40))</f>
        <v>3804</v>
      </c>
      <c r="N40" s="160" t="str">
        <f ca="1">IF(G40="Всього:",SUM($N$4:N39),IF($E$5="UAH","",L40))</f>
        <v/>
      </c>
      <c r="O40" s="160">
        <f t="shared" ca="1" si="0"/>
        <v>-18710.506755911712</v>
      </c>
    </row>
    <row r="41" spans="1:15" x14ac:dyDescent="0.3">
      <c r="F41" s="160">
        <f t="shared" ca="1" si="1"/>
        <v>12.99</v>
      </c>
      <c r="G41" s="160">
        <f t="shared" ca="1" si="3"/>
        <v>46966</v>
      </c>
      <c r="H41" s="160">
        <f t="shared" ca="1" si="2"/>
        <v>37</v>
      </c>
      <c r="I41" s="160">
        <f ca="1">IF($G41="Всього:",SUM($I$4:I40),IF(AND(DAY($C$4)&gt;=15,H41=1),K41+L41,$C$32))</f>
        <v>3804</v>
      </c>
      <c r="J41" s="160">
        <f ca="1">IF($G41="Всього:",SUM($J$4:J40),IF(I41-SUM(K41:L41)&lt;0,0,I41-SUM(K41:L41)))</f>
        <v>4013.292610153836</v>
      </c>
      <c r="K41" s="160">
        <f ca="1">IF(G41="Всього:",SUM($K$5:K40),IF(F41&lt;&gt;F40,(F41*O40/36000*(G41-CONCATENATE(DAY($C$4),".",MONTH(G40),".",YEAR(G40)))+(F40*O40/36000*(CONCATENATE(DAY($C$4),".",MONTH(G40),".",YEAR(G40))-G40))),F41*O40/36000*(G41-G40)))</f>
        <v>-209.29261015383577</v>
      </c>
      <c r="L41" s="160">
        <f ca="1">IF(G41="Всього:",SUM($L$5:L40),$E$4)</f>
        <v>0</v>
      </c>
      <c r="M41" s="160">
        <f ca="1">IF(G41="Всього:",SUM($M$5:M40),IF($E$5="UAH",J41+L41+K41,J41+K41))</f>
        <v>3804</v>
      </c>
      <c r="N41" s="160" t="str">
        <f ca="1">IF(G41="Всього:",SUM($N$4:N40),IF($E$5="UAH","",L41))</f>
        <v/>
      </c>
      <c r="O41" s="160">
        <f t="shared" ca="1" si="0"/>
        <v>-22723.799366065548</v>
      </c>
    </row>
    <row r="42" spans="1:15" x14ac:dyDescent="0.3">
      <c r="F42" s="160">
        <f t="shared" ca="1" si="1"/>
        <v>12.99</v>
      </c>
      <c r="G42" s="160">
        <f t="shared" ca="1" si="3"/>
        <v>46997</v>
      </c>
      <c r="H42" s="160">
        <f t="shared" ca="1" si="2"/>
        <v>38</v>
      </c>
      <c r="I42" s="160">
        <f ca="1">IF($G42="Всього:",SUM($I$4:I41),IF(AND(DAY($C$4)&gt;=15,H42=1),K42+L42,$C$32))</f>
        <v>3804</v>
      </c>
      <c r="J42" s="160">
        <f ca="1">IF($G42="Всього:",SUM($J$4:J41),IF(I42-SUM(K42:L42)&lt;0,0,I42-SUM(K42:L42)))</f>
        <v>4058.1846324089147</v>
      </c>
      <c r="K42" s="160">
        <f ca="1">IF(G42="Всього:",SUM($K$5:K41),IF(F42&lt;&gt;F41,(F42*O41/36000*(G42-CONCATENATE(DAY($C$4),".",MONTH(G41),".",YEAR(G41)))+(F41*O41/36000*(CONCATENATE(DAY($C$4),".",MONTH(G41),".",YEAR(G41))-G41))),F42*O41/36000*(G42-G41)))</f>
        <v>-254.18463240891492</v>
      </c>
      <c r="L42" s="160">
        <f ca="1">IF(G42="Всього:",SUM($L$5:L41),$E$4)</f>
        <v>0</v>
      </c>
      <c r="M42" s="160">
        <f ca="1">IF(G42="Всього:",SUM($M$5:M41),IF($E$5="UAH",J42+L42+K42,J42+K42))</f>
        <v>3804</v>
      </c>
      <c r="N42" s="160" t="str">
        <f ca="1">IF(G42="Всього:",SUM($N$4:N41),IF($E$5="UAH","",L42))</f>
        <v/>
      </c>
      <c r="O42" s="160">
        <f t="shared" ca="1" si="0"/>
        <v>-26781.983998474461</v>
      </c>
    </row>
    <row r="43" spans="1:15" x14ac:dyDescent="0.3">
      <c r="F43" s="160">
        <f t="shared" ca="1" si="1"/>
        <v>12.99</v>
      </c>
      <c r="G43" s="160">
        <f t="shared" ca="1" si="3"/>
        <v>47027</v>
      </c>
      <c r="H43" s="160">
        <f t="shared" ca="1" si="2"/>
        <v>39</v>
      </c>
      <c r="I43" s="160">
        <f ca="1">IF($G43="Всього:",SUM($I$4:I42),IF(AND(DAY($C$4)&gt;=15,H43=1),K43+L43,$C$32))</f>
        <v>3804</v>
      </c>
      <c r="J43" s="160">
        <f ca="1">IF($G43="Всього:",SUM($J$4:J42),IF(I43-SUM(K43:L43)&lt;0,0,I43-SUM(K43:L43)))</f>
        <v>4093.9149767834861</v>
      </c>
      <c r="K43" s="160">
        <f ca="1">IF(G43="Всього:",SUM($K$5:K42),IF(F43&lt;&gt;F42,(F43*O42/36000*(G43-CONCATENATE(DAY($C$4),".",MONTH(G42),".",YEAR(G42)))+(F42*O42/36000*(CONCATENATE(DAY($C$4),".",MONTH(G42),".",YEAR(G42))-G42))),F43*O42/36000*(G43-G42)))</f>
        <v>-289.91497678348605</v>
      </c>
      <c r="L43" s="160">
        <f ca="1">IF(G43="Всього:",SUM($L$5:L42),$E$4)</f>
        <v>0</v>
      </c>
      <c r="M43" s="160">
        <f ca="1">IF(G43="Всього:",SUM($M$5:M42),IF($E$5="UAH",J43+L43+K43,J43+K43))</f>
        <v>3804</v>
      </c>
      <c r="N43" s="160" t="str">
        <f ca="1">IF(G43="Всього:",SUM($N$4:N42),IF($E$5="UAH","",L43))</f>
        <v/>
      </c>
      <c r="O43" s="160">
        <f t="shared" ca="1" si="0"/>
        <v>-30875.898975257947</v>
      </c>
    </row>
    <row r="44" spans="1:15" x14ac:dyDescent="0.3">
      <c r="F44" s="160">
        <f t="shared" ca="1" si="1"/>
        <v>12.99</v>
      </c>
      <c r="G44" s="160">
        <f t="shared" ca="1" si="3"/>
        <v>47058</v>
      </c>
      <c r="H44" s="160">
        <f t="shared" ca="1" si="2"/>
        <v>40</v>
      </c>
      <c r="I44" s="160">
        <f ca="1">IF($G44="Всього:",SUM($I$4:I43),IF(AND(DAY($C$4)&gt;=15,H44=1),K44+L44,$C$32))</f>
        <v>3804</v>
      </c>
      <c r="J44" s="160">
        <f ca="1">IF($G44="Всього:",SUM($J$4:J43),IF(I44-SUM(K44:L44)&lt;0,0,I44-SUM(K44:L44)))</f>
        <v>4149.3726599540732</v>
      </c>
      <c r="K44" s="160">
        <f ca="1">IF(G44="Всього:",SUM($K$5:K43),IF(F44&lt;&gt;F43,(F44*O43/36000*(G44-CONCATENATE(DAY($C$4),".",MONTH(G43),".",YEAR(G43)))+(F43*O43/36000*(CONCATENATE(DAY($C$4),".",MONTH(G43),".",YEAR(G43))-G43))),F44*O43/36000*(G44-G43)))</f>
        <v>-345.37265995407284</v>
      </c>
      <c r="L44" s="160">
        <f ca="1">IF(G44="Всього:",SUM($L$5:L43),$E$4)</f>
        <v>0</v>
      </c>
      <c r="M44" s="160">
        <f ca="1">IF(G44="Всього:",SUM($M$5:M43),IF($E$5="UAH",J44+L44+K44,J44+K44))</f>
        <v>3804.0000000000005</v>
      </c>
      <c r="N44" s="160" t="str">
        <f ca="1">IF(G44="Всього:",SUM($N$4:N43),IF($E$5="UAH","",L44))</f>
        <v/>
      </c>
      <c r="O44" s="160">
        <f t="shared" ca="1" si="0"/>
        <v>-35025.271635212019</v>
      </c>
    </row>
    <row r="45" spans="1:15" x14ac:dyDescent="0.3">
      <c r="F45" s="160">
        <f t="shared" ca="1" si="1"/>
        <v>12.99</v>
      </c>
      <c r="G45" s="160">
        <f t="shared" ca="1" si="3"/>
        <v>47088</v>
      </c>
      <c r="H45" s="160">
        <f t="shared" ca="1" si="2"/>
        <v>41</v>
      </c>
      <c r="I45" s="160">
        <f ca="1">IF($G45="Всього:",SUM($I$4:I44),IF(AND(DAY($C$4)&gt;=15,H45=1),K45+L45,$C$32))</f>
        <v>3804</v>
      </c>
      <c r="J45" s="160">
        <f ca="1">IF($G45="Всього:",SUM($J$4:J44),IF(I45-SUM(K45:L45)&lt;0,0,I45-SUM(K45:L45)))</f>
        <v>4183.1485654511698</v>
      </c>
      <c r="K45" s="160">
        <f ca="1">IF(G45="Всього:",SUM($K$5:K44),IF(F45&lt;&gt;F44,(F45*O44/36000*(G45-CONCATENATE(DAY($C$4),".",MONTH(G44),".",YEAR(G44)))+(F44*O44/36000*(CONCATENATE(DAY($C$4),".",MONTH(G44),".",YEAR(G44))-G44))),F45*O44/36000*(G45-G44)))</f>
        <v>-379.1485654511701</v>
      </c>
      <c r="L45" s="160">
        <f ca="1">IF(G45="Всього:",SUM($L$5:L44),$E$4)</f>
        <v>0</v>
      </c>
      <c r="M45" s="160">
        <f ca="1">IF(G45="Всього:",SUM($M$5:M44),IF($E$5="UAH",J45+L45+K45,J45+K45))</f>
        <v>3803.9999999999995</v>
      </c>
      <c r="N45" s="160" t="str">
        <f ca="1">IF(G45="Всього:",SUM($N$4:N44),IF($E$5="UAH","",L45))</f>
        <v/>
      </c>
      <c r="O45" s="160">
        <f t="shared" ca="1" si="0"/>
        <v>-39208.420200663189</v>
      </c>
    </row>
    <row r="46" spans="1:15" x14ac:dyDescent="0.3">
      <c r="F46" s="160">
        <f t="shared" ca="1" si="1"/>
        <v>12.99</v>
      </c>
      <c r="G46" s="160">
        <f t="shared" ca="1" si="3"/>
        <v>47119</v>
      </c>
      <c r="H46" s="160">
        <f t="shared" ca="1" si="2"/>
        <v>42</v>
      </c>
      <c r="I46" s="160">
        <f ca="1">IF($G46="Всього:",SUM($I$4:I45),IF(AND(DAY($C$4)&gt;=15,H46=1),K46+L46,$C$32))</f>
        <v>3804</v>
      </c>
      <c r="J46" s="160">
        <f ca="1">IF($G46="Всього:",SUM($J$4:J45),IF(I46-SUM(K46:L46)&lt;0,0,I46-SUM(K46:L46)))</f>
        <v>4242.5788536279179</v>
      </c>
      <c r="K46" s="160">
        <f ca="1">IF(G46="Всього:",SUM($K$5:K45),IF(F46&lt;&gt;F45,(F46*O45/36000*(G46-CONCATENATE(DAY($C$4),".",MONTH(G45),".",YEAR(G45)))+(F45*O45/36000*(CONCATENATE(DAY($C$4),".",MONTH(G45),".",YEAR(G45))-G45))),F46*O45/36000*(G46-G45)))</f>
        <v>-438.57885362791831</v>
      </c>
      <c r="L46" s="160">
        <f ca="1">IF(G46="Всього:",SUM($L$5:L45),$E$4)</f>
        <v>0</v>
      </c>
      <c r="M46" s="160">
        <f ca="1">IF(G46="Всього:",SUM($M$5:M45),IF($E$5="UAH",J46+L46+K46,J46+K46))</f>
        <v>3803.9999999999995</v>
      </c>
      <c r="N46" s="160" t="str">
        <f ca="1">IF(G46="Всього:",SUM($N$4:N45),IF($E$5="UAH","",L46))</f>
        <v/>
      </c>
      <c r="O46" s="160">
        <f t="shared" ca="1" si="0"/>
        <v>-43450.999054291111</v>
      </c>
    </row>
    <row r="47" spans="1:15" x14ac:dyDescent="0.3">
      <c r="F47" s="160">
        <f t="shared" ca="1" si="1"/>
        <v>12.99</v>
      </c>
      <c r="G47" s="160">
        <f t="shared" ca="1" si="3"/>
        <v>47150</v>
      </c>
      <c r="H47" s="160">
        <f t="shared" ca="1" si="2"/>
        <v>43</v>
      </c>
      <c r="I47" s="160">
        <f ca="1">IF($G47="Всього:",SUM($I$4:I46),IF(AND(DAY($C$4)&gt;=15,H47=1),K47+L47,$C$32))</f>
        <v>3804</v>
      </c>
      <c r="J47" s="160">
        <f ca="1">IF($G47="Всього:",SUM($J$4:J46),IF(I47-SUM(K47:L47)&lt;0,0,I47-SUM(K47:L47)))</f>
        <v>4290.0356335881243</v>
      </c>
      <c r="K47" s="160">
        <f ca="1">IF(G47="Всього:",SUM($K$5:K46),IF(F47&lt;&gt;F46,(F47*O46/36000*(G47-CONCATENATE(DAY($C$4),".",MONTH(G46),".",YEAR(G46)))+(F46*O46/36000*(CONCATENATE(DAY($C$4),".",MONTH(G46),".",YEAR(G46))-G46))),F47*O46/36000*(G47-G46)))</f>
        <v>-486.0356335881246</v>
      </c>
      <c r="L47" s="160">
        <f ca="1">IF(G47="Всього:",SUM($L$5:L46),$E$4)</f>
        <v>0</v>
      </c>
      <c r="M47" s="160">
        <f ca="1">IF(G47="Всього:",SUM($M$5:M46),IF($E$5="UAH",J47+L47+K47,J47+K47))</f>
        <v>3803.9999999999995</v>
      </c>
      <c r="N47" s="160" t="str">
        <f ca="1">IF(G47="Всього:",SUM($N$4:N46),IF($E$5="UAH","",L47))</f>
        <v/>
      </c>
      <c r="O47" s="160">
        <f t="shared" ca="1" si="0"/>
        <v>-47741.034687879233</v>
      </c>
    </row>
    <row r="48" spans="1:15" x14ac:dyDescent="0.3">
      <c r="F48" s="160">
        <f t="shared" ca="1" si="1"/>
        <v>12.99</v>
      </c>
      <c r="G48" s="160">
        <f t="shared" ca="1" si="3"/>
        <v>47178</v>
      </c>
      <c r="H48" s="160">
        <f t="shared" ca="1" si="2"/>
        <v>44</v>
      </c>
      <c r="I48" s="160">
        <f ca="1">IF($G48="Всього:",SUM($I$4:I47),IF(AND(DAY($C$4)&gt;=15,H48=1),K48+L48,$C$32))</f>
        <v>3804</v>
      </c>
      <c r="J48" s="160">
        <f ca="1">IF($G48="Всього:",SUM($J$4:J47),IF(I48-SUM(K48:L48)&lt;0,0,I48-SUM(K48:L48)))</f>
        <v>4286.3435871298734</v>
      </c>
      <c r="K48" s="160">
        <f ca="1">IF(G48="Всього:",SUM($K$5:K47),IF(F48&lt;&gt;F47,(F48*O47/36000*(G48-CONCATENATE(DAY($C$4),".",MONTH(G47),".",YEAR(G47)))+(F47*O47/36000*(CONCATENATE(DAY($C$4),".",MONTH(G47),".",YEAR(G47))-G47))),F48*O47/36000*(G48-G47)))</f>
        <v>-482.34358712987319</v>
      </c>
      <c r="L48" s="160">
        <f ca="1">IF(G48="Всього:",SUM($L$5:L47),$E$4)</f>
        <v>0</v>
      </c>
      <c r="M48" s="160">
        <f ca="1">IF(G48="Всього:",SUM($M$5:M47),IF($E$5="UAH",J48+L48+K48,J48+K48))</f>
        <v>3804</v>
      </c>
      <c r="N48" s="160" t="str">
        <f ca="1">IF(G48="Всього:",SUM($N$4:N47),IF($E$5="UAH","",L48))</f>
        <v/>
      </c>
      <c r="O48" s="160">
        <f t="shared" ca="1" si="0"/>
        <v>-52027.378275009105</v>
      </c>
    </row>
    <row r="49" spans="6:15" x14ac:dyDescent="0.3">
      <c r="F49" s="160">
        <f t="shared" ca="1" si="1"/>
        <v>12.99</v>
      </c>
      <c r="G49" s="160">
        <f t="shared" ca="1" si="3"/>
        <v>47209</v>
      </c>
      <c r="H49" s="160">
        <f t="shared" ca="1" si="2"/>
        <v>45</v>
      </c>
      <c r="I49" s="160">
        <f ca="1">IF($G49="Всього:",SUM($I$4:I48),IF(AND(DAY($C$4)&gt;=15,H49=1),K49+L49,$C$32))</f>
        <v>3804</v>
      </c>
      <c r="J49" s="160">
        <f ca="1">IF($G49="Всього:",SUM($J$4:J48),IF(I49-SUM(K49:L49)&lt;0,0,I49-SUM(K49:L49)))</f>
        <v>4385.9695821545392</v>
      </c>
      <c r="K49" s="160">
        <f ca="1">IF(G49="Всього:",SUM($K$5:K48),IF(F49&lt;&gt;F48,(F49*O48/36000*(G49-CONCATENATE(DAY($C$4),".",MONTH(G48),".",YEAR(G48)))+(F48*O48/36000*(CONCATENATE(DAY($C$4),".",MONTH(G48),".",YEAR(G48))-G48))),F49*O48/36000*(G49-G48)))</f>
        <v>-581.96958215453924</v>
      </c>
      <c r="L49" s="160">
        <f ca="1">IF(G49="Всього:",SUM($L$5:L48),$E$4)</f>
        <v>0</v>
      </c>
      <c r="M49" s="160">
        <f ca="1">IF(G49="Всього:",SUM($M$5:M48),IF($E$5="UAH",J49+L49+K49,J49+K49))</f>
        <v>3804</v>
      </c>
      <c r="N49" s="160" t="str">
        <f ca="1">IF(G49="Всього:",SUM($N$4:N48),IF($E$5="UAH","",L49))</f>
        <v/>
      </c>
      <c r="O49" s="160">
        <f t="shared" ca="1" si="0"/>
        <v>-56413.347857163644</v>
      </c>
    </row>
    <row r="50" spans="6:15" x14ac:dyDescent="0.3">
      <c r="F50" s="160">
        <f t="shared" ca="1" si="1"/>
        <v>12.99</v>
      </c>
      <c r="G50" s="160">
        <f t="shared" ca="1" si="3"/>
        <v>47239</v>
      </c>
      <c r="H50" s="160">
        <f t="shared" ca="1" si="2"/>
        <v>46</v>
      </c>
      <c r="I50" s="160">
        <f ca="1">IF($G50="Всього:",SUM($I$4:I49),IF(AND(DAY($C$4)&gt;=15,H50=1),K50+L50,$C$32))</f>
        <v>3804</v>
      </c>
      <c r="J50" s="160">
        <f ca="1">IF($G50="Всього:",SUM($J$4:J49),IF(I50-SUM(K50:L50)&lt;0,0,I50-SUM(K50:L50)))</f>
        <v>4414.6744905537962</v>
      </c>
      <c r="K50" s="160">
        <f ca="1">IF(G50="Всього:",SUM($K$5:K49),IF(F50&lt;&gt;F49,(F50*O49/36000*(G50-CONCATENATE(DAY($C$4),".",MONTH(G49),".",YEAR(G49)))+(F49*O49/36000*(CONCATENATE(DAY($C$4),".",MONTH(G49),".",YEAR(G49))-G49))),F50*O49/36000*(G50-G49)))</f>
        <v>-610.67449055379643</v>
      </c>
      <c r="L50" s="160">
        <f ca="1">IF(G50="Всього:",SUM($L$5:L49),$E$4)</f>
        <v>0</v>
      </c>
      <c r="M50" s="160">
        <f ca="1">IF(G50="Всього:",SUM($M$5:M49),IF($E$5="UAH",J50+L50+K50,J50+K50))</f>
        <v>3804</v>
      </c>
      <c r="N50" s="160" t="str">
        <f ca="1">IF(G50="Всього:",SUM($N$4:N49),IF($E$5="UAH","",L50))</f>
        <v/>
      </c>
      <c r="O50" s="160">
        <f t="shared" ca="1" si="0"/>
        <v>-60828.022347717444</v>
      </c>
    </row>
    <row r="51" spans="6:15" x14ac:dyDescent="0.3">
      <c r="F51" s="160">
        <f t="shared" ca="1" si="1"/>
        <v>12.99</v>
      </c>
      <c r="G51" s="160">
        <f t="shared" ca="1" si="3"/>
        <v>47270</v>
      </c>
      <c r="H51" s="160">
        <f t="shared" ca="1" si="2"/>
        <v>47</v>
      </c>
      <c r="I51" s="160">
        <f ca="1">IF($G51="Всього:",SUM($I$4:I50),IF(AND(DAY($C$4)&gt;=15,H51=1),K51+L51,$C$32))</f>
        <v>3804</v>
      </c>
      <c r="J51" s="160">
        <f ca="1">IF($G51="Всього:",SUM($J$4:J50),IF(I51-SUM(K51:L51)&lt;0,0,I51-SUM(K51:L51)))</f>
        <v>4484.4121199778428</v>
      </c>
      <c r="K51" s="160">
        <f ca="1">IF(G51="Всього:",SUM($K$5:K50),IF(F51&lt;&gt;F50,(F51*O50/36000*(G51-CONCATENATE(DAY($C$4),".",MONTH(G50),".",YEAR(G50)))+(F50*O50/36000*(CONCATENATE(DAY($C$4),".",MONTH(G50),".",YEAR(G50))-G50))),F51*O50/36000*(G51-G50)))</f>
        <v>-680.41211997784274</v>
      </c>
      <c r="L51" s="160">
        <f ca="1">IF(G51="Всього:",SUM($L$5:L50),$E$4)</f>
        <v>0</v>
      </c>
      <c r="M51" s="160">
        <f ca="1">IF(G51="Всього:",SUM($M$5:M50),IF($E$5="UAH",J51+L51+K51,J51+K51))</f>
        <v>3804</v>
      </c>
      <c r="N51" s="160" t="str">
        <f ca="1">IF(G51="Всього:",SUM($N$4:N50),IF($E$5="UAH","",L51))</f>
        <v/>
      </c>
      <c r="O51" s="160">
        <f t="shared" ca="1" si="0"/>
        <v>-65312.43446769529</v>
      </c>
    </row>
    <row r="52" spans="6:15" x14ac:dyDescent="0.3">
      <c r="F52" s="160">
        <f t="shared" ca="1" si="1"/>
        <v>12.99</v>
      </c>
      <c r="G52" s="160">
        <f t="shared" ca="1" si="3"/>
        <v>47300</v>
      </c>
      <c r="H52" s="160">
        <f t="shared" ca="1" si="2"/>
        <v>48</v>
      </c>
      <c r="I52" s="160">
        <f ca="1">IF($G52="Всього:",SUM($I$4:I51),IF(AND(DAY($C$4)&gt;=15,H52=1),K52+L52,$C$32))</f>
        <v>3804</v>
      </c>
      <c r="J52" s="160">
        <f ca="1">IF($G52="Всього:",SUM($J$4:J51),IF(I52-SUM(K52:L52)&lt;0,0,I52-SUM(K52:L52)))</f>
        <v>4511.0071031128018</v>
      </c>
      <c r="K52" s="160">
        <f ca="1">IF(G52="Всього:",SUM($K$5:K51),IF(F52&lt;&gt;F51,(F52*O51/36000*(G52-CONCATENATE(DAY($C$4),".",MONTH(G51),".",YEAR(G51)))+(F51*O51/36000*(CONCATENATE(DAY($C$4),".",MONTH(G51),".",YEAR(G51))-G51))),F52*O51/36000*(G52-G51)))</f>
        <v>-707.00710311280147</v>
      </c>
      <c r="L52" s="160">
        <f ca="1">IF(G52="Всього:",SUM($L$5:L51),$E$4)</f>
        <v>0</v>
      </c>
      <c r="M52" s="160">
        <f ca="1">IF(G52="Всього:",SUM($M$5:M51),IF($E$5="UAH",J52+L52+K52,J52+K52))</f>
        <v>3804.0000000000005</v>
      </c>
      <c r="N52" s="160" t="str">
        <f ca="1">IF(G52="Всього:",SUM($N$4:N51),IF($E$5="UAH","",L52))</f>
        <v/>
      </c>
      <c r="O52" s="160">
        <f t="shared" ca="1" si="0"/>
        <v>-69823.441570808092</v>
      </c>
    </row>
    <row r="53" spans="6:15" x14ac:dyDescent="0.3">
      <c r="F53" s="160">
        <f t="shared" ca="1" si="1"/>
        <v>12.99</v>
      </c>
      <c r="G53" s="160">
        <f t="shared" ca="1" si="3"/>
        <v>47331</v>
      </c>
      <c r="H53" s="160">
        <f t="shared" ca="1" si="2"/>
        <v>49</v>
      </c>
      <c r="I53" s="160">
        <f ca="1">IF($G53="Всього:",SUM($I$4:I52),IF(AND(DAY($C$4)&gt;=15,H53=1),K53+L53,$C$32))</f>
        <v>3804</v>
      </c>
      <c r="J53" s="160">
        <f ca="1">IF($G53="Всього:",SUM($J$4:J52),IF(I53-SUM(K53:L53)&lt;0,0,I53-SUM(K53:L53)))</f>
        <v>4585.0333801707975</v>
      </c>
      <c r="K53" s="160">
        <f ca="1">IF(G53="Всього:",SUM($K$5:K52),IF(F53&lt;&gt;F52,(F53*O52/36000*(G53-CONCATENATE(DAY($C$4),".",MONTH(G52),".",YEAR(G52)))+(F52*O52/36000*(CONCATENATE(DAY($C$4),".",MONTH(G52),".",YEAR(G52))-G52))),F53*O52/36000*(G53-G52)))</f>
        <v>-781.0333801707975</v>
      </c>
      <c r="L53" s="160">
        <f ca="1">IF(G53="Всього:",SUM($L$5:L52),$E$4)</f>
        <v>0</v>
      </c>
      <c r="M53" s="160">
        <f ca="1">IF(G53="Всього:",SUM($M$5:M52),IF($E$5="UAH",J53+L53+K53,J53+K53))</f>
        <v>3804</v>
      </c>
      <c r="N53" s="160" t="str">
        <f ca="1">IF(G53="Всього:",SUM($N$4:N52),IF($E$5="UAH","",L53))</f>
        <v/>
      </c>
      <c r="O53" s="160">
        <f t="shared" ca="1" si="0"/>
        <v>-74408.474950978896</v>
      </c>
    </row>
    <row r="54" spans="6:15" x14ac:dyDescent="0.3">
      <c r="F54" s="160">
        <f t="shared" ca="1" si="1"/>
        <v>12.99</v>
      </c>
      <c r="G54" s="160">
        <f t="shared" ca="1" si="3"/>
        <v>47362</v>
      </c>
      <c r="H54" s="160">
        <f t="shared" ca="1" si="2"/>
        <v>50</v>
      </c>
      <c r="I54" s="160">
        <f ca="1">IF($G54="Всього:",SUM($I$4:I53),IF(AND(DAY($C$4)&gt;=15,H54=1),K54+L54,$C$32))</f>
        <v>3804</v>
      </c>
      <c r="J54" s="160">
        <f ca="1">IF($G54="Всього:",SUM($J$4:J53),IF(I54-SUM(K54:L54)&lt;0,0,I54-SUM(K54:L54)))</f>
        <v>4636.3207993891583</v>
      </c>
      <c r="K54" s="160">
        <f ca="1">IF(G54="Всього:",SUM($K$5:K53),IF(F54&lt;&gt;F53,(F54*O53/36000*(G54-CONCATENATE(DAY($C$4),".",MONTH(G53),".",YEAR(G53)))+(F53*O53/36000*(CONCATENATE(DAY($C$4),".",MONTH(G53),".",YEAR(G53))-G53))),F54*O53/36000*(G54-G53)))</f>
        <v>-832.3207993891582</v>
      </c>
      <c r="L54" s="160">
        <f ca="1">IF(G54="Всього:",SUM($L$5:L53),$E$4)</f>
        <v>0</v>
      </c>
      <c r="M54" s="160">
        <f ca="1">IF(G54="Всього:",SUM($M$5:M53),IF($E$5="UAH",J54+L54+K54,J54+K54))</f>
        <v>3804</v>
      </c>
      <c r="N54" s="160" t="str">
        <f ca="1">IF(G54="Всього:",SUM($N$4:N53),IF($E$5="UAH","",L54))</f>
        <v/>
      </c>
      <c r="O54" s="160">
        <f t="shared" ca="1" si="0"/>
        <v>-79044.795750368052</v>
      </c>
    </row>
    <row r="55" spans="6:15" x14ac:dyDescent="0.3">
      <c r="F55" s="160">
        <f t="shared" ca="1" si="1"/>
        <v>12.99</v>
      </c>
      <c r="G55" s="160">
        <f t="shared" ca="1" si="3"/>
        <v>47392</v>
      </c>
      <c r="H55" s="160">
        <f t="shared" ca="1" si="2"/>
        <v>51</v>
      </c>
      <c r="I55" s="160">
        <f ca="1">IF($G55="Всього:",SUM($I$4:I54),IF(AND(DAY($C$4)&gt;=15,H55=1),K55+L55,$C$32))</f>
        <v>3804</v>
      </c>
      <c r="J55" s="160">
        <f ca="1">IF($G55="Всього:",SUM($J$4:J54),IF(I55-SUM(K55:L55)&lt;0,0,I55-SUM(K55:L55)))</f>
        <v>4659.6599139977343</v>
      </c>
      <c r="K55" s="160">
        <f ca="1">IF(G55="Всього:",SUM($K$5:K54),IF(F55&lt;&gt;F54,(F55*O54/36000*(G55-CONCATENATE(DAY($C$4),".",MONTH(G54),".",YEAR(G54)))+(F54*O54/36000*(CONCATENATE(DAY($C$4),".",MONTH(G54),".",YEAR(G54))-G54))),F55*O54/36000*(G55-G54)))</f>
        <v>-855.65991399773418</v>
      </c>
      <c r="L55" s="160">
        <f ca="1">IF(G55="Всього:",SUM($L$5:L54),$E$4)</f>
        <v>0</v>
      </c>
      <c r="M55" s="160">
        <f ca="1">IF(G55="Всього:",SUM($M$5:M54),IF($E$5="UAH",J55+L55+K55,J55+K55))</f>
        <v>3804</v>
      </c>
      <c r="N55" s="160" t="str">
        <f ca="1">IF(G55="Всього:",SUM($N$4:N54),IF($E$5="UAH","",L55))</f>
        <v/>
      </c>
      <c r="O55" s="160">
        <f t="shared" ca="1" si="0"/>
        <v>-83704.455664365785</v>
      </c>
    </row>
    <row r="56" spans="6:15" x14ac:dyDescent="0.3">
      <c r="F56" s="160">
        <f t="shared" ca="1" si="1"/>
        <v>12.99</v>
      </c>
      <c r="G56" s="160">
        <f t="shared" ca="1" si="3"/>
        <v>47423</v>
      </c>
      <c r="H56" s="160">
        <f t="shared" ca="1" si="2"/>
        <v>52</v>
      </c>
      <c r="I56" s="160">
        <f ca="1">IF($G56="Всього:",SUM($I$4:I55),IF(AND(DAY($C$4)&gt;=15,H56=1),K56+L56,$C$32))</f>
        <v>3804</v>
      </c>
      <c r="J56" s="160">
        <f ca="1">IF($G56="Всього:",SUM($J$4:J55),IF(I56-SUM(K56:L56)&lt;0,0,I56-SUM(K56:L56)))</f>
        <v>4740.3040903189849</v>
      </c>
      <c r="K56" s="160">
        <f ca="1">IF(G56="Всього:",SUM($K$5:K55),IF(F56&lt;&gt;F55,(F56*O55/36000*(G56-CONCATENATE(DAY($C$4),".",MONTH(G55),".",YEAR(G55)))+(F55*O55/36000*(CONCATENATE(DAY($C$4),".",MONTH(G55),".",YEAR(G55))-G55))),F56*O55/36000*(G56-G55)))</f>
        <v>-936.304090318985</v>
      </c>
      <c r="L56" s="160">
        <f ca="1">IF(G56="Всього:",SUM($L$5:L55),$E$4)</f>
        <v>0</v>
      </c>
      <c r="M56" s="160">
        <f ca="1">IF(G56="Всього:",SUM($M$5:M55),IF($E$5="UAH",J56+L56+K56,J56+K56))</f>
        <v>3804</v>
      </c>
      <c r="N56" s="160" t="str">
        <f ca="1">IF(G56="Всього:",SUM($N$4:N55),IF($E$5="UAH","",L56))</f>
        <v/>
      </c>
      <c r="O56" s="160">
        <f t="shared" ca="1" si="0"/>
        <v>-88444.759754684768</v>
      </c>
    </row>
    <row r="57" spans="6:15" x14ac:dyDescent="0.3">
      <c r="F57" s="160">
        <f t="shared" ca="1" si="1"/>
        <v>12.99</v>
      </c>
      <c r="G57" s="160">
        <f t="shared" ca="1" si="3"/>
        <v>47453</v>
      </c>
      <c r="H57" s="160">
        <f t="shared" ca="1" si="2"/>
        <v>53</v>
      </c>
      <c r="I57" s="160">
        <f ca="1">IF($G57="Всього:",SUM($I$4:I56),IF(AND(DAY($C$4)&gt;=15,H57=1),K57+L57,$C$32))</f>
        <v>3804</v>
      </c>
      <c r="J57" s="160">
        <f ca="1">IF($G57="Всього:",SUM($J$4:J56),IF(I57-SUM(K57:L57)&lt;0,0,I57-SUM(K57:L57)))</f>
        <v>4761.4145243444627</v>
      </c>
      <c r="K57" s="160">
        <f ca="1">IF(G57="Всього:",SUM($K$5:K56),IF(F57&lt;&gt;F56,(F57*O56/36000*(G57-CONCATENATE(DAY($C$4),".",MONTH(G56),".",YEAR(G56)))+(F56*O56/36000*(CONCATENATE(DAY($C$4),".",MONTH(G56),".",YEAR(G56))-G56))),F57*O56/36000*(G57-G56)))</f>
        <v>-957.41452434446251</v>
      </c>
      <c r="L57" s="160">
        <f ca="1">IF(G57="Всього:",SUM($L$5:L56),$E$4)</f>
        <v>0</v>
      </c>
      <c r="M57" s="160">
        <f ca="1">IF(G57="Всього:",SUM($M$5:M56),IF($E$5="UAH",J57+L57+K57,J57+K57))</f>
        <v>3804</v>
      </c>
      <c r="N57" s="160" t="str">
        <f ca="1">IF(G57="Всього:",SUM($N$4:N56),IF($E$5="UAH","",L57))</f>
        <v/>
      </c>
      <c r="O57" s="160">
        <f t="shared" ca="1" si="0"/>
        <v>-93206.174279029234</v>
      </c>
    </row>
    <row r="58" spans="6:15" x14ac:dyDescent="0.3">
      <c r="F58" s="160">
        <f t="shared" ca="1" si="1"/>
        <v>12.99</v>
      </c>
      <c r="G58" s="160">
        <f t="shared" ca="1" si="3"/>
        <v>47484</v>
      </c>
      <c r="H58" s="160">
        <f t="shared" ca="1" si="2"/>
        <v>54</v>
      </c>
      <c r="I58" s="160">
        <f ca="1">IF($G58="Всього:",SUM($I$4:I57),IF(AND(DAY($C$4)&gt;=15,H58=1),K58+L58,$C$32))</f>
        <v>3804</v>
      </c>
      <c r="J58" s="160">
        <f ca="1">IF($G58="Всього:",SUM($J$4:J57),IF(I58-SUM(K58:L58)&lt;0,0,I58-SUM(K58:L58)))</f>
        <v>4846.5887311228416</v>
      </c>
      <c r="K58" s="160">
        <f ca="1">IF(G58="Всього:",SUM($K$5:K57),IF(F58&lt;&gt;F57,(F58*O57/36000*(G58-CONCATENATE(DAY($C$4),".",MONTH(G57),".",YEAR(G57)))+(F57*O57/36000*(CONCATENATE(DAY($C$4),".",MONTH(G57),".",YEAR(G57))-G57))),F58*O57/36000*(G58-G57)))</f>
        <v>-1042.5887311228412</v>
      </c>
      <c r="L58" s="160">
        <f ca="1">IF(G58="Всього:",SUM($L$5:L57),$E$4)</f>
        <v>0</v>
      </c>
      <c r="M58" s="160">
        <f ca="1">IF(G58="Всього:",SUM($M$5:M57),IF($E$5="UAH",J58+L58+K58,J58+K58))</f>
        <v>3804.0000000000005</v>
      </c>
      <c r="N58" s="160" t="str">
        <f ca="1">IF(G58="Всього:",SUM($N$4:N57),IF($E$5="UAH","",L58))</f>
        <v/>
      </c>
      <c r="O58" s="160">
        <f t="shared" ca="1" si="0"/>
        <v>-98052.763010152077</v>
      </c>
    </row>
    <row r="59" spans="6:15" x14ac:dyDescent="0.3">
      <c r="F59" s="160">
        <f t="shared" ca="1" si="1"/>
        <v>12.99</v>
      </c>
      <c r="G59" s="160">
        <f t="shared" ca="1" si="3"/>
        <v>47515</v>
      </c>
      <c r="H59" s="160">
        <f t="shared" ca="1" si="2"/>
        <v>55</v>
      </c>
      <c r="I59" s="160">
        <f ca="1">IF($G59="Всього:",SUM($I$4:I58),IF(AND(DAY($C$4)&gt;=15,H59=1),K59+L59,$C$32))</f>
        <v>3804</v>
      </c>
      <c r="J59" s="160">
        <f ca="1">IF($G59="Всього:",SUM($J$4:J58),IF(I59-SUM(K59:L59)&lt;0,0,I59-SUM(K59:L59)))</f>
        <v>4900.8018649043934</v>
      </c>
      <c r="K59" s="160">
        <f ca="1">IF(G59="Всього:",SUM($K$5:K58),IF(F59&lt;&gt;F58,(F59*O58/36000*(G59-CONCATENATE(DAY($C$4),".",MONTH(G58),".",YEAR(G58)))+(F58*O58/36000*(CONCATENATE(DAY($C$4),".",MONTH(G58),".",YEAR(G58))-G58))),F59*O58/36000*(G59-G58)))</f>
        <v>-1096.8018649043929</v>
      </c>
      <c r="L59" s="160">
        <f ca="1">IF(G59="Всього:",SUM($L$5:L58),$E$4)</f>
        <v>0</v>
      </c>
      <c r="M59" s="160">
        <f ca="1">IF(G59="Всього:",SUM($M$5:M58),IF($E$5="UAH",J59+L59+K59,J59+K59))</f>
        <v>3804.0000000000005</v>
      </c>
      <c r="N59" s="160" t="str">
        <f ca="1">IF(G59="Всього:",SUM($N$4:N58),IF($E$5="UAH","",L59))</f>
        <v/>
      </c>
      <c r="O59" s="160">
        <f t="shared" ca="1" si="0"/>
        <v>-102953.56487505647</v>
      </c>
    </row>
    <row r="60" spans="6:15" x14ac:dyDescent="0.3">
      <c r="F60" s="160">
        <f t="shared" ca="1" si="1"/>
        <v>12.99</v>
      </c>
      <c r="G60" s="160">
        <f t="shared" ca="1" si="3"/>
        <v>47543</v>
      </c>
      <c r="H60" s="160">
        <f t="shared" ca="1" si="2"/>
        <v>56</v>
      </c>
      <c r="I60" s="160">
        <f ca="1">IF($G60="Всього:",SUM($I$4:I59),IF(AND(DAY($C$4)&gt;=15,H60=1),K60+L60,$C$32))</f>
        <v>3804</v>
      </c>
      <c r="J60" s="160">
        <f ca="1">IF($G60="Всього:",SUM($J$4:J59),IF(I60-SUM(K60:L60)&lt;0,0,I60-SUM(K60:L60)))</f>
        <v>4844.1741837876543</v>
      </c>
      <c r="K60" s="160">
        <f ca="1">IF(G60="Всього:",SUM($K$5:K59),IF(F60&lt;&gt;F59,(F60*O59/36000*(G60-CONCATENATE(DAY($C$4),".",MONTH(G59),".",YEAR(G59)))+(F59*O59/36000*(CONCATENATE(DAY($C$4),".",MONTH(G59),".",YEAR(G59))-G59))),F60*O59/36000*(G60-G59)))</f>
        <v>-1040.1741837876539</v>
      </c>
      <c r="L60" s="160">
        <f ca="1">IF(G60="Всього:",SUM($L$5:L59),$E$4)</f>
        <v>0</v>
      </c>
      <c r="M60" s="160">
        <f ca="1">IF(G60="Всього:",SUM($M$5:M59),IF($E$5="UAH",J60+L60+K60,J60+K60))</f>
        <v>3804.0000000000005</v>
      </c>
      <c r="N60" s="160" t="str">
        <f ca="1">IF(G60="Всього:",SUM($N$4:N59),IF($E$5="UAH","",L60))</f>
        <v/>
      </c>
      <c r="O60" s="160">
        <f t="shared" ca="1" si="0"/>
        <v>-107797.73905884413</v>
      </c>
    </row>
    <row r="61" spans="6:15" x14ac:dyDescent="0.3">
      <c r="F61" s="160">
        <f t="shared" ca="1" si="1"/>
        <v>12.99</v>
      </c>
      <c r="G61" s="160">
        <f t="shared" ca="1" si="3"/>
        <v>47574</v>
      </c>
      <c r="H61" s="160">
        <f t="shared" ca="1" si="2"/>
        <v>57</v>
      </c>
      <c r="I61" s="160">
        <f ca="1">IF($G61="Всього:",SUM($I$4:I60),IF(AND(DAY($C$4)&gt;=15,H61=1),K61+L61,$C$32))</f>
        <v>3804</v>
      </c>
      <c r="J61" s="160">
        <f ca="1">IF($G61="Всього:",SUM($J$4:J60),IF(I61-SUM(K61:L61)&lt;0,0,I61-SUM(K61:L61)))</f>
        <v>5009.8075428223874</v>
      </c>
      <c r="K61" s="160">
        <f ca="1">IF(G61="Всього:",SUM($K$5:K60),IF(F61&lt;&gt;F60,(F61*O60/36000*(G61-CONCATENATE(DAY($C$4),".",MONTH(G60),".",YEAR(G60)))+(F60*O60/36000*(CONCATENATE(DAY($C$4),".",MONTH(G60),".",YEAR(G60))-G60))),F61*O60/36000*(G61-G60)))</f>
        <v>-1205.8075428223874</v>
      </c>
      <c r="L61" s="160">
        <f ca="1">IF(G61="Всього:",SUM($L$5:L60),$E$4)</f>
        <v>0</v>
      </c>
      <c r="M61" s="160">
        <f ca="1">IF(G61="Всього:",SUM($M$5:M60),IF($E$5="UAH",J61+L61+K61,J61+K61))</f>
        <v>3804</v>
      </c>
      <c r="N61" s="160" t="str">
        <f ca="1">IF(G61="Всього:",SUM($N$4:N60),IF($E$5="UAH","",L61))</f>
        <v/>
      </c>
      <c r="O61" s="160">
        <f t="shared" ca="1" si="0"/>
        <v>-112807.54660166652</v>
      </c>
    </row>
    <row r="62" spans="6:15" x14ac:dyDescent="0.3">
      <c r="F62" s="160">
        <f t="shared" ca="1" si="1"/>
        <v>12.99</v>
      </c>
      <c r="G62" s="160">
        <f t="shared" ca="1" si="3"/>
        <v>47604</v>
      </c>
      <c r="H62" s="160">
        <f t="shared" ca="1" si="2"/>
        <v>58</v>
      </c>
      <c r="I62" s="160">
        <f ca="1">IF($G62="Всього:",SUM($I$4:I61),IF(AND(DAY($C$4)&gt;=15,H62=1),K62+L62,$C$32))</f>
        <v>3804</v>
      </c>
      <c r="J62" s="160">
        <f ca="1">IF($G62="Всього:",SUM($J$4:J61),IF(I62-SUM(K62:L62)&lt;0,0,I62-SUM(K62:L62)))</f>
        <v>5025.1416919630401</v>
      </c>
      <c r="K62" s="160">
        <f ca="1">IF(G62="Всього:",SUM($K$5:K61),IF(F62&lt;&gt;F61,(F62*O61/36000*(G62-CONCATENATE(DAY($C$4),".",MONTH(G61),".",YEAR(G61)))+(F61*O61/36000*(CONCATENATE(DAY($C$4),".",MONTH(G61),".",YEAR(G61))-G61))),F62*O61/36000*(G62-G61)))</f>
        <v>-1221.1416919630401</v>
      </c>
      <c r="L62" s="160">
        <f ca="1">IF(G62="Всього:",SUM($L$5:L61),$E$4)</f>
        <v>0</v>
      </c>
      <c r="M62" s="160">
        <f ca="1">IF(G62="Всього:",SUM($M$5:M61),IF($E$5="UAH",J62+L62+K62,J62+K62))</f>
        <v>3804</v>
      </c>
      <c r="N62" s="160" t="str">
        <f ca="1">IF(G62="Всього:",SUM($N$4:N61),IF($E$5="UAH","",L62))</f>
        <v/>
      </c>
      <c r="O62" s="160">
        <f t="shared" ca="1" si="0"/>
        <v>-117832.68829362956</v>
      </c>
    </row>
    <row r="63" spans="6:15" x14ac:dyDescent="0.3">
      <c r="F63" s="160">
        <f t="shared" ca="1" si="1"/>
        <v>12.99</v>
      </c>
      <c r="G63" s="160">
        <f t="shared" ca="1" si="3"/>
        <v>47635</v>
      </c>
      <c r="H63" s="160">
        <f t="shared" ca="1" si="2"/>
        <v>59</v>
      </c>
      <c r="I63" s="160">
        <f ca="1">IF($G63="Всього:",SUM($I$4:I62),IF(AND(DAY($C$4)&gt;=15,H63=1),K63+L63,$C$32))</f>
        <v>3804</v>
      </c>
      <c r="J63" s="160">
        <f ca="1">IF($G63="Всього:",SUM($J$4:J62),IF(I63-SUM(K63:L63)&lt;0,0,I63-SUM(K63:L63)))</f>
        <v>5122.0568124711581</v>
      </c>
      <c r="K63" s="160">
        <f ca="1">IF(G63="Всього:",SUM($K$5:K62),IF(F63&lt;&gt;F62,(F63*O62/36000*(G63-CONCATENATE(DAY($C$4),".",MONTH(G62),".",YEAR(G62)))+(F62*O62/36000*(CONCATENATE(DAY($C$4),".",MONTH(G62),".",YEAR(G62))-G62))),F63*O62/36000*(G63-G62)))</f>
        <v>-1318.0568124711581</v>
      </c>
      <c r="L63" s="160">
        <f ca="1">IF(G63="Всього:",SUM($L$5:L62),$E$4)</f>
        <v>0</v>
      </c>
      <c r="M63" s="160">
        <f ca="1">IF(G63="Всього:",SUM($M$5:M62),IF($E$5="UAH",J63+L63+K63,J63+K63))</f>
        <v>3804</v>
      </c>
      <c r="N63" s="160" t="str">
        <f ca="1">IF(G63="Всього:",SUM($N$4:N62),IF($E$5="UAH","",L63))</f>
        <v/>
      </c>
      <c r="O63" s="160">
        <f t="shared" ca="1" si="0"/>
        <v>-122954.74510610072</v>
      </c>
    </row>
    <row r="64" spans="6:15" x14ac:dyDescent="0.3">
      <c r="F64" s="160">
        <f t="shared" ca="1" si="1"/>
        <v>12.99</v>
      </c>
      <c r="G64" s="160">
        <f t="shared" ca="1" si="3"/>
        <v>47665</v>
      </c>
      <c r="H64" s="160">
        <f t="shared" ca="1" si="2"/>
        <v>60</v>
      </c>
      <c r="I64" s="160">
        <f ca="1">IF($G64="Всього:",SUM($I$4:I63),IF(AND(DAY($C$4)&gt;=15,H64=1),K64+L64,$C$32))</f>
        <v>3804</v>
      </c>
      <c r="J64" s="160">
        <f ca="1">IF($G64="Всього:",SUM($J$4:J63),IF(I64-SUM(K64:L64)&lt;0,0,I64-SUM(K64:L64)))</f>
        <v>5134.9851157735402</v>
      </c>
      <c r="K64" s="160">
        <f ca="1">IF(G64="Всього:",SUM($K$5:K63),IF(F64&lt;&gt;F63,(F64*O63/36000*(G64-CONCATENATE(DAY($C$4),".",MONTH(G63),".",YEAR(G63)))+(F63*O63/36000*(CONCATENATE(DAY($C$4),".",MONTH(G63),".",YEAR(G63))-G63))),F64*O63/36000*(G64-G63)))</f>
        <v>-1330.9851157735402</v>
      </c>
      <c r="L64" s="160">
        <f ca="1">IF(G64="Всього:",SUM($L$5:L63),$E$4)</f>
        <v>0</v>
      </c>
      <c r="M64" s="160">
        <f ca="1">IF(G64="Всього:",SUM($M$5:M63),IF($E$5="UAH",J64+L64+K64,J64+K64))</f>
        <v>3804</v>
      </c>
      <c r="N64" s="160" t="str">
        <f ca="1">IF(G64="Всього:",SUM($N$4:N63),IF($E$5="UAH","",L64))</f>
        <v/>
      </c>
      <c r="O64" s="160">
        <f t="shared" ca="1" si="0"/>
        <v>-128089.73022187426</v>
      </c>
    </row>
    <row r="65" spans="6:15" x14ac:dyDescent="0.3">
      <c r="F65" s="160">
        <f t="shared" ca="1" si="1"/>
        <v>12.99</v>
      </c>
      <c r="G65" s="160">
        <f t="shared" ca="1" si="3"/>
        <v>47665</v>
      </c>
      <c r="H65" s="160">
        <f t="shared" ca="1" si="2"/>
        <v>61</v>
      </c>
      <c r="I65" s="160">
        <f ca="1">IF($G65="Всього:",SUM($I$4:I64),IF(AND(DAY($C$4)&gt;=15,H65=1),K65+L65,$C$32))</f>
        <v>3804</v>
      </c>
      <c r="J65" s="160">
        <f ca="1">IF($G65="Всього:",SUM($J$4:J64),IF(I65-SUM(K65:L65)&lt;0,0,I65-SUM(K65:L65)))</f>
        <v>3804</v>
      </c>
      <c r="K65" s="160">
        <f ca="1">IF(G65="Всього:",SUM($K$5:K64),IF(F65&lt;&gt;F64,(F65*O64/36000*(G65-CONCATENATE(DAY($C$4),".",MONTH(G64),".",YEAR(G64)))+(F64*O64/36000*(CONCATENATE(DAY($C$4),".",MONTH(G64),".",YEAR(G64))-G64))),F65*O64/36000*(G65-G64)))</f>
        <v>0</v>
      </c>
      <c r="L65" s="160">
        <f ca="1">IF(G65="Всього:",SUM($L$5:L64),$E$4)</f>
        <v>0</v>
      </c>
      <c r="M65" s="160">
        <f ca="1">IF(G65="Всього:",SUM($M$5:M64),IF($E$5="UAH",J65+L65+K65,J65+K65))</f>
        <v>3804</v>
      </c>
      <c r="N65" s="160" t="str">
        <f ca="1">IF(G65="Всього:",SUM($N$4:N64),IF($E$5="UAH","",L65))</f>
        <v/>
      </c>
      <c r="O65" s="160">
        <f t="shared" ca="1" si="0"/>
        <v>-131893.73022187426</v>
      </c>
    </row>
    <row r="66" spans="6:15" x14ac:dyDescent="0.3">
      <c r="F66" s="160" t="str">
        <f t="shared" ca="1" si="1"/>
        <v/>
      </c>
      <c r="G66" s="160" t="str">
        <f t="shared" ca="1" si="3"/>
        <v>Всього:</v>
      </c>
      <c r="H66" s="160">
        <f t="shared" ca="1" si="2"/>
        <v>62</v>
      </c>
      <c r="I66" s="160">
        <f ca="1">IF($G66="Всього:",SUM($I$4:I65),IF(AND(DAY($C$4)&gt;=15,H66=1),K66+L66,$C$32))</f>
        <v>232044</v>
      </c>
      <c r="J66" s="160">
        <f ca="1">IF($G66="Всього:",SUM($J$4:J65),IF(I66-SUM(K66:L66)&lt;0,0,I66-SUM(K66:L66)))</f>
        <v>231893.73022187426</v>
      </c>
      <c r="K66" s="160">
        <f ca="1">IF(G66="Всього:",SUM($K$5:K65),IF(F66&lt;&gt;F65,(F66*O65/36000*(G66-CONCATENATE(DAY($C$4),".",MONTH(G65),".",YEAR(G65)))+(F65*O65/36000*(CONCATENATE(DAY($C$4),".",MONTH(G65),".",YEAR(G65))-G65))),F66*O65/36000*(G66-G65)))</f>
        <v>150.26977812576206</v>
      </c>
      <c r="L66" s="160">
        <f ca="1">IF(G66="Всього:",SUM($L$5:L65),$E$4)</f>
        <v>0</v>
      </c>
      <c r="M66" s="160">
        <f ca="1">IF(G66="Всього:",SUM($M$5:M65),IF($E$5="UAH",J66+L66+K66,J66+K66))</f>
        <v>232044</v>
      </c>
      <c r="N66" s="160">
        <f ca="1">IF(G66="Всього:",SUM($N$4:N65),IF($E$5="UAH","",L66))</f>
        <v>0</v>
      </c>
      <c r="O66" s="160">
        <f t="shared" ca="1" si="0"/>
        <v>-363787.46044374851</v>
      </c>
    </row>
    <row r="67" spans="6:15" x14ac:dyDescent="0.3">
      <c r="F67" s="160" t="e">
        <f t="shared" ca="1" si="1"/>
        <v>#VALUE!</v>
      </c>
      <c r="G67" s="160" t="e">
        <f t="shared" ca="1" si="3"/>
        <v>#VALUE!</v>
      </c>
      <c r="H67" s="160" t="str">
        <f t="shared" ca="1" si="2"/>
        <v/>
      </c>
      <c r="I67" s="160" t="e">
        <f ca="1">IF($G67="Всього:",SUM($I$4:I66),IF(AND(DAY($C$4)&gt;=15,H67=1),K67+L67,$C$32))</f>
        <v>#VALUE!</v>
      </c>
      <c r="J67" s="160" t="e">
        <f ca="1">IF($G67="Всього:",SUM($J$4:J66),IF(I67-SUM(K67:L67)&lt;0,0,I67-SUM(K67:L67)))</f>
        <v>#VALUE!</v>
      </c>
      <c r="K67" s="160" t="e">
        <f ca="1">IF(G67="Всього:",SUM($K$5:K66),IF(F67&lt;&gt;F66,(F67*O66/36000*(G67-CONCATENATE(DAY($C$4),".",MONTH(G66),".",YEAR(G66)))+(F66*O66/36000*(CONCATENATE(DAY($C$4),".",MONTH(G66),".",YEAR(G66))-G66))),F67*O66/36000*(G67-G66)))</f>
        <v>#VALUE!</v>
      </c>
      <c r="L67" s="160" t="e">
        <f ca="1">IF(G67="Всього:",SUM($L$5:L66),$E$4)</f>
        <v>#VALUE!</v>
      </c>
      <c r="M67" s="160" t="e">
        <f ca="1">IF(G67="Всього:",SUM($M$5:M66),IF($E$5="UAH",J67+L67+K67,J67+K67))</f>
        <v>#VALUE!</v>
      </c>
      <c r="N67" s="160" t="e">
        <f ca="1">IF(G67="Всього:",SUM($N$4:N66),IF($E$5="UAH","",L67))</f>
        <v>#VALUE!</v>
      </c>
      <c r="O67" s="160" t="e">
        <f t="shared" ca="1" si="0"/>
        <v>#VALUE!</v>
      </c>
    </row>
    <row r="68" spans="6:15" x14ac:dyDescent="0.3">
      <c r="F68" s="160" t="e">
        <f t="shared" ca="1" si="1"/>
        <v>#VALUE!</v>
      </c>
      <c r="G68" s="160" t="e">
        <f t="shared" ca="1" si="3"/>
        <v>#VALUE!</v>
      </c>
      <c r="H68" s="160" t="str">
        <f t="shared" ca="1" si="2"/>
        <v/>
      </c>
      <c r="I68" s="160" t="e">
        <f ca="1">IF($G68="Всього:",SUM($I$4:I67),IF(AND(DAY($C$4)&gt;=15,H68=1),K68+L68,$C$32))</f>
        <v>#VALUE!</v>
      </c>
      <c r="J68" s="160" t="e">
        <f ca="1">IF($G68="Всього:",SUM($J$4:J67),IF(I68-SUM(K68:L68)&lt;0,0,I68-SUM(K68:L68)))</f>
        <v>#VALUE!</v>
      </c>
      <c r="K68" s="160" t="e">
        <f ca="1">IF(G68="Всього:",SUM($K$5:K67),IF(F68&lt;&gt;F67,(F68*O67/36000*(G68-CONCATENATE(DAY($C$4),".",MONTH(G67),".",YEAR(G67)))+(F67*O67/36000*(CONCATENATE(DAY($C$4),".",MONTH(G67),".",YEAR(G67))-G67))),F68*O67/36000*(G68-G67)))</f>
        <v>#VALUE!</v>
      </c>
      <c r="L68" s="160" t="e">
        <f ca="1">IF(G68="Всього:",SUM($L$5:L67),$E$4)</f>
        <v>#VALUE!</v>
      </c>
      <c r="M68" s="160" t="e">
        <f ca="1">IF(G68="Всього:",SUM($M$5:M67),IF($E$5="UAH",J68+L68+K68,J68+K68))</f>
        <v>#VALUE!</v>
      </c>
      <c r="N68" s="160" t="e">
        <f ca="1">IF(G68="Всього:",SUM($N$4:N67),IF($E$5="UAH","",L68))</f>
        <v>#VALUE!</v>
      </c>
      <c r="O68" s="160" t="e">
        <f t="shared" ca="1" si="0"/>
        <v>#VALUE!</v>
      </c>
    </row>
    <row r="69" spans="6:15" x14ac:dyDescent="0.3">
      <c r="F69" s="160" t="e">
        <f t="shared" ca="1" si="1"/>
        <v>#VALUE!</v>
      </c>
      <c r="G69" s="160" t="e">
        <f t="shared" ca="1" si="3"/>
        <v>#VALUE!</v>
      </c>
      <c r="H69" s="160" t="str">
        <f t="shared" ca="1" si="2"/>
        <v/>
      </c>
      <c r="I69" s="160" t="e">
        <f ca="1">IF($G69="Всього:",SUM($I$4:I68),IF(AND(DAY($C$4)&gt;=15,H69=1),K69+L69,$C$32))</f>
        <v>#VALUE!</v>
      </c>
      <c r="J69" s="160" t="e">
        <f ca="1">IF($G69="Всього:",SUM($J$4:J68),IF(I69-SUM(K69:L69)&lt;0,0,I69-SUM(K69:L69)))</f>
        <v>#VALUE!</v>
      </c>
      <c r="K69" s="160" t="e">
        <f ca="1">IF(G69="Всього:",SUM($K$5:K68),IF(F69&lt;&gt;F68,(F69*O68/36000*(G69-CONCATENATE(DAY($C$4),".",MONTH(G68),".",YEAR(G68)))+(F68*O68/36000*(CONCATENATE(DAY($C$4),".",MONTH(G68),".",YEAR(G68))-G68))),F69*O68/36000*(G69-G68)))</f>
        <v>#VALUE!</v>
      </c>
      <c r="L69" s="160" t="e">
        <f ca="1">IF(G69="Всього:",SUM($L$5:L68),$E$4)</f>
        <v>#VALUE!</v>
      </c>
      <c r="M69" s="160" t="e">
        <f ca="1">IF(G69="Всього:",SUM($M$5:M68),IF($E$5="UAH",J69+L69+K69,J69+K69))</f>
        <v>#VALUE!</v>
      </c>
      <c r="N69" s="160" t="e">
        <f ca="1">IF(G69="Всього:",SUM($N$4:N68),IF($E$5="UAH","",L69))</f>
        <v>#VALUE!</v>
      </c>
      <c r="O69" s="160" t="e">
        <f t="shared" ref="O69:O132" ca="1" si="4">O68-J69</f>
        <v>#VALUE!</v>
      </c>
    </row>
    <row r="70" spans="6:15" x14ac:dyDescent="0.3">
      <c r="F70" s="160" t="e">
        <f t="shared" ref="F70:F133" ca="1" si="5">IF(G70="Всього:","",IF(AND(G70&gt;$B$9,G70&lt;=$B$10),$C$16,IF(AND(G70&gt;$B$9,G70&lt;=$B$11),$D$16,IF(AND(G70&gt;$B$10,G70&lt;=$B$14),$E$16,$B$16))))</f>
        <v>#VALUE!</v>
      </c>
      <c r="G70" s="160" t="e">
        <f t="shared" ca="1" si="3"/>
        <v>#VALUE!</v>
      </c>
      <c r="H70" s="160" t="str">
        <f t="shared" ref="H70:H133" ca="1" si="6">IF(H69&gt;$E$8,"",H69+1)</f>
        <v/>
      </c>
      <c r="I70" s="160" t="e">
        <f ca="1">IF($G70="Всього:",SUM($I$4:I69),IF(AND(DAY($C$4)&gt;=15,H70=1),K70+L70,$C$32))</f>
        <v>#VALUE!</v>
      </c>
      <c r="J70" s="160" t="e">
        <f ca="1">IF($G70="Всього:",SUM($J$4:J69),IF(I70-SUM(K70:L70)&lt;0,0,I70-SUM(K70:L70)))</f>
        <v>#VALUE!</v>
      </c>
      <c r="K70" s="160" t="e">
        <f ca="1">IF(G70="Всього:",SUM($K$5:K69),IF(F70&lt;&gt;F69,(F70*O69/36000*(G70-CONCATENATE(DAY($C$4),".",MONTH(G69),".",YEAR(G69)))+(F69*O69/36000*(CONCATENATE(DAY($C$4),".",MONTH(G69),".",YEAR(G69))-G69))),F70*O69/36000*(G70-G69)))</f>
        <v>#VALUE!</v>
      </c>
      <c r="L70" s="160" t="e">
        <f ca="1">IF(G70="Всього:",SUM($L$5:L69),$E$4)</f>
        <v>#VALUE!</v>
      </c>
      <c r="M70" s="160" t="e">
        <f ca="1">IF(G70="Всього:",SUM($M$5:M69),IF($E$5="UAH",J70+L70+K70,J70+K70))</f>
        <v>#VALUE!</v>
      </c>
      <c r="N70" s="160" t="e">
        <f ca="1">IF(G70="Всього:",SUM($N$4:N69),IF($E$5="UAH","",L70))</f>
        <v>#VALUE!</v>
      </c>
      <c r="O70" s="160" t="e">
        <f t="shared" ca="1" si="4"/>
        <v>#VALUE!</v>
      </c>
    </row>
    <row r="71" spans="6:15" x14ac:dyDescent="0.3">
      <c r="F71" s="160" t="e">
        <f t="shared" ca="1" si="5"/>
        <v>#VALUE!</v>
      </c>
      <c r="G71" s="160" t="e">
        <f t="shared" ref="G71:G134" ca="1" si="7">IF(H70=$E$8,"Всього:",IF($E$3+1=H71,$B$14,DATE(YEAR(G70),MONTH(G70)+1,IF($B$7&lt;&gt;"",DAY(IF($B$7&gt;DAY(EOMONTH(G70,1)),EOMONTH(G70,1),$B$7)),DAY(1)))))</f>
        <v>#VALUE!</v>
      </c>
      <c r="H71" s="160" t="str">
        <f t="shared" ca="1" si="6"/>
        <v/>
      </c>
      <c r="I71" s="160" t="e">
        <f ca="1">IF($G71="Всього:",SUM($I$4:I70),IF(AND(DAY($C$4)&gt;=15,H71=1),K71+L71,$C$32))</f>
        <v>#VALUE!</v>
      </c>
      <c r="J71" s="160" t="e">
        <f ca="1">IF($G71="Всього:",SUM($J$4:J70),IF(I71-SUM(K71:L71)&lt;0,0,I71-SUM(K71:L71)))</f>
        <v>#VALUE!</v>
      </c>
      <c r="K71" s="160" t="e">
        <f ca="1">IF(G71="Всього:",SUM($K$5:K70),IF(F71&lt;&gt;F70,(F71*O70/36000*(G71-CONCATENATE(DAY($C$4),".",MONTH(G70),".",YEAR(G70)))+(F70*O70/36000*(CONCATENATE(DAY($C$4),".",MONTH(G70),".",YEAR(G70))-G70))),F71*O70/36000*(G71-G70)))</f>
        <v>#VALUE!</v>
      </c>
      <c r="L71" s="160" t="e">
        <f ca="1">IF(G71="Всього:",SUM($L$5:L70),$E$4)</f>
        <v>#VALUE!</v>
      </c>
      <c r="M71" s="160" t="e">
        <f ca="1">IF(G71="Всього:",SUM($M$5:M70),IF($E$5="UAH",J71+L71+K71,J71+K71))</f>
        <v>#VALUE!</v>
      </c>
      <c r="N71" s="160" t="e">
        <f ca="1">IF(G71="Всього:",SUM($N$4:N70),IF($E$5="UAH","",L71))</f>
        <v>#VALUE!</v>
      </c>
      <c r="O71" s="160" t="e">
        <f t="shared" ca="1" si="4"/>
        <v>#VALUE!</v>
      </c>
    </row>
    <row r="72" spans="6:15" x14ac:dyDescent="0.3">
      <c r="F72" s="160" t="e">
        <f t="shared" ca="1" si="5"/>
        <v>#VALUE!</v>
      </c>
      <c r="G72" s="160" t="e">
        <f t="shared" ca="1" si="7"/>
        <v>#VALUE!</v>
      </c>
      <c r="H72" s="160" t="str">
        <f t="shared" ca="1" si="6"/>
        <v/>
      </c>
      <c r="I72" s="160" t="e">
        <f ca="1">IF($G72="Всього:",SUM($I$4:I71),IF(AND(DAY($C$4)&gt;=15,H72=1),K72+L72,$C$32))</f>
        <v>#VALUE!</v>
      </c>
      <c r="J72" s="160" t="e">
        <f ca="1">IF($G72="Всього:",SUM($J$4:J71),IF(I72-SUM(K72:L72)&lt;0,0,I72-SUM(K72:L72)))</f>
        <v>#VALUE!</v>
      </c>
      <c r="K72" s="160" t="e">
        <f ca="1">IF(G72="Всього:",SUM($K$5:K71),IF(F72&lt;&gt;F71,(F72*O71/36000*(G72-CONCATENATE(DAY($C$4),".",MONTH(G71),".",YEAR(G71)))+(F71*O71/36000*(CONCATENATE(DAY($C$4),".",MONTH(G71),".",YEAR(G71))-G71))),F72*O71/36000*(G72-G71)))</f>
        <v>#VALUE!</v>
      </c>
      <c r="L72" s="160" t="e">
        <f ca="1">IF(G72="Всього:",SUM($L$5:L71),$E$4)</f>
        <v>#VALUE!</v>
      </c>
      <c r="M72" s="160" t="e">
        <f ca="1">IF(G72="Всього:",SUM($M$5:M71),IF($E$5="UAH",J72+L72+K72,J72+K72))</f>
        <v>#VALUE!</v>
      </c>
      <c r="N72" s="160" t="e">
        <f ca="1">IF(G72="Всього:",SUM($N$4:N71),IF($E$5="UAH","",L72))</f>
        <v>#VALUE!</v>
      </c>
      <c r="O72" s="160" t="e">
        <f t="shared" ca="1" si="4"/>
        <v>#VALUE!</v>
      </c>
    </row>
    <row r="73" spans="6:15" x14ac:dyDescent="0.3">
      <c r="F73" s="160" t="e">
        <f t="shared" ca="1" si="5"/>
        <v>#VALUE!</v>
      </c>
      <c r="G73" s="160" t="e">
        <f t="shared" ca="1" si="7"/>
        <v>#VALUE!</v>
      </c>
      <c r="H73" s="160" t="str">
        <f t="shared" ca="1" si="6"/>
        <v/>
      </c>
      <c r="I73" s="160" t="e">
        <f ca="1">IF($G73="Всього:",SUM($I$4:I72),IF(AND(DAY($C$4)&gt;=15,H73=1),K73+L73,$C$32))</f>
        <v>#VALUE!</v>
      </c>
      <c r="J73" s="160" t="e">
        <f ca="1">IF($G73="Всього:",SUM($J$4:J72),IF(I73-SUM(K73:L73)&lt;0,0,I73-SUM(K73:L73)))</f>
        <v>#VALUE!</v>
      </c>
      <c r="K73" s="160" t="e">
        <f ca="1">IF(G73="Всього:",SUM($K$5:K72),IF(F73&lt;&gt;F72,(F73*O72/36000*(G73-CONCATENATE(DAY($C$4),".",MONTH(G72),".",YEAR(G72)))+(F72*O72/36000*(CONCATENATE(DAY($C$4),".",MONTH(G72),".",YEAR(G72))-G72))),F73*O72/36000*(G73-G72)))</f>
        <v>#VALUE!</v>
      </c>
      <c r="L73" s="160" t="e">
        <f ca="1">IF(G73="Всього:",SUM($L$5:L72),$E$4)</f>
        <v>#VALUE!</v>
      </c>
      <c r="M73" s="160" t="e">
        <f ca="1">IF(G73="Всього:",SUM($M$5:M72),IF($E$5="UAH",J73+L73+K73,J73+K73))</f>
        <v>#VALUE!</v>
      </c>
      <c r="N73" s="160" t="e">
        <f ca="1">IF(G73="Всього:",SUM($N$4:N72),IF($E$5="UAH","",L73))</f>
        <v>#VALUE!</v>
      </c>
      <c r="O73" s="160" t="e">
        <f t="shared" ca="1" si="4"/>
        <v>#VALUE!</v>
      </c>
    </row>
    <row r="74" spans="6:15" x14ac:dyDescent="0.3">
      <c r="F74" s="160" t="e">
        <f t="shared" ca="1" si="5"/>
        <v>#VALUE!</v>
      </c>
      <c r="G74" s="160" t="e">
        <f t="shared" ca="1" si="7"/>
        <v>#VALUE!</v>
      </c>
      <c r="H74" s="160" t="str">
        <f t="shared" ca="1" si="6"/>
        <v/>
      </c>
      <c r="I74" s="160" t="e">
        <f ca="1">IF($G74="Всього:",SUM($I$4:I73),IF(AND(DAY($C$4)&gt;=15,H74=1),K74+L74,$C$32))</f>
        <v>#VALUE!</v>
      </c>
      <c r="J74" s="160" t="e">
        <f ca="1">IF($G74="Всього:",SUM($J$4:J73),IF(I74-SUM(K74:L74)&lt;0,0,I74-SUM(K74:L74)))</f>
        <v>#VALUE!</v>
      </c>
      <c r="K74" s="160" t="e">
        <f ca="1">IF(G74="Всього:",SUM($K$5:K73),IF(F74&lt;&gt;F73,(F74*O73/36000*(G74-CONCATENATE(DAY($C$4),".",MONTH(G73),".",YEAR(G73)))+(F73*O73/36000*(CONCATENATE(DAY($C$4),".",MONTH(G73),".",YEAR(G73))-G73))),F74*O73/36000*(G74-G73)))</f>
        <v>#VALUE!</v>
      </c>
      <c r="L74" s="160" t="e">
        <f ca="1">IF(G74="Всього:",SUM($L$5:L73),$E$4)</f>
        <v>#VALUE!</v>
      </c>
      <c r="M74" s="160" t="e">
        <f ca="1">IF(G74="Всього:",SUM($M$5:M73),IF($E$5="UAH",J74+L74+K74,J74+K74))</f>
        <v>#VALUE!</v>
      </c>
      <c r="N74" s="160" t="e">
        <f ca="1">IF(G74="Всього:",SUM($N$4:N73),IF($E$5="UAH","",L74))</f>
        <v>#VALUE!</v>
      </c>
      <c r="O74" s="160" t="e">
        <f t="shared" ca="1" si="4"/>
        <v>#VALUE!</v>
      </c>
    </row>
    <row r="75" spans="6:15" x14ac:dyDescent="0.3">
      <c r="F75" s="160" t="e">
        <f t="shared" ca="1" si="5"/>
        <v>#VALUE!</v>
      </c>
      <c r="G75" s="160" t="e">
        <f t="shared" ca="1" si="7"/>
        <v>#VALUE!</v>
      </c>
      <c r="H75" s="160" t="str">
        <f t="shared" ca="1" si="6"/>
        <v/>
      </c>
      <c r="I75" s="160" t="e">
        <f ca="1">IF($G75="Всього:",SUM($I$4:I74),IF(AND(DAY($C$4)&gt;=15,H75=1),K75+L75,$C$32))</f>
        <v>#VALUE!</v>
      </c>
      <c r="J75" s="160" t="e">
        <f ca="1">IF($G75="Всього:",SUM($J$4:J74),IF(I75-SUM(K75:L75)&lt;0,0,I75-SUM(K75:L75)))</f>
        <v>#VALUE!</v>
      </c>
      <c r="K75" s="160" t="e">
        <f ca="1">IF(G75="Всього:",SUM($K$5:K74),IF(F75&lt;&gt;F74,(F75*O74/36000*(G75-CONCATENATE(DAY($C$4),".",MONTH(G74),".",YEAR(G74)))+(F74*O74/36000*(CONCATENATE(DAY($C$4),".",MONTH(G74),".",YEAR(G74))-G74))),F75*O74/36000*(G75-G74)))</f>
        <v>#VALUE!</v>
      </c>
      <c r="L75" s="160" t="e">
        <f ca="1">IF(G75="Всього:",SUM($L$5:L74),$E$4)</f>
        <v>#VALUE!</v>
      </c>
      <c r="M75" s="160" t="e">
        <f ca="1">IF(G75="Всього:",SUM($M$5:M74),IF($E$5="UAH",J75+L75+K75,J75+K75))</f>
        <v>#VALUE!</v>
      </c>
      <c r="N75" s="160" t="e">
        <f ca="1">IF(G75="Всього:",SUM($N$4:N74),IF($E$5="UAH","",L75))</f>
        <v>#VALUE!</v>
      </c>
      <c r="O75" s="160" t="e">
        <f t="shared" ca="1" si="4"/>
        <v>#VALUE!</v>
      </c>
    </row>
    <row r="76" spans="6:15" x14ac:dyDescent="0.3">
      <c r="F76" s="160" t="e">
        <f t="shared" ca="1" si="5"/>
        <v>#VALUE!</v>
      </c>
      <c r="G76" s="160" t="e">
        <f t="shared" ca="1" si="7"/>
        <v>#VALUE!</v>
      </c>
      <c r="H76" s="160" t="str">
        <f t="shared" ca="1" si="6"/>
        <v/>
      </c>
      <c r="I76" s="160" t="e">
        <f ca="1">IF($G76="Всього:",SUM($I$4:I75),IF(AND(DAY($C$4)&gt;=15,H76=1),K76+L76,$C$32))</f>
        <v>#VALUE!</v>
      </c>
      <c r="J76" s="160" t="e">
        <f ca="1">IF($G76="Всього:",SUM($J$4:J75),IF(I76-SUM(K76:L76)&lt;0,0,I76-SUM(K76:L76)))</f>
        <v>#VALUE!</v>
      </c>
      <c r="K76" s="160" t="e">
        <f ca="1">IF(G76="Всього:",SUM($K$5:K75),IF(F76&lt;&gt;F75,(F76*O75/36000*(G76-CONCATENATE(DAY($C$4),".",MONTH(G75),".",YEAR(G75)))+(F75*O75/36000*(CONCATENATE(DAY($C$4),".",MONTH(G75),".",YEAR(G75))-G75))),F76*O75/36000*(G76-G75)))</f>
        <v>#VALUE!</v>
      </c>
      <c r="L76" s="160" t="e">
        <f ca="1">IF(G76="Всього:",SUM($L$5:L75),$E$4)</f>
        <v>#VALUE!</v>
      </c>
      <c r="M76" s="160" t="e">
        <f ca="1">IF(G76="Всього:",SUM($M$5:M75),IF($E$5="UAH",J76+L76+K76,J76+K76))</f>
        <v>#VALUE!</v>
      </c>
      <c r="N76" s="160" t="e">
        <f ca="1">IF(G76="Всього:",SUM($N$4:N75),IF($E$5="UAH","",L76))</f>
        <v>#VALUE!</v>
      </c>
      <c r="O76" s="160" t="e">
        <f t="shared" ca="1" si="4"/>
        <v>#VALUE!</v>
      </c>
    </row>
    <row r="77" spans="6:15" x14ac:dyDescent="0.3">
      <c r="F77" s="160" t="e">
        <f t="shared" ca="1" si="5"/>
        <v>#VALUE!</v>
      </c>
      <c r="G77" s="160" t="e">
        <f t="shared" ca="1" si="7"/>
        <v>#VALUE!</v>
      </c>
      <c r="H77" s="160" t="str">
        <f t="shared" ca="1" si="6"/>
        <v/>
      </c>
      <c r="I77" s="160" t="e">
        <f ca="1">IF($G77="Всього:",SUM($I$4:I76),IF(AND(DAY($C$4)&gt;=15,H77=1),K77+L77,$C$32))</f>
        <v>#VALUE!</v>
      </c>
      <c r="J77" s="160" t="e">
        <f ca="1">IF($G77="Всього:",SUM($J$4:J76),IF(I77-SUM(K77:L77)&lt;0,0,I77-SUM(K77:L77)))</f>
        <v>#VALUE!</v>
      </c>
      <c r="K77" s="160" t="e">
        <f ca="1">IF(G77="Всього:",SUM($K$5:K76),IF(F77&lt;&gt;F76,(F77*O76/36000*(G77-CONCATENATE(DAY($C$4),".",MONTH(G76),".",YEAR(G76)))+(F76*O76/36000*(CONCATENATE(DAY($C$4),".",MONTH(G76),".",YEAR(G76))-G76))),F77*O76/36000*(G77-G76)))</f>
        <v>#VALUE!</v>
      </c>
      <c r="L77" s="160" t="e">
        <f ca="1">IF(G77="Всього:",SUM($L$5:L76),$E$4)</f>
        <v>#VALUE!</v>
      </c>
      <c r="M77" s="160" t="e">
        <f ca="1">IF(G77="Всього:",SUM($M$5:M76),IF($E$5="UAH",J77+L77+K77,J77+K77))</f>
        <v>#VALUE!</v>
      </c>
      <c r="N77" s="160" t="e">
        <f ca="1">IF(G77="Всього:",SUM($N$4:N76),IF($E$5="UAH","",L77))</f>
        <v>#VALUE!</v>
      </c>
      <c r="O77" s="160" t="e">
        <f t="shared" ca="1" si="4"/>
        <v>#VALUE!</v>
      </c>
    </row>
    <row r="78" spans="6:15" x14ac:dyDescent="0.3">
      <c r="F78" s="160" t="e">
        <f t="shared" ca="1" si="5"/>
        <v>#VALUE!</v>
      </c>
      <c r="G78" s="160" t="e">
        <f t="shared" ca="1" si="7"/>
        <v>#VALUE!</v>
      </c>
      <c r="H78" s="160" t="str">
        <f t="shared" ca="1" si="6"/>
        <v/>
      </c>
      <c r="I78" s="160" t="e">
        <f ca="1">IF($G78="Всього:",SUM($I$4:I77),IF(AND(DAY($C$4)&gt;=15,H78=1),K78+L78,$C$32))</f>
        <v>#VALUE!</v>
      </c>
      <c r="J78" s="160" t="e">
        <f ca="1">IF($G78="Всього:",SUM($J$4:J77),IF(I78-SUM(K78:L78)&lt;0,0,I78-SUM(K78:L78)))</f>
        <v>#VALUE!</v>
      </c>
      <c r="K78" s="160" t="e">
        <f ca="1">IF(G78="Всього:",SUM($K$5:K77),IF(F78&lt;&gt;F77,(F78*O77/36000*(G78-CONCATENATE(DAY($C$4),".",MONTH(G77),".",YEAR(G77)))+(F77*O77/36000*(CONCATENATE(DAY($C$4),".",MONTH(G77),".",YEAR(G77))-G77))),F78*O77/36000*(G78-G77)))</f>
        <v>#VALUE!</v>
      </c>
      <c r="L78" s="160" t="e">
        <f ca="1">IF(G78="Всього:",SUM($L$5:L77),$E$4)</f>
        <v>#VALUE!</v>
      </c>
      <c r="M78" s="160" t="e">
        <f ca="1">IF(G78="Всього:",SUM($M$5:M77),IF($E$5="UAH",J78+L78+K78,J78+K78))</f>
        <v>#VALUE!</v>
      </c>
      <c r="N78" s="160" t="e">
        <f ca="1">IF(G78="Всього:",SUM($N$4:N77),IF($E$5="UAH","",L78))</f>
        <v>#VALUE!</v>
      </c>
      <c r="O78" s="160" t="e">
        <f t="shared" ca="1" si="4"/>
        <v>#VALUE!</v>
      </c>
    </row>
    <row r="79" spans="6:15" x14ac:dyDescent="0.3">
      <c r="F79" s="160" t="e">
        <f t="shared" ca="1" si="5"/>
        <v>#VALUE!</v>
      </c>
      <c r="G79" s="160" t="e">
        <f t="shared" ca="1" si="7"/>
        <v>#VALUE!</v>
      </c>
      <c r="H79" s="160" t="str">
        <f t="shared" ca="1" si="6"/>
        <v/>
      </c>
      <c r="I79" s="160" t="e">
        <f ca="1">IF($G79="Всього:",SUM($I$4:I78),IF(AND(DAY($C$4)&gt;=15,H79=1),K79+L79,$C$32))</f>
        <v>#VALUE!</v>
      </c>
      <c r="J79" s="160" t="e">
        <f ca="1">IF($G79="Всього:",SUM($J$4:J78),IF(I79-SUM(K79:L79)&lt;0,0,I79-SUM(K79:L79)))</f>
        <v>#VALUE!</v>
      </c>
      <c r="K79" s="160" t="e">
        <f ca="1">IF(G79="Всього:",SUM($K$5:K78),IF(F79&lt;&gt;F78,(F79*O78/36000*(G79-CONCATENATE(DAY($C$4),".",MONTH(G78),".",YEAR(G78)))+(F78*O78/36000*(CONCATENATE(DAY($C$4),".",MONTH(G78),".",YEAR(G78))-G78))),F79*O78/36000*(G79-G78)))</f>
        <v>#VALUE!</v>
      </c>
      <c r="L79" s="160" t="e">
        <f ca="1">IF(G79="Всього:",SUM($L$5:L78),$E$4)</f>
        <v>#VALUE!</v>
      </c>
      <c r="M79" s="160" t="e">
        <f ca="1">IF(G79="Всього:",SUM($M$5:M78),IF($E$5="UAH",J79+L79+K79,J79+K79))</f>
        <v>#VALUE!</v>
      </c>
      <c r="N79" s="160" t="e">
        <f ca="1">IF(G79="Всього:",SUM($N$4:N78),IF($E$5="UAH","",L79))</f>
        <v>#VALUE!</v>
      </c>
      <c r="O79" s="160" t="e">
        <f t="shared" ca="1" si="4"/>
        <v>#VALUE!</v>
      </c>
    </row>
    <row r="80" spans="6:15" x14ac:dyDescent="0.3">
      <c r="F80" s="160" t="e">
        <f t="shared" ca="1" si="5"/>
        <v>#VALUE!</v>
      </c>
      <c r="G80" s="160" t="e">
        <f t="shared" ca="1" si="7"/>
        <v>#VALUE!</v>
      </c>
      <c r="H80" s="160" t="str">
        <f t="shared" ca="1" si="6"/>
        <v/>
      </c>
      <c r="I80" s="160" t="e">
        <f ca="1">IF($G80="Всього:",SUM($I$4:I79),IF(AND(DAY($C$4)&gt;=15,H80=1),K80+L80,$C$32))</f>
        <v>#VALUE!</v>
      </c>
      <c r="J80" s="160" t="e">
        <f ca="1">IF($G80="Всього:",SUM($J$4:J79),IF(I80-SUM(K80:L80)&lt;0,0,I80-SUM(K80:L80)))</f>
        <v>#VALUE!</v>
      </c>
      <c r="K80" s="160" t="e">
        <f ca="1">IF(G80="Всього:",SUM($K$5:K79),IF(F80&lt;&gt;F79,(F80*O79/36000*(G80-CONCATENATE(DAY($C$4),".",MONTH(G79),".",YEAR(G79)))+(F79*O79/36000*(CONCATENATE(DAY($C$4),".",MONTH(G79),".",YEAR(G79))-G79))),F80*O79/36000*(G80-G79)))</f>
        <v>#VALUE!</v>
      </c>
      <c r="L80" s="160" t="e">
        <f ca="1">IF(G80="Всього:",SUM($L$5:L79),$E$4)</f>
        <v>#VALUE!</v>
      </c>
      <c r="M80" s="160" t="e">
        <f ca="1">IF(G80="Всього:",SUM($M$5:M79),IF($E$5="UAH",J80+L80+K80,J80+K80))</f>
        <v>#VALUE!</v>
      </c>
      <c r="N80" s="160" t="e">
        <f ca="1">IF(G80="Всього:",SUM($N$4:N79),IF($E$5="UAH","",L80))</f>
        <v>#VALUE!</v>
      </c>
      <c r="O80" s="160" t="e">
        <f t="shared" ca="1" si="4"/>
        <v>#VALUE!</v>
      </c>
    </row>
    <row r="81" spans="6:15" x14ac:dyDescent="0.3">
      <c r="F81" s="160" t="e">
        <f t="shared" ca="1" si="5"/>
        <v>#VALUE!</v>
      </c>
      <c r="G81" s="160" t="e">
        <f t="shared" ca="1" si="7"/>
        <v>#VALUE!</v>
      </c>
      <c r="H81" s="160" t="str">
        <f t="shared" ca="1" si="6"/>
        <v/>
      </c>
      <c r="I81" s="160" t="e">
        <f ca="1">IF($G81="Всього:",SUM($I$4:I80),IF(AND(DAY($C$4)&gt;=15,H81=1),K81+L81,$C$32))</f>
        <v>#VALUE!</v>
      </c>
      <c r="J81" s="160" t="e">
        <f ca="1">IF($G81="Всього:",SUM($J$4:J80),IF(I81-SUM(K81:L81)&lt;0,0,I81-SUM(K81:L81)))</f>
        <v>#VALUE!</v>
      </c>
      <c r="K81" s="160" t="e">
        <f ca="1">IF(G81="Всього:",SUM($K$5:K80),IF(F81&lt;&gt;F80,(F81*O80/36000*(G81-CONCATENATE(DAY($C$4),".",MONTH(G80),".",YEAR(G80)))+(F80*O80/36000*(CONCATENATE(DAY($C$4),".",MONTH(G80),".",YEAR(G80))-G80))),F81*O80/36000*(G81-G80)))</f>
        <v>#VALUE!</v>
      </c>
      <c r="L81" s="160" t="e">
        <f ca="1">IF(G81="Всього:",SUM($L$5:L80),$E$4)</f>
        <v>#VALUE!</v>
      </c>
      <c r="M81" s="160" t="e">
        <f ca="1">IF(G81="Всього:",SUM($M$5:M80),IF($E$5="UAH",J81+L81+K81,J81+K81))</f>
        <v>#VALUE!</v>
      </c>
      <c r="N81" s="160" t="e">
        <f ca="1">IF(G81="Всього:",SUM($N$4:N80),IF($E$5="UAH","",L81))</f>
        <v>#VALUE!</v>
      </c>
      <c r="O81" s="160" t="e">
        <f t="shared" ca="1" si="4"/>
        <v>#VALUE!</v>
      </c>
    </row>
    <row r="82" spans="6:15" x14ac:dyDescent="0.3">
      <c r="F82" s="160" t="e">
        <f t="shared" ca="1" si="5"/>
        <v>#VALUE!</v>
      </c>
      <c r="G82" s="160" t="e">
        <f t="shared" ca="1" si="7"/>
        <v>#VALUE!</v>
      </c>
      <c r="H82" s="160" t="str">
        <f t="shared" ca="1" si="6"/>
        <v/>
      </c>
      <c r="I82" s="160" t="e">
        <f ca="1">IF($G82="Всього:",SUM($I$4:I81),IF(AND(DAY($C$4)&gt;=15,H82=1),K82+L82,$C$32))</f>
        <v>#VALUE!</v>
      </c>
      <c r="J82" s="160" t="e">
        <f ca="1">IF($G82="Всього:",SUM($J$4:J81),IF(I82-SUM(K82:L82)&lt;0,0,I82-SUM(K82:L82)))</f>
        <v>#VALUE!</v>
      </c>
      <c r="K82" s="160" t="e">
        <f ca="1">IF(G82="Всього:",SUM($K$5:K81),IF(F82&lt;&gt;F81,(F82*O81/36000*(G82-CONCATENATE(DAY($C$4),".",MONTH(G81),".",YEAR(G81)))+(F81*O81/36000*(CONCATENATE(DAY($C$4),".",MONTH(G81),".",YEAR(G81))-G81))),F82*O81/36000*(G82-G81)))</f>
        <v>#VALUE!</v>
      </c>
      <c r="L82" s="160" t="e">
        <f ca="1">IF(G82="Всього:",SUM($L$5:L81),$E$4)</f>
        <v>#VALUE!</v>
      </c>
      <c r="M82" s="160" t="e">
        <f ca="1">IF(G82="Всього:",SUM($M$5:M81),IF($E$5="UAH",J82+L82+K82,J82+K82))</f>
        <v>#VALUE!</v>
      </c>
      <c r="N82" s="160" t="e">
        <f ca="1">IF(G82="Всього:",SUM($N$4:N81),IF($E$5="UAH","",L82))</f>
        <v>#VALUE!</v>
      </c>
      <c r="O82" s="160" t="e">
        <f t="shared" ca="1" si="4"/>
        <v>#VALUE!</v>
      </c>
    </row>
    <row r="83" spans="6:15" x14ac:dyDescent="0.3">
      <c r="F83" s="160" t="e">
        <f t="shared" ca="1" si="5"/>
        <v>#VALUE!</v>
      </c>
      <c r="G83" s="160" t="e">
        <f t="shared" ca="1" si="7"/>
        <v>#VALUE!</v>
      </c>
      <c r="H83" s="160" t="str">
        <f t="shared" ca="1" si="6"/>
        <v/>
      </c>
      <c r="I83" s="160" t="e">
        <f ca="1">IF($G83="Всього:",SUM($I$4:I82),IF(AND(DAY($C$4)&gt;=15,H83=1),K83+L83,$C$32))</f>
        <v>#VALUE!</v>
      </c>
      <c r="J83" s="160" t="e">
        <f ca="1">IF($G83="Всього:",SUM($J$4:J82),IF(I83-SUM(K83:L83)&lt;0,0,I83-SUM(K83:L83)))</f>
        <v>#VALUE!</v>
      </c>
      <c r="K83" s="160" t="e">
        <f ca="1">IF(G83="Всього:",SUM($K$5:K82),IF(F83&lt;&gt;F82,(F83*O82/36000*(G83-CONCATENATE(DAY($C$4),".",MONTH(G82),".",YEAR(G82)))+(F82*O82/36000*(CONCATENATE(DAY($C$4),".",MONTH(G82),".",YEAR(G82))-G82))),F83*O82/36000*(G83-G82)))</f>
        <v>#VALUE!</v>
      </c>
      <c r="L83" s="160" t="e">
        <f ca="1">IF(G83="Всього:",SUM($L$5:L82),$E$4)</f>
        <v>#VALUE!</v>
      </c>
      <c r="M83" s="160" t="e">
        <f ca="1">IF(G83="Всього:",SUM($M$5:M82),IF($E$5="UAH",J83+L83+K83,J83+K83))</f>
        <v>#VALUE!</v>
      </c>
      <c r="N83" s="160" t="e">
        <f ca="1">IF(G83="Всього:",SUM($N$4:N82),IF($E$5="UAH","",L83))</f>
        <v>#VALUE!</v>
      </c>
      <c r="O83" s="160" t="e">
        <f t="shared" ca="1" si="4"/>
        <v>#VALUE!</v>
      </c>
    </row>
    <row r="84" spans="6:15" x14ac:dyDescent="0.3">
      <c r="F84" s="160" t="e">
        <f t="shared" ca="1" si="5"/>
        <v>#VALUE!</v>
      </c>
      <c r="G84" s="160" t="e">
        <f t="shared" ca="1" si="7"/>
        <v>#VALUE!</v>
      </c>
      <c r="H84" s="160" t="str">
        <f t="shared" ca="1" si="6"/>
        <v/>
      </c>
      <c r="I84" s="160" t="e">
        <f ca="1">IF($G84="Всього:",SUM($I$4:I83),IF(AND(DAY($C$4)&gt;=15,H84=1),K84+L84,$C$32))</f>
        <v>#VALUE!</v>
      </c>
      <c r="J84" s="160" t="e">
        <f ca="1">IF($G84="Всього:",SUM($J$4:J83),IF(I84-SUM(K84:L84)&lt;0,0,I84-SUM(K84:L84)))</f>
        <v>#VALUE!</v>
      </c>
      <c r="K84" s="160" t="e">
        <f ca="1">IF(G84="Всього:",SUM($K$5:K83),IF(F84&lt;&gt;F83,(F84*O83/36000*(G84-CONCATENATE(DAY($C$4),".",MONTH(G83),".",YEAR(G83)))+(F83*O83/36000*(CONCATENATE(DAY($C$4),".",MONTH(G83),".",YEAR(G83))-G83))),F84*O83/36000*(G84-G83)))</f>
        <v>#VALUE!</v>
      </c>
      <c r="L84" s="160" t="e">
        <f ca="1">IF(G84="Всього:",SUM($L$5:L83),$E$4)</f>
        <v>#VALUE!</v>
      </c>
      <c r="M84" s="160" t="e">
        <f ca="1">IF(G84="Всього:",SUM($M$5:M83),IF($E$5="UAH",J84+L84+K84,J84+K84))</f>
        <v>#VALUE!</v>
      </c>
      <c r="N84" s="160" t="e">
        <f ca="1">IF(G84="Всього:",SUM($N$4:N83),IF($E$5="UAH","",L84))</f>
        <v>#VALUE!</v>
      </c>
      <c r="O84" s="160" t="e">
        <f t="shared" ca="1" si="4"/>
        <v>#VALUE!</v>
      </c>
    </row>
    <row r="85" spans="6:15" x14ac:dyDescent="0.3">
      <c r="F85" s="160" t="e">
        <f t="shared" ca="1" si="5"/>
        <v>#VALUE!</v>
      </c>
      <c r="G85" s="160" t="e">
        <f t="shared" ca="1" si="7"/>
        <v>#VALUE!</v>
      </c>
      <c r="H85" s="160" t="str">
        <f t="shared" ca="1" si="6"/>
        <v/>
      </c>
      <c r="I85" s="160" t="e">
        <f ca="1">IF($G85="Всього:",SUM($I$4:I84),IF(AND(DAY($C$4)&gt;=15,H85=1),K85+L85,$C$32))</f>
        <v>#VALUE!</v>
      </c>
      <c r="J85" s="160" t="e">
        <f ca="1">IF($G85="Всього:",SUM($J$4:J84),IF(I85-SUM(K85:L85)&lt;0,0,I85-SUM(K85:L85)))</f>
        <v>#VALUE!</v>
      </c>
      <c r="K85" s="160" t="e">
        <f ca="1">IF(G85="Всього:",SUM($K$5:K84),IF(F85&lt;&gt;F84,(F85*O84/36000*(G85-CONCATENATE(DAY($C$4),".",MONTH(G84),".",YEAR(G84)))+(F84*O84/36000*(CONCATENATE(DAY($C$4),".",MONTH(G84),".",YEAR(G84))-G84))),F85*O84/36000*(G85-G84)))</f>
        <v>#VALUE!</v>
      </c>
      <c r="L85" s="160" t="e">
        <f ca="1">IF(G85="Всього:",SUM($L$5:L84),$E$4)</f>
        <v>#VALUE!</v>
      </c>
      <c r="M85" s="160" t="e">
        <f ca="1">IF(G85="Всього:",SUM($M$5:M84),IF($E$5="UAH",J85+L85+K85,J85+K85))</f>
        <v>#VALUE!</v>
      </c>
      <c r="N85" s="160" t="e">
        <f ca="1">IF(G85="Всього:",SUM($N$4:N84),IF($E$5="UAH","",L85))</f>
        <v>#VALUE!</v>
      </c>
      <c r="O85" s="160" t="e">
        <f t="shared" ca="1" si="4"/>
        <v>#VALUE!</v>
      </c>
    </row>
    <row r="86" spans="6:15" x14ac:dyDescent="0.3">
      <c r="F86" s="160" t="e">
        <f t="shared" ca="1" si="5"/>
        <v>#VALUE!</v>
      </c>
      <c r="G86" s="160" t="e">
        <f t="shared" ca="1" si="7"/>
        <v>#VALUE!</v>
      </c>
      <c r="H86" s="160" t="str">
        <f t="shared" ca="1" si="6"/>
        <v/>
      </c>
      <c r="I86" s="160" t="e">
        <f ca="1">IF($G86="Всього:",SUM($I$4:I85),IF(AND(DAY($C$4)&gt;=15,H86=1),K86+L86,$C$32))</f>
        <v>#VALUE!</v>
      </c>
      <c r="J86" s="160" t="e">
        <f ca="1">IF($G86="Всього:",SUM($J$4:J85),IF(I86-SUM(K86:L86)&lt;0,0,I86-SUM(K86:L86)))</f>
        <v>#VALUE!</v>
      </c>
      <c r="K86" s="160" t="e">
        <f ca="1">IF(G86="Всього:",SUM($K$5:K85),IF(F86&lt;&gt;F85,(F86*O85/36000*(G86-CONCATENATE(DAY($C$4),".",MONTH(G85),".",YEAR(G85)))+(F85*O85/36000*(CONCATENATE(DAY($C$4),".",MONTH(G85),".",YEAR(G85))-G85))),F86*O85/36000*(G86-G85)))</f>
        <v>#VALUE!</v>
      </c>
      <c r="L86" s="160" t="e">
        <f ca="1">IF(G86="Всього:",SUM($L$5:L85),$E$4)</f>
        <v>#VALUE!</v>
      </c>
      <c r="M86" s="160" t="e">
        <f ca="1">IF(G86="Всього:",SUM($M$5:M85),IF($E$5="UAH",J86+L86+K86,J86+K86))</f>
        <v>#VALUE!</v>
      </c>
      <c r="N86" s="160" t="e">
        <f ca="1">IF(G86="Всього:",SUM($N$4:N85),IF($E$5="UAH","",L86))</f>
        <v>#VALUE!</v>
      </c>
      <c r="O86" s="160" t="e">
        <f t="shared" ca="1" si="4"/>
        <v>#VALUE!</v>
      </c>
    </row>
    <row r="87" spans="6:15" x14ac:dyDescent="0.3">
      <c r="F87" s="160" t="e">
        <f t="shared" ca="1" si="5"/>
        <v>#VALUE!</v>
      </c>
      <c r="G87" s="160" t="e">
        <f t="shared" ca="1" si="7"/>
        <v>#VALUE!</v>
      </c>
      <c r="H87" s="160" t="str">
        <f t="shared" ca="1" si="6"/>
        <v/>
      </c>
      <c r="I87" s="160" t="e">
        <f ca="1">IF($G87="Всього:",SUM($I$4:I86),IF(AND(DAY($C$4)&gt;=15,H87=1),K87+L87,$C$32))</f>
        <v>#VALUE!</v>
      </c>
      <c r="J87" s="160" t="e">
        <f ca="1">IF($G87="Всього:",SUM($J$4:J86),IF(I87-SUM(K87:L87)&lt;0,0,I87-SUM(K87:L87)))</f>
        <v>#VALUE!</v>
      </c>
      <c r="K87" s="160" t="e">
        <f ca="1">IF(G87="Всього:",SUM($K$5:K86),IF(F87&lt;&gt;F86,(F87*O86/36000*(G87-CONCATENATE(DAY($C$4),".",MONTH(G86),".",YEAR(G86)))+(F86*O86/36000*(CONCATENATE(DAY($C$4),".",MONTH(G86),".",YEAR(G86))-G86))),F87*O86/36000*(G87-G86)))</f>
        <v>#VALUE!</v>
      </c>
      <c r="L87" s="160" t="e">
        <f ca="1">IF(G87="Всього:",SUM($L$5:L86),$E$4)</f>
        <v>#VALUE!</v>
      </c>
      <c r="M87" s="160" t="e">
        <f ca="1">IF(G87="Всього:",SUM($M$5:M86),IF($E$5="UAH",J87+L87+K87,J87+K87))</f>
        <v>#VALUE!</v>
      </c>
      <c r="N87" s="160" t="e">
        <f ca="1">IF(G87="Всього:",SUM($N$4:N86),IF($E$5="UAH","",L87))</f>
        <v>#VALUE!</v>
      </c>
      <c r="O87" s="160" t="e">
        <f t="shared" ca="1" si="4"/>
        <v>#VALUE!</v>
      </c>
    </row>
    <row r="88" spans="6:15" x14ac:dyDescent="0.3">
      <c r="F88" s="160" t="e">
        <f t="shared" ca="1" si="5"/>
        <v>#VALUE!</v>
      </c>
      <c r="G88" s="160" t="e">
        <f t="shared" ca="1" si="7"/>
        <v>#VALUE!</v>
      </c>
      <c r="H88" s="160" t="str">
        <f t="shared" ca="1" si="6"/>
        <v/>
      </c>
      <c r="I88" s="160" t="e">
        <f ca="1">IF($G88="Всього:",SUM($I$4:I87),IF(AND(DAY($C$4)&gt;=15,H88=1),K88+L88,$C$32))</f>
        <v>#VALUE!</v>
      </c>
      <c r="J88" s="160" t="e">
        <f ca="1">IF($G88="Всього:",SUM($J$4:J87),IF(I88-SUM(K88:L88)&lt;0,0,I88-SUM(K88:L88)))</f>
        <v>#VALUE!</v>
      </c>
      <c r="K88" s="160" t="e">
        <f ca="1">IF(G88="Всього:",SUM($K$5:K87),IF(F88&lt;&gt;F87,(F88*O87/36000*(G88-CONCATENATE(DAY($C$4),".",MONTH(G87),".",YEAR(G87)))+(F87*O87/36000*(CONCATENATE(DAY($C$4),".",MONTH(G87),".",YEAR(G87))-G87))),F88*O87/36000*(G88-G87)))</f>
        <v>#VALUE!</v>
      </c>
      <c r="L88" s="160" t="e">
        <f ca="1">IF(G88="Всього:",SUM($L$5:L87),$E$4)</f>
        <v>#VALUE!</v>
      </c>
      <c r="M88" s="160" t="e">
        <f ca="1">IF(G88="Всього:",SUM($M$5:M87),IF($E$5="UAH",J88+L88+K88,J88+K88))</f>
        <v>#VALUE!</v>
      </c>
      <c r="N88" s="160" t="e">
        <f ca="1">IF(G88="Всього:",SUM($N$4:N87),IF($E$5="UAH","",L88))</f>
        <v>#VALUE!</v>
      </c>
      <c r="O88" s="160" t="e">
        <f t="shared" ca="1" si="4"/>
        <v>#VALUE!</v>
      </c>
    </row>
    <row r="89" spans="6:15" x14ac:dyDescent="0.3">
      <c r="F89" s="160" t="e">
        <f t="shared" ca="1" si="5"/>
        <v>#VALUE!</v>
      </c>
      <c r="G89" s="160" t="e">
        <f t="shared" ca="1" si="7"/>
        <v>#VALUE!</v>
      </c>
      <c r="H89" s="160" t="str">
        <f t="shared" ca="1" si="6"/>
        <v/>
      </c>
      <c r="I89" s="160">
        <v>3795.2158627380263</v>
      </c>
      <c r="J89" s="160" t="e">
        <f ca="1">IF($G89="Всього:",SUM($J$4:J88),IF(I89-SUM(K89:L89)&lt;0,0,I89-SUM(K89:L89)))</f>
        <v>#VALUE!</v>
      </c>
      <c r="K89" s="160" t="e">
        <f ca="1">IF(G89="Всього:",SUM($K$5:K88),IF(F89&lt;&gt;F88,(F89*O88/36000*(G89-CONCATENATE(DAY($C$4),".",MONTH(G88),".",YEAR(G88)))+(F88*O88/36000*(CONCATENATE(DAY($C$4),".",MONTH(G88),".",YEAR(G88))-G88))),F89*O88/36000*(G89-G88)))</f>
        <v>#VALUE!</v>
      </c>
      <c r="L89" s="160" t="e">
        <f ca="1">IF(G89="Всього:",SUM($L$5:L88),$E$4)</f>
        <v>#VALUE!</v>
      </c>
      <c r="M89" s="160" t="e">
        <f ca="1">IF(G89="Всього:",SUM($M$5:M88),IF($E$5="UAH",J89+L89+K89,J89+K89))</f>
        <v>#VALUE!</v>
      </c>
      <c r="N89" s="160" t="e">
        <f ca="1">IF(G89="Всього:",SUM($N$4:N88),IF($E$5="UAH","",L89))</f>
        <v>#VALUE!</v>
      </c>
      <c r="O89" s="160" t="e">
        <f t="shared" ca="1" si="4"/>
        <v>#VALUE!</v>
      </c>
    </row>
    <row r="90" spans="6:15" x14ac:dyDescent="0.3">
      <c r="F90" s="160" t="e">
        <f t="shared" ca="1" si="5"/>
        <v>#VALUE!</v>
      </c>
      <c r="G90" s="160" t="e">
        <f t="shared" ca="1" si="7"/>
        <v>#VALUE!</v>
      </c>
      <c r="H90" s="160" t="str">
        <f t="shared" ca="1" si="6"/>
        <v/>
      </c>
      <c r="I90" s="160" t="e">
        <f ca="1">IF($G90="Всього:",SUM($I$4:I89),IF(AND(DAY($C$4)&gt;=15,H90=1),K90+L90,$C$32))</f>
        <v>#VALUE!</v>
      </c>
      <c r="J90" s="160" t="e">
        <f ca="1">IF($G90="Всього:",SUM($J$4:J89),IF(I90-SUM(K90:L90)&lt;0,0,I90-SUM(K90:L90)))</f>
        <v>#VALUE!</v>
      </c>
      <c r="K90" s="160" t="e">
        <f ca="1">IF(G90="Всього:",SUM($K$5:K89),IF(F90&lt;&gt;F89,(F90*O89/36000*(G90-CONCATENATE(DAY($C$4),".",MONTH(G89),".",YEAR(G89)))+(F89*O89/36000*(CONCATENATE(DAY($C$4),".",MONTH(G89),".",YEAR(G89))-G89))),F90*O89/36000*(G90-G89)))</f>
        <v>#VALUE!</v>
      </c>
      <c r="L90" s="160" t="e">
        <f ca="1">IF(G90="Всього:",SUM($L$5:L89),$E$4)</f>
        <v>#VALUE!</v>
      </c>
      <c r="M90" s="160" t="e">
        <f ca="1">IF(G90="Всього:",SUM($M$5:M89),IF($E$5="UAH",J90+L90+K90,J90+K90))</f>
        <v>#VALUE!</v>
      </c>
      <c r="N90" s="160" t="e">
        <f ca="1">IF(G90="Всього:",SUM($N$4:N89),IF($E$5="UAH","",L90))</f>
        <v>#VALUE!</v>
      </c>
      <c r="O90" s="160" t="e">
        <f t="shared" ca="1" si="4"/>
        <v>#VALUE!</v>
      </c>
    </row>
    <row r="91" spans="6:15" x14ac:dyDescent="0.3">
      <c r="F91" s="160" t="e">
        <f t="shared" ca="1" si="5"/>
        <v>#VALUE!</v>
      </c>
      <c r="G91" s="160" t="e">
        <f t="shared" ca="1" si="7"/>
        <v>#VALUE!</v>
      </c>
      <c r="H91" s="160" t="str">
        <f t="shared" ca="1" si="6"/>
        <v/>
      </c>
      <c r="I91" s="160" t="e">
        <f ca="1">IF($G91="Всього:",SUM($I$4:I90),IF(AND(DAY($C$4)&gt;=15,H91=1),K91+L91,$C$32))</f>
        <v>#VALUE!</v>
      </c>
      <c r="J91" s="160" t="e">
        <f ca="1">IF($G91="Всього:",SUM($J$4:J90),IF(I91-SUM(K91:L91)&lt;0,0,I91-SUM(K91:L91)))</f>
        <v>#VALUE!</v>
      </c>
      <c r="K91" s="160" t="e">
        <f ca="1">IF(G91="Всього:",SUM($K$5:K90),IF(F91&lt;&gt;F90,(F91*O90/36000*(G91-CONCATENATE(DAY($C$4),".",MONTH(G90),".",YEAR(G90)))+(F90*O90/36000*(CONCATENATE(DAY($C$4),".",MONTH(G90),".",YEAR(G90))-G90))),F91*O90/36000*(G91-G90)))</f>
        <v>#VALUE!</v>
      </c>
      <c r="L91" s="160" t="e">
        <f ca="1">IF(G91="Всього:",SUM($L$5:L90),$E$4)</f>
        <v>#VALUE!</v>
      </c>
      <c r="M91" s="160" t="e">
        <f ca="1">IF(G91="Всього:",SUM($M$5:M90),IF($E$5="UAH",J91+L91+K91,J91+K91))</f>
        <v>#VALUE!</v>
      </c>
      <c r="N91" s="160" t="e">
        <f ca="1">IF(G91="Всього:",SUM($N$4:N90),IF($E$5="UAH","",L91))</f>
        <v>#VALUE!</v>
      </c>
      <c r="O91" s="160" t="e">
        <f t="shared" ca="1" si="4"/>
        <v>#VALUE!</v>
      </c>
    </row>
    <row r="92" spans="6:15" x14ac:dyDescent="0.3">
      <c r="F92" s="160" t="e">
        <f t="shared" ca="1" si="5"/>
        <v>#VALUE!</v>
      </c>
      <c r="G92" s="160" t="e">
        <f t="shared" ca="1" si="7"/>
        <v>#VALUE!</v>
      </c>
      <c r="H92" s="160" t="str">
        <f t="shared" ca="1" si="6"/>
        <v/>
      </c>
      <c r="I92" s="160" t="e">
        <f ca="1">IF($G92="Всього:",SUM($I$4:I91),IF(AND(DAY($C$4)&gt;=15,H92=1),K92+L92,$C$32))</f>
        <v>#VALUE!</v>
      </c>
      <c r="J92" s="160" t="e">
        <f ca="1">IF($G92="Всього:",SUM($J$4:J91),IF(I92-SUM(K92:L92)&lt;0,0,I92-SUM(K92:L92)))</f>
        <v>#VALUE!</v>
      </c>
      <c r="K92" s="160" t="e">
        <f ca="1">IF(G92="Всього:",SUM($K$5:K91),IF(F92&lt;&gt;F91,(F92*O91/36000*(G92-CONCATENATE(DAY($C$4),".",MONTH(G91),".",YEAR(G91)))+(F91*O91/36000*(CONCATENATE(DAY($C$4),".",MONTH(G91),".",YEAR(G91))-G91))),F92*O91/36000*(G92-G91)))</f>
        <v>#VALUE!</v>
      </c>
      <c r="L92" s="160" t="e">
        <f ca="1">IF(G92="Всього:",SUM($L$5:L91),$E$4)</f>
        <v>#VALUE!</v>
      </c>
      <c r="M92" s="160" t="e">
        <f ca="1">IF(G92="Всього:",SUM($M$5:M91),IF($E$5="UAH",J92+L92+K92,J92+K92))</f>
        <v>#VALUE!</v>
      </c>
      <c r="N92" s="160" t="e">
        <f ca="1">IF(G92="Всього:",SUM($N$4:N91),IF($E$5="UAH","",L92))</f>
        <v>#VALUE!</v>
      </c>
      <c r="O92" s="160" t="e">
        <f t="shared" ca="1" si="4"/>
        <v>#VALUE!</v>
      </c>
    </row>
    <row r="93" spans="6:15" x14ac:dyDescent="0.3">
      <c r="F93" s="160" t="e">
        <f t="shared" ca="1" si="5"/>
        <v>#VALUE!</v>
      </c>
      <c r="G93" s="160" t="e">
        <f t="shared" ca="1" si="7"/>
        <v>#VALUE!</v>
      </c>
      <c r="H93" s="160" t="str">
        <f t="shared" ca="1" si="6"/>
        <v/>
      </c>
      <c r="I93" s="160" t="e">
        <f ca="1">IF($G93="Всього:",SUM($I$4:I92),IF(AND(DAY($C$4)&gt;=15,H93=1),K93+L93,$C$32))</f>
        <v>#VALUE!</v>
      </c>
      <c r="J93" s="160" t="e">
        <f ca="1">IF($G93="Всього:",SUM($J$4:J92),IF(I93-SUM(K93:L93)&lt;0,0,I93-SUM(K93:L93)))</f>
        <v>#VALUE!</v>
      </c>
      <c r="K93" s="160" t="e">
        <f ca="1">IF(G93="Всього:",SUM($K$5:K92),IF(F93&lt;&gt;F92,(F93*O92/36000*(G93-CONCATENATE(DAY($C$4),".",MONTH(G92),".",YEAR(G92)))+(F92*O92/36000*(CONCATENATE(DAY($C$4),".",MONTH(G92),".",YEAR(G92))-G92))),F93*O92/36000*(G93-G92)))</f>
        <v>#VALUE!</v>
      </c>
      <c r="L93" s="160" t="e">
        <f ca="1">IF(G93="Всього:",SUM($L$5:L92),$E$4)</f>
        <v>#VALUE!</v>
      </c>
      <c r="M93" s="160" t="e">
        <f ca="1">IF(G93="Всього:",SUM($M$5:M92),IF($E$5="UAH",J93+L93+K93,J93+K93))</f>
        <v>#VALUE!</v>
      </c>
      <c r="N93" s="160" t="e">
        <f ca="1">IF(G93="Всього:",SUM($N$4:N92),IF($E$5="UAH","",L93))</f>
        <v>#VALUE!</v>
      </c>
      <c r="O93" s="160" t="e">
        <f t="shared" ca="1" si="4"/>
        <v>#VALUE!</v>
      </c>
    </row>
    <row r="94" spans="6:15" x14ac:dyDescent="0.3">
      <c r="F94" s="160" t="e">
        <f t="shared" ca="1" si="5"/>
        <v>#VALUE!</v>
      </c>
      <c r="G94" s="160" t="e">
        <f t="shared" ca="1" si="7"/>
        <v>#VALUE!</v>
      </c>
      <c r="H94" s="160" t="str">
        <f t="shared" ca="1" si="6"/>
        <v/>
      </c>
      <c r="I94" s="160" t="e">
        <f ca="1">IF($G94="Всього:",SUM($I$4:I93),IF(AND(DAY($C$4)&gt;=15,H94=1),K94+L94,$C$32))</f>
        <v>#VALUE!</v>
      </c>
      <c r="J94" s="160" t="e">
        <f ca="1">IF($G94="Всього:",SUM($J$4:J93),IF(I94-SUM(K94:L94)&lt;0,0,I94-SUM(K94:L94)))</f>
        <v>#VALUE!</v>
      </c>
      <c r="K94" s="160" t="e">
        <f ca="1">IF(G94="Всього:",SUM($K$5:K93),IF(F94&lt;&gt;F93,(F94*O93/36000*(G94-CONCATENATE(DAY($C$4),".",MONTH(G93),".",YEAR(G93)))+(F93*O93/36000*(CONCATENATE(DAY($C$4),".",MONTH(G93),".",YEAR(G93))-G93))),F94*O93/36000*(G94-G93)))</f>
        <v>#VALUE!</v>
      </c>
      <c r="L94" s="160" t="e">
        <f ca="1">IF(G94="Всього:",SUM($L$5:L93),$E$4)</f>
        <v>#VALUE!</v>
      </c>
      <c r="M94" s="160" t="e">
        <f ca="1">IF(G94="Всього:",SUM($M$5:M93),IF($E$5="UAH",J94+L94+K94,J94+K94))</f>
        <v>#VALUE!</v>
      </c>
      <c r="N94" s="160" t="e">
        <f ca="1">IF(G94="Всього:",SUM($N$4:N93),IF($E$5="UAH","",L94))</f>
        <v>#VALUE!</v>
      </c>
      <c r="O94" s="160" t="e">
        <f t="shared" ca="1" si="4"/>
        <v>#VALUE!</v>
      </c>
    </row>
    <row r="95" spans="6:15" x14ac:dyDescent="0.3">
      <c r="F95" s="160" t="e">
        <f t="shared" ca="1" si="5"/>
        <v>#VALUE!</v>
      </c>
      <c r="G95" s="160" t="e">
        <f t="shared" ca="1" si="7"/>
        <v>#VALUE!</v>
      </c>
      <c r="H95" s="160" t="str">
        <f t="shared" ca="1" si="6"/>
        <v/>
      </c>
      <c r="I95" s="160" t="e">
        <f ca="1">IF($G95="Всього:",SUM($I$4:I94),IF(AND(DAY($C$4)&gt;=15,H95=1),K95+L95,$C$32))</f>
        <v>#VALUE!</v>
      </c>
      <c r="J95" s="160" t="e">
        <f ca="1">IF($G95="Всього:",SUM($J$4:J94),IF(I95-SUM(K95:L95)&lt;0,0,I95-SUM(K95:L95)))</f>
        <v>#VALUE!</v>
      </c>
      <c r="K95" s="160" t="e">
        <f ca="1">IF(G95="Всього:",SUM($K$5:K94),IF(F95&lt;&gt;F94,(F95*O94/36000*(G95-CONCATENATE(DAY($C$4),".",MONTH(G94),".",YEAR(G94)))+(F94*O94/36000*(CONCATENATE(DAY($C$4),".",MONTH(G94),".",YEAR(G94))-G94))),F95*O94/36000*(G95-G94)))</f>
        <v>#VALUE!</v>
      </c>
      <c r="L95" s="160" t="e">
        <f ca="1">IF(G95="Всього:",SUM($L$5:L94),$E$4)</f>
        <v>#VALUE!</v>
      </c>
      <c r="M95" s="160" t="e">
        <f ca="1">IF(G95="Всього:",SUM($M$5:M94),IF($E$5="UAH",J95+L95+K95,J95+K95))</f>
        <v>#VALUE!</v>
      </c>
      <c r="N95" s="160" t="e">
        <f ca="1">IF(G95="Всього:",SUM($N$4:N94),IF($E$5="UAH","",L95))</f>
        <v>#VALUE!</v>
      </c>
      <c r="O95" s="160" t="e">
        <f t="shared" ca="1" si="4"/>
        <v>#VALUE!</v>
      </c>
    </row>
    <row r="96" spans="6:15" x14ac:dyDescent="0.3">
      <c r="F96" s="160" t="e">
        <f t="shared" ca="1" si="5"/>
        <v>#VALUE!</v>
      </c>
      <c r="G96" s="160" t="e">
        <f t="shared" ca="1" si="7"/>
        <v>#VALUE!</v>
      </c>
      <c r="H96" s="160" t="str">
        <f t="shared" ca="1" si="6"/>
        <v/>
      </c>
      <c r="I96" s="160" t="e">
        <f ca="1">IF($G96="Всього:",SUM($I$4:I95),IF(AND(DAY($C$4)&gt;=15,H96=1),K96+L96,$C$32))</f>
        <v>#VALUE!</v>
      </c>
      <c r="J96" s="160" t="e">
        <f ca="1">IF($G96="Всього:",SUM($J$4:J95),IF(I96-SUM(K96:L96)&lt;0,0,I96-SUM(K96:L96)))</f>
        <v>#VALUE!</v>
      </c>
      <c r="K96" s="160" t="e">
        <f ca="1">IF(G96="Всього:",SUM($K$5:K95),IF(F96&lt;&gt;F95,(F96*O95/36000*(G96-CONCATENATE(DAY($C$4),".",MONTH(G95),".",YEAR(G95)))+(F95*O95/36000*(CONCATENATE(DAY($C$4),".",MONTH(G95),".",YEAR(G95))-G95))),F96*O95/36000*(G96-G95)))</f>
        <v>#VALUE!</v>
      </c>
      <c r="L96" s="160" t="e">
        <f ca="1">IF(G96="Всього:",SUM($L$5:L95),$E$4)</f>
        <v>#VALUE!</v>
      </c>
      <c r="M96" s="160" t="e">
        <f ca="1">IF(G96="Всього:",SUM($M$5:M95),IF($E$5="UAH",J96+L96+K96,J96+K96))</f>
        <v>#VALUE!</v>
      </c>
      <c r="N96" s="160" t="e">
        <f ca="1">IF(G96="Всього:",SUM($N$4:N95),IF($E$5="UAH","",L96))</f>
        <v>#VALUE!</v>
      </c>
      <c r="O96" s="160" t="e">
        <f t="shared" ca="1" si="4"/>
        <v>#VALUE!</v>
      </c>
    </row>
    <row r="97" spans="6:15" x14ac:dyDescent="0.3">
      <c r="F97" s="160" t="e">
        <f t="shared" ca="1" si="5"/>
        <v>#VALUE!</v>
      </c>
      <c r="G97" s="160" t="e">
        <f t="shared" ca="1" si="7"/>
        <v>#VALUE!</v>
      </c>
      <c r="H97" s="160" t="str">
        <f t="shared" ca="1" si="6"/>
        <v/>
      </c>
      <c r="I97" s="160" t="e">
        <f ca="1">IF($G97="Всього:",SUM($I$4:I96),IF(AND(DAY($C$4)&gt;=15,H97=1),K97+L97,$C$32))</f>
        <v>#VALUE!</v>
      </c>
      <c r="J97" s="160" t="e">
        <f ca="1">IF($G97="Всього:",SUM($J$4:J96),IF(I97-SUM(K97:L97)&lt;0,0,I97-SUM(K97:L97)))</f>
        <v>#VALUE!</v>
      </c>
      <c r="K97" s="160" t="e">
        <f ca="1">IF(G97="Всього:",SUM($K$5:K96),IF(F97&lt;&gt;F96,(F97*O96/36000*(G97-CONCATENATE(DAY($C$4),".",MONTH(G96),".",YEAR(G96)))+(F96*O96/36000*(CONCATENATE(DAY($C$4),".",MONTH(G96),".",YEAR(G96))-G96))),F97*O96/36000*(G97-G96)))</f>
        <v>#VALUE!</v>
      </c>
      <c r="L97" s="160" t="e">
        <f ca="1">IF(G97="Всього:",SUM($L$5:L96),$E$4)</f>
        <v>#VALUE!</v>
      </c>
      <c r="M97" s="160" t="e">
        <f ca="1">IF(G97="Всього:",SUM($M$5:M96),IF($E$5="UAH",J97+L97+K97,J97+K97))</f>
        <v>#VALUE!</v>
      </c>
      <c r="N97" s="160" t="e">
        <f ca="1">IF(G97="Всього:",SUM($N$4:N96),IF($E$5="UAH","",L97))</f>
        <v>#VALUE!</v>
      </c>
      <c r="O97" s="160" t="e">
        <f t="shared" ca="1" si="4"/>
        <v>#VALUE!</v>
      </c>
    </row>
    <row r="98" spans="6:15" x14ac:dyDescent="0.3">
      <c r="F98" s="160" t="e">
        <f t="shared" ca="1" si="5"/>
        <v>#VALUE!</v>
      </c>
      <c r="G98" s="160" t="e">
        <f t="shared" ca="1" si="7"/>
        <v>#VALUE!</v>
      </c>
      <c r="H98" s="160" t="str">
        <f t="shared" ca="1" si="6"/>
        <v/>
      </c>
      <c r="I98" s="160" t="e">
        <f ca="1">IF($G98="Всього:",SUM($I$4:I97),IF(AND(DAY($C$4)&gt;=15,H98=1),K98+L98,$C$32))</f>
        <v>#VALUE!</v>
      </c>
      <c r="J98" s="160" t="e">
        <f ca="1">IF($G98="Всього:",SUM($J$4:J97),IF(I98-SUM(K98:L98)&lt;0,0,I98-SUM(K98:L98)))</f>
        <v>#VALUE!</v>
      </c>
      <c r="K98" s="160" t="e">
        <f ca="1">IF(G98="Всього:",SUM($K$5:K97),IF(F98&lt;&gt;F97,(F98*O97/36000*(G98-CONCATENATE(DAY($C$4),".",MONTH(G97),".",YEAR(G97)))+(F97*O97/36000*(CONCATENATE(DAY($C$4),".",MONTH(G97),".",YEAR(G97))-G97))),F98*O97/36000*(G98-G97)))</f>
        <v>#VALUE!</v>
      </c>
      <c r="L98" s="160" t="e">
        <f ca="1">IF(G98="Всього:",SUM($L$5:L97),$E$4)</f>
        <v>#VALUE!</v>
      </c>
      <c r="M98" s="160" t="e">
        <f ca="1">IF(G98="Всього:",SUM($M$5:M97),IF($E$5="UAH",J98+L98+K98,J98+K98))</f>
        <v>#VALUE!</v>
      </c>
      <c r="N98" s="160" t="e">
        <f ca="1">IF(G98="Всього:",SUM($N$4:N97),IF($E$5="UAH","",L98))</f>
        <v>#VALUE!</v>
      </c>
      <c r="O98" s="160" t="e">
        <f t="shared" ca="1" si="4"/>
        <v>#VALUE!</v>
      </c>
    </row>
    <row r="99" spans="6:15" x14ac:dyDescent="0.3">
      <c r="F99" s="160" t="e">
        <f t="shared" ca="1" si="5"/>
        <v>#VALUE!</v>
      </c>
      <c r="G99" s="160" t="e">
        <f t="shared" ca="1" si="7"/>
        <v>#VALUE!</v>
      </c>
      <c r="H99" s="160" t="str">
        <f t="shared" ca="1" si="6"/>
        <v/>
      </c>
      <c r="I99" s="160" t="e">
        <f ca="1">IF($G99="Всього:",SUM($I$4:I98),IF(AND(DAY($C$4)&gt;=15,H99=1),K99+L99,$C$32))</f>
        <v>#VALUE!</v>
      </c>
      <c r="J99" s="160" t="e">
        <f ca="1">IF($G99="Всього:",SUM($J$4:J98),IF(I99-SUM(K99:L99)&lt;0,0,I99-SUM(K99:L99)))</f>
        <v>#VALUE!</v>
      </c>
      <c r="K99" s="160" t="e">
        <f ca="1">IF(G99="Всього:",SUM($K$5:K98),IF(F99&lt;&gt;F98,(F99*O98/36000*(G99-CONCATENATE(DAY($C$4),".",MONTH(G98),".",YEAR(G98)))+(F98*O98/36000*(CONCATENATE(DAY($C$4),".",MONTH(G98),".",YEAR(G98))-G98))),F99*O98/36000*(G99-G98)))</f>
        <v>#VALUE!</v>
      </c>
      <c r="L99" s="160" t="e">
        <f ca="1">IF(G99="Всього:",SUM($L$5:L98),$E$4)</f>
        <v>#VALUE!</v>
      </c>
      <c r="M99" s="160" t="e">
        <f ca="1">IF(G99="Всього:",SUM($M$5:M98),IF($E$5="UAH",J99+L99+K99,J99+K99))</f>
        <v>#VALUE!</v>
      </c>
      <c r="N99" s="160" t="e">
        <f ca="1">IF(G99="Всього:",SUM($N$4:N98),IF($E$5="UAH","",L99))</f>
        <v>#VALUE!</v>
      </c>
      <c r="O99" s="160" t="e">
        <f t="shared" ca="1" si="4"/>
        <v>#VALUE!</v>
      </c>
    </row>
    <row r="100" spans="6:15" x14ac:dyDescent="0.3">
      <c r="F100" s="160" t="e">
        <f t="shared" ca="1" si="5"/>
        <v>#VALUE!</v>
      </c>
      <c r="G100" s="160" t="e">
        <f t="shared" ca="1" si="7"/>
        <v>#VALUE!</v>
      </c>
      <c r="H100" s="160" t="str">
        <f t="shared" ca="1" si="6"/>
        <v/>
      </c>
      <c r="I100" s="160" t="e">
        <f ca="1">IF($G100="Всього:",SUM($I$4:I99),IF(AND(DAY($C$4)&gt;=15,H100=1),K100+L100,$C$32))</f>
        <v>#VALUE!</v>
      </c>
      <c r="J100" s="160" t="e">
        <f ca="1">IF($G100="Всього:",SUM($J$4:J99),IF(I100-SUM(K100:L100)&lt;0,0,I100-SUM(K100:L100)))</f>
        <v>#VALUE!</v>
      </c>
      <c r="K100" s="160" t="e">
        <f ca="1">IF(G100="Всього:",SUM($K$5:K99),IF(F100&lt;&gt;F99,(F100*O99/36000*(G100-CONCATENATE(DAY($C$4),".",MONTH(G99),".",YEAR(G99)))+(F99*O99/36000*(CONCATENATE(DAY($C$4),".",MONTH(G99),".",YEAR(G99))-G99))),F100*O99/36000*(G100-G99)))</f>
        <v>#VALUE!</v>
      </c>
      <c r="L100" s="160" t="e">
        <f ca="1">IF(G100="Всього:",SUM($L$5:L99),$E$4)</f>
        <v>#VALUE!</v>
      </c>
      <c r="M100" s="160" t="e">
        <f ca="1">IF(G100="Всього:",SUM($M$5:M99),IF($E$5="UAH",J100+L100+K100,J100+K100))</f>
        <v>#VALUE!</v>
      </c>
      <c r="N100" s="160" t="e">
        <f ca="1">IF(G100="Всього:",SUM($N$4:N99),IF($E$5="UAH","",L100))</f>
        <v>#VALUE!</v>
      </c>
      <c r="O100" s="160" t="e">
        <f t="shared" ca="1" si="4"/>
        <v>#VALUE!</v>
      </c>
    </row>
    <row r="101" spans="6:15" x14ac:dyDescent="0.3">
      <c r="F101" s="160" t="e">
        <f t="shared" ca="1" si="5"/>
        <v>#VALUE!</v>
      </c>
      <c r="G101" s="160" t="e">
        <f t="shared" ca="1" si="7"/>
        <v>#VALUE!</v>
      </c>
      <c r="H101" s="160" t="str">
        <f t="shared" ca="1" si="6"/>
        <v/>
      </c>
      <c r="I101" s="160" t="e">
        <f ca="1">IF($G101="Всього:",SUM($I$4:I100),IF(AND(DAY($C$4)&gt;=15,H101=1),K101+L101,$C$32))</f>
        <v>#VALUE!</v>
      </c>
      <c r="J101" s="160" t="e">
        <f ca="1">IF($G101="Всього:",SUM($J$4:J100),IF(I101-SUM(K101:L101)&lt;0,0,I101-SUM(K101:L101)))</f>
        <v>#VALUE!</v>
      </c>
      <c r="K101" s="160" t="e">
        <f ca="1">IF(G101="Всього:",SUM($K$5:K100),IF(F101&lt;&gt;F100,(F101*O100/36000*(G101-CONCATENATE(DAY($C$4),".",MONTH(G100),".",YEAR(G100)))+(F100*O100/36000*(CONCATENATE(DAY($C$4),".",MONTH(G100),".",YEAR(G100))-G100))),F101*O100/36000*(G101-G100)))</f>
        <v>#VALUE!</v>
      </c>
      <c r="L101" s="160" t="e">
        <f ca="1">IF(G101="Всього:",SUM($L$5:L100),$E$4)</f>
        <v>#VALUE!</v>
      </c>
      <c r="M101" s="160" t="e">
        <f ca="1">IF(G101="Всього:",SUM($M$5:M100),IF($E$5="UAH",J101+L101+K101,J101+K101))</f>
        <v>#VALUE!</v>
      </c>
      <c r="N101" s="160" t="e">
        <f ca="1">IF(G101="Всього:",SUM($N$4:N100),IF($E$5="UAH","",L101))</f>
        <v>#VALUE!</v>
      </c>
      <c r="O101" s="160" t="e">
        <f t="shared" ca="1" si="4"/>
        <v>#VALUE!</v>
      </c>
    </row>
    <row r="102" spans="6:15" x14ac:dyDescent="0.3">
      <c r="F102" s="160" t="e">
        <f t="shared" ca="1" si="5"/>
        <v>#VALUE!</v>
      </c>
      <c r="G102" s="160" t="e">
        <f t="shared" ca="1" si="7"/>
        <v>#VALUE!</v>
      </c>
      <c r="H102" s="160" t="str">
        <f t="shared" ca="1" si="6"/>
        <v/>
      </c>
      <c r="I102" s="160" t="e">
        <f ca="1">IF($G102="Всього:",SUM($I$4:I101),IF(AND(DAY($C$4)&gt;=15,H102=1),K102+L102,$C$32))</f>
        <v>#VALUE!</v>
      </c>
      <c r="J102" s="160" t="e">
        <f ca="1">IF($G102="Всього:",SUM($J$4:J101),IF(I102-SUM(K102:L102)&lt;0,0,I102-SUM(K102:L102)))</f>
        <v>#VALUE!</v>
      </c>
      <c r="K102" s="160" t="e">
        <f ca="1">IF(G102="Всього:",SUM($K$5:K101),IF(F102&lt;&gt;F101,(F102*O101/36000*(G102-CONCATENATE(DAY($C$4),".",MONTH(G101),".",YEAR(G101)))+(F101*O101/36000*(CONCATENATE(DAY($C$4),".",MONTH(G101),".",YEAR(G101))-G101))),F102*O101/36000*(G102-G101)))</f>
        <v>#VALUE!</v>
      </c>
      <c r="L102" s="160" t="e">
        <f ca="1">IF(G102="Всього:",SUM($L$5:L101),$E$4)</f>
        <v>#VALUE!</v>
      </c>
      <c r="M102" s="160" t="e">
        <f ca="1">IF(G102="Всього:",SUM($M$5:M101),IF($E$5="UAH",J102+L102+K102,J102+K102))</f>
        <v>#VALUE!</v>
      </c>
      <c r="N102" s="160" t="e">
        <f ca="1">IF(G102="Всього:",SUM($N$4:N101),IF($E$5="UAH","",L102))</f>
        <v>#VALUE!</v>
      </c>
      <c r="O102" s="160" t="e">
        <f t="shared" ca="1" si="4"/>
        <v>#VALUE!</v>
      </c>
    </row>
    <row r="103" spans="6:15" x14ac:dyDescent="0.3">
      <c r="F103" s="160" t="e">
        <f t="shared" ca="1" si="5"/>
        <v>#VALUE!</v>
      </c>
      <c r="G103" s="160" t="e">
        <f t="shared" ca="1" si="7"/>
        <v>#VALUE!</v>
      </c>
      <c r="H103" s="160" t="str">
        <f t="shared" ca="1" si="6"/>
        <v/>
      </c>
      <c r="I103" s="160" t="e">
        <f ca="1">IF($G103="Всього:",SUM($I$4:I102),IF(AND(DAY($C$4)&gt;=15,H103=1),K103+L103,$C$32))</f>
        <v>#VALUE!</v>
      </c>
      <c r="J103" s="160" t="e">
        <f ca="1">IF($G103="Всього:",SUM($J$4:J102),IF(I103-SUM(K103:L103)&lt;0,0,I103-SUM(K103:L103)))</f>
        <v>#VALUE!</v>
      </c>
      <c r="K103" s="160" t="e">
        <f ca="1">IF(G103="Всього:",SUM($K$5:K102),IF(F103&lt;&gt;F102,(F103*O102/36000*(G103-CONCATENATE(DAY($C$4),".",MONTH(G102),".",YEAR(G102)))+(F102*O102/36000*(CONCATENATE(DAY($C$4),".",MONTH(G102),".",YEAR(G102))-G102))),F103*O102/36000*(G103-G102)))</f>
        <v>#VALUE!</v>
      </c>
      <c r="L103" s="160" t="e">
        <f ca="1">IF(G103="Всього:",SUM($L$5:L102),$E$4)</f>
        <v>#VALUE!</v>
      </c>
      <c r="M103" s="160" t="e">
        <f ca="1">IF(G103="Всього:",SUM($M$5:M102),IF($E$5="UAH",J103+L103+K103,J103+K103))</f>
        <v>#VALUE!</v>
      </c>
      <c r="N103" s="160" t="e">
        <f ca="1">IF(G103="Всього:",SUM($N$4:N102),IF($E$5="UAH","",L103))</f>
        <v>#VALUE!</v>
      </c>
      <c r="O103" s="160" t="e">
        <f t="shared" ca="1" si="4"/>
        <v>#VALUE!</v>
      </c>
    </row>
    <row r="104" spans="6:15" x14ac:dyDescent="0.3">
      <c r="F104" s="160" t="e">
        <f t="shared" ca="1" si="5"/>
        <v>#VALUE!</v>
      </c>
      <c r="G104" s="160" t="e">
        <f t="shared" ca="1" si="7"/>
        <v>#VALUE!</v>
      </c>
      <c r="H104" s="160" t="str">
        <f t="shared" ca="1" si="6"/>
        <v/>
      </c>
      <c r="I104" s="160" t="e">
        <f ca="1">IF($G104="Всього:",SUM($I$4:I103),IF(AND(DAY($C$4)&gt;=15,H104=1),K104+L104,$C$32))</f>
        <v>#VALUE!</v>
      </c>
      <c r="J104" s="160" t="e">
        <f ca="1">IF($G104="Всього:",SUM($J$4:J103),IF(I104-SUM(K104:L104)&lt;0,0,I104-SUM(K104:L104)))</f>
        <v>#VALUE!</v>
      </c>
      <c r="K104" s="160" t="e">
        <f ca="1">IF(G104="Всього:",SUM($K$5:K103),IF(F104&lt;&gt;F103,(F104*O103/36000*(G104-CONCATENATE(DAY($C$4),".",MONTH(G103),".",YEAR(G103)))+(F103*O103/36000*(CONCATENATE(DAY($C$4),".",MONTH(G103),".",YEAR(G103))-G103))),F104*O103/36000*(G104-G103)))</f>
        <v>#VALUE!</v>
      </c>
      <c r="L104" s="160" t="e">
        <f ca="1">IF(G104="Всього:",SUM($L$5:L103),$E$4)</f>
        <v>#VALUE!</v>
      </c>
      <c r="M104" s="160" t="e">
        <f ca="1">IF(G104="Всього:",SUM($M$5:M103),IF($E$5="UAH",J104+L104+K104,J104+K104))</f>
        <v>#VALUE!</v>
      </c>
      <c r="N104" s="160" t="e">
        <f ca="1">IF(G104="Всього:",SUM($N$4:N103),IF($E$5="UAH","",L104))</f>
        <v>#VALUE!</v>
      </c>
      <c r="O104" s="160" t="e">
        <f t="shared" ca="1" si="4"/>
        <v>#VALUE!</v>
      </c>
    </row>
    <row r="105" spans="6:15" x14ac:dyDescent="0.3">
      <c r="F105" s="160" t="e">
        <f t="shared" ca="1" si="5"/>
        <v>#VALUE!</v>
      </c>
      <c r="G105" s="160" t="e">
        <f t="shared" ca="1" si="7"/>
        <v>#VALUE!</v>
      </c>
      <c r="H105" s="160" t="str">
        <f t="shared" ca="1" si="6"/>
        <v/>
      </c>
      <c r="I105" s="160" t="e">
        <f ca="1">IF($G105="Всього:",SUM($I$4:I104),IF(AND(DAY($C$4)&gt;=15,H105=1),K105+L105,$C$32))</f>
        <v>#VALUE!</v>
      </c>
      <c r="J105" s="160" t="e">
        <f ca="1">IF($G105="Всього:",SUM($J$4:J104),IF(I105-SUM(K105:L105)&lt;0,0,I105-SUM(K105:L105)))</f>
        <v>#VALUE!</v>
      </c>
      <c r="K105" s="160" t="e">
        <f ca="1">IF(G105="Всього:",SUM($K$5:K104),IF(F105&lt;&gt;F104,(F105*O104/36000*(G105-CONCATENATE(DAY($C$4),".",MONTH(G104),".",YEAR(G104)))+(F104*O104/36000*(CONCATENATE(DAY($C$4),".",MONTH(G104),".",YEAR(G104))-G104))),F105*O104/36000*(G105-G104)))</f>
        <v>#VALUE!</v>
      </c>
      <c r="L105" s="160" t="e">
        <f ca="1">IF(G105="Всього:",SUM($L$5:L104),$E$4)</f>
        <v>#VALUE!</v>
      </c>
      <c r="M105" s="160" t="e">
        <f ca="1">IF(G105="Всього:",SUM($M$5:M104),IF($E$5="UAH",J105+L105+K105,J105+K105))</f>
        <v>#VALUE!</v>
      </c>
      <c r="N105" s="160" t="e">
        <f ca="1">IF(G105="Всього:",SUM($N$4:N104),IF($E$5="UAH","",L105))</f>
        <v>#VALUE!</v>
      </c>
      <c r="O105" s="160" t="e">
        <f t="shared" ca="1" si="4"/>
        <v>#VALUE!</v>
      </c>
    </row>
    <row r="106" spans="6:15" x14ac:dyDescent="0.3">
      <c r="F106" s="160" t="e">
        <f t="shared" ca="1" si="5"/>
        <v>#VALUE!</v>
      </c>
      <c r="G106" s="160" t="e">
        <f t="shared" ca="1" si="7"/>
        <v>#VALUE!</v>
      </c>
      <c r="H106" s="160" t="str">
        <f t="shared" ca="1" si="6"/>
        <v/>
      </c>
      <c r="I106" s="160" t="e">
        <f ca="1">IF($G106="Всього:",SUM($I$4:I105),IF(AND(DAY($C$4)&gt;=15,H106=1),K106+L106,$C$32))</f>
        <v>#VALUE!</v>
      </c>
      <c r="J106" s="160" t="e">
        <f ca="1">IF($G106="Всього:",SUM($J$4:J105),IF(I106-SUM(K106:L106)&lt;0,0,I106-SUM(K106:L106)))</f>
        <v>#VALUE!</v>
      </c>
      <c r="K106" s="160" t="e">
        <f ca="1">IF(G106="Всього:",SUM($K$5:K105),IF(F106&lt;&gt;F105,(F106*O105/36000*(G106-CONCATENATE(DAY($C$4),".",MONTH(G105),".",YEAR(G105)))+(F105*O105/36000*(CONCATENATE(DAY($C$4),".",MONTH(G105),".",YEAR(G105))-G105))),F106*O105/36000*(G106-G105)))</f>
        <v>#VALUE!</v>
      </c>
      <c r="L106" s="160" t="e">
        <f ca="1">IF(G106="Всього:",SUM($L$5:L105),$E$4)</f>
        <v>#VALUE!</v>
      </c>
      <c r="M106" s="160" t="e">
        <f ca="1">IF(G106="Всього:",SUM($M$5:M105),IF($E$5="UAH",J106+L106+K106,J106+K106))</f>
        <v>#VALUE!</v>
      </c>
      <c r="N106" s="160" t="e">
        <f ca="1">IF(G106="Всього:",SUM($N$4:N105),IF($E$5="UAH","",L106))</f>
        <v>#VALUE!</v>
      </c>
      <c r="O106" s="160" t="e">
        <f t="shared" ca="1" si="4"/>
        <v>#VALUE!</v>
      </c>
    </row>
    <row r="107" spans="6:15" x14ac:dyDescent="0.3">
      <c r="F107" s="160" t="e">
        <f t="shared" ca="1" si="5"/>
        <v>#VALUE!</v>
      </c>
      <c r="G107" s="160" t="e">
        <f t="shared" ca="1" si="7"/>
        <v>#VALUE!</v>
      </c>
      <c r="H107" s="160" t="str">
        <f t="shared" ca="1" si="6"/>
        <v/>
      </c>
      <c r="I107" s="160" t="e">
        <f ca="1">IF($G107="Всього:",SUM($I$4:I106),IF(AND(DAY($C$4)&gt;=15,H107=1),K107+L107,$C$32))</f>
        <v>#VALUE!</v>
      </c>
      <c r="J107" s="160" t="e">
        <f ca="1">IF($G107="Всього:",SUM($J$4:J106),IF(I107-SUM(K107:L107)&lt;0,0,I107-SUM(K107:L107)))</f>
        <v>#VALUE!</v>
      </c>
      <c r="K107" s="160" t="e">
        <f ca="1">IF(G107="Всього:",SUM($K$5:K106),IF(F107&lt;&gt;F106,(F107*O106/36000*(G107-CONCATENATE(DAY($C$4),".",MONTH(G106),".",YEAR(G106)))+(F106*O106/36000*(CONCATENATE(DAY($C$4),".",MONTH(G106),".",YEAR(G106))-G106))),F107*O106/36000*(G107-G106)))</f>
        <v>#VALUE!</v>
      </c>
      <c r="L107" s="160" t="e">
        <f ca="1">IF(G107="Всього:",SUM($L$5:L106),$E$4)</f>
        <v>#VALUE!</v>
      </c>
      <c r="M107" s="160" t="e">
        <f ca="1">IF(G107="Всього:",SUM($M$5:M106),IF($E$5="UAH",J107+L107+K107,J107+K107))</f>
        <v>#VALUE!</v>
      </c>
      <c r="N107" s="160" t="e">
        <f ca="1">IF(G107="Всього:",SUM($N$4:N106),IF($E$5="UAH","",L107))</f>
        <v>#VALUE!</v>
      </c>
      <c r="O107" s="160" t="e">
        <f t="shared" ca="1" si="4"/>
        <v>#VALUE!</v>
      </c>
    </row>
    <row r="108" spans="6:15" x14ac:dyDescent="0.3">
      <c r="F108" s="160" t="e">
        <f t="shared" ca="1" si="5"/>
        <v>#VALUE!</v>
      </c>
      <c r="G108" s="160" t="e">
        <f t="shared" ca="1" si="7"/>
        <v>#VALUE!</v>
      </c>
      <c r="H108" s="160" t="str">
        <f t="shared" ca="1" si="6"/>
        <v/>
      </c>
      <c r="I108" s="160" t="e">
        <f ca="1">IF($G108="Всього:",SUM($I$4:I107),IF(AND(DAY($C$4)&gt;=15,H108=1),K108+L108,$C$32))</f>
        <v>#VALUE!</v>
      </c>
      <c r="J108" s="160" t="e">
        <f ca="1">IF($G108="Всього:",SUM($J$4:J107),IF(I108-SUM(K108:L108)&lt;0,0,I108-SUM(K108:L108)))</f>
        <v>#VALUE!</v>
      </c>
      <c r="K108" s="160" t="e">
        <f ca="1">IF(G108="Всього:",SUM($K$5:K107),IF(F108&lt;&gt;F107,(F108*O107/36000*(G108-CONCATENATE(DAY($C$4),".",MONTH(G107),".",YEAR(G107)))+(F107*O107/36000*(CONCATENATE(DAY($C$4),".",MONTH(G107),".",YEAR(G107))-G107))),F108*O107/36000*(G108-G107)))</f>
        <v>#VALUE!</v>
      </c>
      <c r="L108" s="160" t="e">
        <f ca="1">IF(G108="Всього:",SUM($L$5:L107),$E$4)</f>
        <v>#VALUE!</v>
      </c>
      <c r="M108" s="160" t="e">
        <f ca="1">IF(G108="Всього:",SUM($M$5:M107),IF($E$5="UAH",J108+L108+K108,J108+K108))</f>
        <v>#VALUE!</v>
      </c>
      <c r="N108" s="160" t="e">
        <f ca="1">IF(G108="Всього:",SUM($N$4:N107),IF($E$5="UAH","",L108))</f>
        <v>#VALUE!</v>
      </c>
      <c r="O108" s="160" t="e">
        <f t="shared" ca="1" si="4"/>
        <v>#VALUE!</v>
      </c>
    </row>
    <row r="109" spans="6:15" x14ac:dyDescent="0.3">
      <c r="F109" s="160" t="e">
        <f t="shared" ca="1" si="5"/>
        <v>#VALUE!</v>
      </c>
      <c r="G109" s="160" t="e">
        <f t="shared" ca="1" si="7"/>
        <v>#VALUE!</v>
      </c>
      <c r="H109" s="160" t="str">
        <f t="shared" ca="1" si="6"/>
        <v/>
      </c>
      <c r="I109" s="160" t="e">
        <f ca="1">IF($G109="Всього:",SUM($I$4:I108),IF(AND(DAY($C$4)&gt;=15,H109=1),K109+L109,$C$32))</f>
        <v>#VALUE!</v>
      </c>
      <c r="J109" s="160" t="e">
        <f ca="1">IF($G109="Всього:",SUM($J$4:J108),IF(I109-SUM(K109:L109)&lt;0,0,I109-SUM(K109:L109)))</f>
        <v>#VALUE!</v>
      </c>
      <c r="K109" s="160" t="e">
        <f ca="1">IF(G109="Всього:",SUM($K$5:K108),IF(F109&lt;&gt;F108,(F109*O108/36000*(G109-CONCATENATE(DAY($C$4),".",MONTH(G108),".",YEAR(G108)))+(F108*O108/36000*(CONCATENATE(DAY($C$4),".",MONTH(G108),".",YEAR(G108))-G108))),F109*O108/36000*(G109-G108)))</f>
        <v>#VALUE!</v>
      </c>
      <c r="L109" s="160" t="e">
        <f ca="1">IF(G109="Всього:",SUM($L$5:L108),$E$4)</f>
        <v>#VALUE!</v>
      </c>
      <c r="M109" s="160" t="e">
        <f ca="1">IF(G109="Всього:",SUM($M$5:M108),IF($E$5="UAH",J109+L109+K109,J109+K109))</f>
        <v>#VALUE!</v>
      </c>
      <c r="N109" s="160" t="e">
        <f ca="1">IF(G109="Всього:",SUM($N$4:N108),IF($E$5="UAH","",L109))</f>
        <v>#VALUE!</v>
      </c>
      <c r="O109" s="160" t="e">
        <f t="shared" ca="1" si="4"/>
        <v>#VALUE!</v>
      </c>
    </row>
    <row r="110" spans="6:15" x14ac:dyDescent="0.3">
      <c r="F110" s="160" t="e">
        <f t="shared" ca="1" si="5"/>
        <v>#VALUE!</v>
      </c>
      <c r="G110" s="160" t="e">
        <f t="shared" ca="1" si="7"/>
        <v>#VALUE!</v>
      </c>
      <c r="H110" s="160" t="str">
        <f t="shared" ca="1" si="6"/>
        <v/>
      </c>
      <c r="I110" s="160" t="e">
        <f ca="1">IF($G110="Всього:",SUM($I$4:I109),IF(AND(DAY($C$4)&gt;=15,H110=1),K110+L110,$C$32))</f>
        <v>#VALUE!</v>
      </c>
      <c r="J110" s="160" t="e">
        <f ca="1">IF($G110="Всього:",SUM($J$4:J109),IF(I110-SUM(K110:L110)&lt;0,0,I110-SUM(K110:L110)))</f>
        <v>#VALUE!</v>
      </c>
      <c r="K110" s="160" t="e">
        <f ca="1">IF(G110="Всього:",SUM($K$5:K109),IF(F110&lt;&gt;F109,(F110*O109/36000*(G110-CONCATENATE(DAY($C$4),".",MONTH(G109),".",YEAR(G109)))+(F109*O109/36000*(CONCATENATE(DAY($C$4),".",MONTH(G109),".",YEAR(G109))-G109))),F110*O109/36000*(G110-G109)))</f>
        <v>#VALUE!</v>
      </c>
      <c r="L110" s="160" t="e">
        <f ca="1">IF(G110="Всього:",SUM($L$5:L109),$E$4)</f>
        <v>#VALUE!</v>
      </c>
      <c r="M110" s="160" t="e">
        <f ca="1">IF(G110="Всього:",SUM($M$5:M109),IF($E$5="UAH",J110+L110+K110,J110+K110))</f>
        <v>#VALUE!</v>
      </c>
      <c r="N110" s="160" t="e">
        <f ca="1">IF(G110="Всього:",SUM($N$4:N109),IF($E$5="UAH","",L110))</f>
        <v>#VALUE!</v>
      </c>
      <c r="O110" s="160" t="e">
        <f t="shared" ca="1" si="4"/>
        <v>#VALUE!</v>
      </c>
    </row>
    <row r="111" spans="6:15" x14ac:dyDescent="0.3">
      <c r="F111" s="160" t="e">
        <f t="shared" ca="1" si="5"/>
        <v>#VALUE!</v>
      </c>
      <c r="G111" s="160" t="e">
        <f t="shared" ca="1" si="7"/>
        <v>#VALUE!</v>
      </c>
      <c r="H111" s="160" t="str">
        <f t="shared" ca="1" si="6"/>
        <v/>
      </c>
      <c r="I111" s="160" t="e">
        <f ca="1">IF($G111="Всього:",SUM($I$4:I110),IF(AND(DAY($C$4)&gt;=15,H111=1),K111+L111,$C$32))</f>
        <v>#VALUE!</v>
      </c>
      <c r="J111" s="160" t="e">
        <f ca="1">IF($G111="Всього:",SUM($J$4:J110),IF(I111-SUM(K111:L111)&lt;0,0,I111-SUM(K111:L111)))</f>
        <v>#VALUE!</v>
      </c>
      <c r="K111" s="160" t="e">
        <f ca="1">IF(G111="Всього:",SUM($K$5:K110),IF(F111&lt;&gt;F110,(F111*O110/36000*(G111-CONCATENATE(DAY($C$4),".",MONTH(G110),".",YEAR(G110)))+(F110*O110/36000*(CONCATENATE(DAY($C$4),".",MONTH(G110),".",YEAR(G110))-G110))),F111*O110/36000*(G111-G110)))</f>
        <v>#VALUE!</v>
      </c>
      <c r="L111" s="160" t="e">
        <f ca="1">IF(G111="Всього:",SUM($L$5:L110),$E$4)</f>
        <v>#VALUE!</v>
      </c>
      <c r="M111" s="160" t="e">
        <f ca="1">IF(G111="Всього:",SUM($M$5:M110),IF($E$5="UAH",J111+L111+K111,J111+K111))</f>
        <v>#VALUE!</v>
      </c>
      <c r="N111" s="160" t="e">
        <f ca="1">IF(G111="Всього:",SUM($N$4:N110),IF($E$5="UAH","",L111))</f>
        <v>#VALUE!</v>
      </c>
      <c r="O111" s="160" t="e">
        <f t="shared" ca="1" si="4"/>
        <v>#VALUE!</v>
      </c>
    </row>
    <row r="112" spans="6:15" x14ac:dyDescent="0.3">
      <c r="F112" s="160" t="e">
        <f t="shared" ca="1" si="5"/>
        <v>#VALUE!</v>
      </c>
      <c r="G112" s="160" t="e">
        <f t="shared" ca="1" si="7"/>
        <v>#VALUE!</v>
      </c>
      <c r="H112" s="160" t="str">
        <f t="shared" ca="1" si="6"/>
        <v/>
      </c>
      <c r="I112" s="160" t="e">
        <f ca="1">IF($G112="Всього:",SUM($I$4:I111),IF(AND(DAY($C$4)&gt;=15,H112=1),K112+L112,$C$32))</f>
        <v>#VALUE!</v>
      </c>
      <c r="J112" s="160" t="e">
        <f ca="1">IF($G112="Всього:",SUM($J$4:J111),IF(I112-SUM(K112:L112)&lt;0,0,I112-SUM(K112:L112)))</f>
        <v>#VALUE!</v>
      </c>
      <c r="K112" s="160" t="e">
        <f ca="1">IF(G112="Всього:",SUM($K$5:K111),IF(F112&lt;&gt;F111,(F112*O111/36000*(G112-CONCATENATE(DAY($C$4),".",MONTH(G111),".",YEAR(G111)))+(F111*O111/36000*(CONCATENATE(DAY($C$4),".",MONTH(G111),".",YEAR(G111))-G111))),F112*O111/36000*(G112-G111)))</f>
        <v>#VALUE!</v>
      </c>
      <c r="L112" s="160" t="e">
        <f ca="1">IF(G112="Всього:",SUM($L$5:L111),$E$4)</f>
        <v>#VALUE!</v>
      </c>
      <c r="M112" s="160" t="e">
        <f ca="1">IF(G112="Всього:",SUM($M$5:M111),IF($E$5="UAH",J112+L112+K112,J112+K112))</f>
        <v>#VALUE!</v>
      </c>
      <c r="N112" s="160" t="e">
        <f ca="1">IF(G112="Всього:",SUM($N$4:N111),IF($E$5="UAH","",L112))</f>
        <v>#VALUE!</v>
      </c>
      <c r="O112" s="160" t="e">
        <f t="shared" ca="1" si="4"/>
        <v>#VALUE!</v>
      </c>
    </row>
    <row r="113" spans="6:15" x14ac:dyDescent="0.3">
      <c r="F113" s="160" t="e">
        <f t="shared" ca="1" si="5"/>
        <v>#VALUE!</v>
      </c>
      <c r="G113" s="160" t="e">
        <f t="shared" ca="1" si="7"/>
        <v>#VALUE!</v>
      </c>
      <c r="H113" s="160" t="str">
        <f t="shared" ca="1" si="6"/>
        <v/>
      </c>
      <c r="I113" s="160" t="e">
        <f ca="1">IF($G113="Всього:",SUM($I$4:I112),IF(AND(DAY($C$4)&gt;=15,H113=1),K113+L113,$C$32))</f>
        <v>#VALUE!</v>
      </c>
      <c r="J113" s="160" t="e">
        <f ca="1">IF($G113="Всього:",SUM($J$4:J112),IF(I113-SUM(K113:L113)&lt;0,0,I113-SUM(K113:L113)))</f>
        <v>#VALUE!</v>
      </c>
      <c r="K113" s="160" t="e">
        <f ca="1">IF(G113="Всього:",SUM($K$5:K112),IF(F113&lt;&gt;F112,(F113*O112/36000*(G113-CONCATENATE(DAY($C$4),".",MONTH(G112),".",YEAR(G112)))+(F112*O112/36000*(CONCATENATE(DAY($C$4),".",MONTH(G112),".",YEAR(G112))-G112))),F113*O112/36000*(G113-G112)))</f>
        <v>#VALUE!</v>
      </c>
      <c r="L113" s="160" t="e">
        <f ca="1">IF(G113="Всього:",SUM($L$5:L112),$E$4)</f>
        <v>#VALUE!</v>
      </c>
      <c r="M113" s="160" t="e">
        <f ca="1">IF(G113="Всього:",SUM($M$5:M112),IF($E$5="UAH",J113+L113+K113,J113+K113))</f>
        <v>#VALUE!</v>
      </c>
      <c r="N113" s="160" t="e">
        <f ca="1">IF(G113="Всього:",SUM($N$4:N112),IF($E$5="UAH","",L113))</f>
        <v>#VALUE!</v>
      </c>
      <c r="O113" s="160" t="e">
        <f t="shared" ca="1" si="4"/>
        <v>#VALUE!</v>
      </c>
    </row>
    <row r="114" spans="6:15" x14ac:dyDescent="0.3">
      <c r="F114" s="160" t="e">
        <f t="shared" ca="1" si="5"/>
        <v>#VALUE!</v>
      </c>
      <c r="G114" s="160" t="e">
        <f t="shared" ca="1" si="7"/>
        <v>#VALUE!</v>
      </c>
      <c r="H114" s="160" t="str">
        <f t="shared" ca="1" si="6"/>
        <v/>
      </c>
      <c r="I114" s="160" t="e">
        <f ca="1">IF($G114="Всього:",SUM($I$4:I113),IF(AND(DAY($C$4)&gt;=15,H114=1),K114+L114,$C$32))</f>
        <v>#VALUE!</v>
      </c>
      <c r="J114" s="160" t="e">
        <f ca="1">IF($G114="Всього:",SUM($J$4:J113),IF(I114-SUM(K114:L114)&lt;0,0,I114-SUM(K114:L114)))</f>
        <v>#VALUE!</v>
      </c>
      <c r="K114" s="160" t="e">
        <f ca="1">IF(G114="Всього:",SUM($K$5:K113),IF(F114&lt;&gt;F113,(F114*O113/36000*(G114-CONCATENATE(DAY($C$4),".",MONTH(G113),".",YEAR(G113)))+(F113*O113/36000*(CONCATENATE(DAY($C$4),".",MONTH(G113),".",YEAR(G113))-G113))),F114*O113/36000*(G114-G113)))</f>
        <v>#VALUE!</v>
      </c>
      <c r="L114" s="160" t="e">
        <f ca="1">IF(G114="Всього:",SUM($L$5:L113),$E$4)</f>
        <v>#VALUE!</v>
      </c>
      <c r="M114" s="160" t="e">
        <f ca="1">IF(G114="Всього:",SUM($M$5:M113),IF($E$5="UAH",J114+L114+K114,J114+K114))</f>
        <v>#VALUE!</v>
      </c>
      <c r="N114" s="160" t="e">
        <f ca="1">IF(G114="Всього:",SUM($N$4:N113),IF($E$5="UAH","",L114))</f>
        <v>#VALUE!</v>
      </c>
      <c r="O114" s="160" t="e">
        <f t="shared" ca="1" si="4"/>
        <v>#VALUE!</v>
      </c>
    </row>
    <row r="115" spans="6:15" x14ac:dyDescent="0.3">
      <c r="F115" s="160" t="e">
        <f t="shared" ca="1" si="5"/>
        <v>#VALUE!</v>
      </c>
      <c r="G115" s="160" t="e">
        <f t="shared" ca="1" si="7"/>
        <v>#VALUE!</v>
      </c>
      <c r="H115" s="160" t="str">
        <f t="shared" ca="1" si="6"/>
        <v/>
      </c>
      <c r="I115" s="160" t="e">
        <f ca="1">IF($G115="Всього:",SUM($I$4:I114),IF(AND(DAY($C$4)&gt;=15,H115=1),K115+L115,$C$32))</f>
        <v>#VALUE!</v>
      </c>
      <c r="J115" s="160" t="e">
        <f ca="1">IF($G115="Всього:",SUM($J$4:J114),IF(I115-SUM(K115:L115)&lt;0,0,I115-SUM(K115:L115)))</f>
        <v>#VALUE!</v>
      </c>
      <c r="K115" s="160" t="e">
        <f ca="1">IF(G115="Всього:",SUM($K$5:K114),IF(F115&lt;&gt;F114,(F115*O114/36000*(G115-CONCATENATE(DAY($C$4),".",MONTH(G114),".",YEAR(G114)))+(F114*O114/36000*(CONCATENATE(DAY($C$4),".",MONTH(G114),".",YEAR(G114))-G114))),F115*O114/36000*(G115-G114)))</f>
        <v>#VALUE!</v>
      </c>
      <c r="L115" s="160" t="e">
        <f ca="1">IF(G115="Всього:",SUM($L$5:L114),$E$4)</f>
        <v>#VALUE!</v>
      </c>
      <c r="M115" s="160" t="e">
        <f ca="1">IF(G115="Всього:",SUM($M$5:M114),IF($E$5="UAH",J115+L115+K115,J115+K115))</f>
        <v>#VALUE!</v>
      </c>
      <c r="N115" s="160" t="e">
        <f ca="1">IF(G115="Всього:",SUM($N$4:N114),IF($E$5="UAH","",L115))</f>
        <v>#VALUE!</v>
      </c>
      <c r="O115" s="160" t="e">
        <f t="shared" ca="1" si="4"/>
        <v>#VALUE!</v>
      </c>
    </row>
    <row r="116" spans="6:15" x14ac:dyDescent="0.3">
      <c r="F116" s="160" t="e">
        <f t="shared" ca="1" si="5"/>
        <v>#VALUE!</v>
      </c>
      <c r="G116" s="160" t="e">
        <f t="shared" ca="1" si="7"/>
        <v>#VALUE!</v>
      </c>
      <c r="H116" s="160" t="str">
        <f t="shared" ca="1" si="6"/>
        <v/>
      </c>
      <c r="I116" s="160" t="e">
        <f ca="1">IF($G116="Всього:",SUM($I$4:I115),IF(AND(DAY($C$4)&gt;=15,H116=1),K116+L116,$C$32))</f>
        <v>#VALUE!</v>
      </c>
      <c r="J116" s="160" t="e">
        <f ca="1">IF($G116="Всього:",SUM($J$4:J115),IF(I116-SUM(K116:L116)&lt;0,0,I116-SUM(K116:L116)))</f>
        <v>#VALUE!</v>
      </c>
      <c r="K116" s="160" t="e">
        <f ca="1">IF(G116="Всього:",SUM($K$5:K115),IF(F116&lt;&gt;F115,(F116*O115/36000*(G116-CONCATENATE(DAY($C$4),".",MONTH(G115),".",YEAR(G115)))+(F115*O115/36000*(CONCATENATE(DAY($C$4),".",MONTH(G115),".",YEAR(G115))-G115))),F116*O115/36000*(G116-G115)))</f>
        <v>#VALUE!</v>
      </c>
      <c r="L116" s="160" t="e">
        <f ca="1">IF(G116="Всього:",SUM($L$5:L115),$E$4)</f>
        <v>#VALUE!</v>
      </c>
      <c r="M116" s="160" t="e">
        <f ca="1">IF(G116="Всього:",SUM($M$5:M115),IF($E$5="UAH",J116+L116+K116,J116+K116))</f>
        <v>#VALUE!</v>
      </c>
      <c r="N116" s="160" t="e">
        <f ca="1">IF(G116="Всього:",SUM($N$4:N115),IF($E$5="UAH","",L116))</f>
        <v>#VALUE!</v>
      </c>
      <c r="O116" s="160" t="e">
        <f t="shared" ca="1" si="4"/>
        <v>#VALUE!</v>
      </c>
    </row>
    <row r="117" spans="6:15" x14ac:dyDescent="0.3">
      <c r="F117" s="160" t="e">
        <f t="shared" ca="1" si="5"/>
        <v>#VALUE!</v>
      </c>
      <c r="G117" s="160" t="e">
        <f t="shared" ca="1" si="7"/>
        <v>#VALUE!</v>
      </c>
      <c r="H117" s="160" t="str">
        <f t="shared" ca="1" si="6"/>
        <v/>
      </c>
      <c r="I117" s="160" t="e">
        <f ca="1">IF($G117="Всього:",SUM($I$4:I116),IF(AND(DAY($C$4)&gt;=15,H117=1),K117+L117,$C$32))</f>
        <v>#VALUE!</v>
      </c>
      <c r="J117" s="160" t="e">
        <f ca="1">IF($G117="Всього:",SUM($J$4:J116),IF(I117-SUM(K117:L117)&lt;0,0,I117-SUM(K117:L117)))</f>
        <v>#VALUE!</v>
      </c>
      <c r="K117" s="160" t="e">
        <f ca="1">IF(G117="Всього:",SUM($K$5:K116),IF(F117&lt;&gt;F116,(F117*O116/36000*(G117-CONCATENATE(DAY($C$4),".",MONTH(G116),".",YEAR(G116)))+(F116*O116/36000*(CONCATENATE(DAY($C$4),".",MONTH(G116),".",YEAR(G116))-G116))),F117*O116/36000*(G117-G116)))</f>
        <v>#VALUE!</v>
      </c>
      <c r="L117" s="160" t="e">
        <f ca="1">IF(G117="Всього:",SUM($L$5:L116),$E$4)</f>
        <v>#VALUE!</v>
      </c>
      <c r="M117" s="160" t="e">
        <f ca="1">IF(G117="Всього:",SUM($M$5:M116),IF($E$5="UAH",J117+L117+K117,J117+K117))</f>
        <v>#VALUE!</v>
      </c>
      <c r="N117" s="160" t="e">
        <f ca="1">IF(G117="Всього:",SUM($N$4:N116),IF($E$5="UAH","",L117))</f>
        <v>#VALUE!</v>
      </c>
      <c r="O117" s="160" t="e">
        <f t="shared" ca="1" si="4"/>
        <v>#VALUE!</v>
      </c>
    </row>
    <row r="118" spans="6:15" x14ac:dyDescent="0.3">
      <c r="F118" s="160" t="e">
        <f t="shared" ca="1" si="5"/>
        <v>#VALUE!</v>
      </c>
      <c r="G118" s="160" t="e">
        <f t="shared" ca="1" si="7"/>
        <v>#VALUE!</v>
      </c>
      <c r="H118" s="160" t="str">
        <f t="shared" ca="1" si="6"/>
        <v/>
      </c>
      <c r="I118" s="160" t="e">
        <f ca="1">IF($G118="Всього:",SUM($I$4:I117),IF(AND(DAY($C$4)&gt;=15,H118=1),K118+L118,$C$32))</f>
        <v>#VALUE!</v>
      </c>
      <c r="J118" s="160" t="e">
        <f ca="1">IF($G118="Всього:",SUM($J$4:J117),IF(I118-SUM(K118:L118)&lt;0,0,I118-SUM(K118:L118)))</f>
        <v>#VALUE!</v>
      </c>
      <c r="K118" s="160" t="e">
        <f ca="1">IF(G118="Всього:",SUM($K$5:K117),IF(F118&lt;&gt;F117,(F118*O117/36000*(G118-CONCATENATE(DAY($C$4),".",MONTH(G117),".",YEAR(G117)))+(F117*O117/36000*(CONCATENATE(DAY($C$4),".",MONTH(G117),".",YEAR(G117))-G117))),F118*O117/36000*(G118-G117)))</f>
        <v>#VALUE!</v>
      </c>
      <c r="L118" s="160" t="e">
        <f ca="1">IF(G118="Всього:",SUM($L$5:L117),$E$4)</f>
        <v>#VALUE!</v>
      </c>
      <c r="M118" s="160" t="e">
        <f ca="1">IF(G118="Всього:",SUM($M$5:M117),IF($E$5="UAH",J118+L118+K118,J118+K118))</f>
        <v>#VALUE!</v>
      </c>
      <c r="N118" s="160" t="e">
        <f ca="1">IF(G118="Всього:",SUM($N$4:N117),IF($E$5="UAH","",L118))</f>
        <v>#VALUE!</v>
      </c>
      <c r="O118" s="160" t="e">
        <f t="shared" ca="1" si="4"/>
        <v>#VALUE!</v>
      </c>
    </row>
    <row r="119" spans="6:15" x14ac:dyDescent="0.3">
      <c r="F119" s="160" t="e">
        <f t="shared" ca="1" si="5"/>
        <v>#VALUE!</v>
      </c>
      <c r="G119" s="160" t="e">
        <f t="shared" ca="1" si="7"/>
        <v>#VALUE!</v>
      </c>
      <c r="H119" s="160" t="str">
        <f t="shared" ca="1" si="6"/>
        <v/>
      </c>
      <c r="I119" s="160" t="e">
        <f ca="1">IF($G119="Всього:",SUM($I$4:I118),IF(AND(DAY($C$4)&gt;=15,H119=1),K119+L119,$C$32))</f>
        <v>#VALUE!</v>
      </c>
      <c r="J119" s="160" t="e">
        <f ca="1">IF($G119="Всього:",SUM($J$4:J118),IF(I119-SUM(K119:L119)&lt;0,0,I119-SUM(K119:L119)))</f>
        <v>#VALUE!</v>
      </c>
      <c r="K119" s="160" t="e">
        <f ca="1">IF(G119="Всього:",SUM($K$5:K118),IF(F119&lt;&gt;F118,(F119*O118/36000*(G119-CONCATENATE(DAY($C$4),".",MONTH(G118),".",YEAR(G118)))+(F118*O118/36000*(CONCATENATE(DAY($C$4),".",MONTH(G118),".",YEAR(G118))-G118))),F119*O118/36000*(G119-G118)))</f>
        <v>#VALUE!</v>
      </c>
      <c r="L119" s="160" t="e">
        <f ca="1">IF(G119="Всього:",SUM($L$5:L118),$E$4)</f>
        <v>#VALUE!</v>
      </c>
      <c r="M119" s="160" t="e">
        <f ca="1">IF(G119="Всього:",SUM($M$5:M118),IF($E$5="UAH",J119+L119+K119,J119+K119))</f>
        <v>#VALUE!</v>
      </c>
      <c r="N119" s="160" t="e">
        <f ca="1">IF(G119="Всього:",SUM($N$4:N118),IF($E$5="UAH","",L119))</f>
        <v>#VALUE!</v>
      </c>
      <c r="O119" s="160" t="e">
        <f t="shared" ca="1" si="4"/>
        <v>#VALUE!</v>
      </c>
    </row>
    <row r="120" spans="6:15" x14ac:dyDescent="0.3">
      <c r="F120" s="160" t="e">
        <f t="shared" ca="1" si="5"/>
        <v>#VALUE!</v>
      </c>
      <c r="G120" s="160" t="e">
        <f t="shared" ca="1" si="7"/>
        <v>#VALUE!</v>
      </c>
      <c r="H120" s="160" t="str">
        <f t="shared" ca="1" si="6"/>
        <v/>
      </c>
      <c r="I120" s="160" t="e">
        <f ca="1">IF($G120="Всього:",SUM($I$4:I119),IF(AND(DAY($C$4)&gt;=15,H120=1),K120+L120,$C$32))</f>
        <v>#VALUE!</v>
      </c>
      <c r="J120" s="160" t="e">
        <f ca="1">IF($G120="Всього:",SUM($J$4:J119),IF(I120-SUM(K120:L120)&lt;0,0,I120-SUM(K120:L120)))</f>
        <v>#VALUE!</v>
      </c>
      <c r="K120" s="160" t="e">
        <f ca="1">IF(G120="Всього:",SUM($K$5:K119),IF(F120&lt;&gt;F119,(F120*O119/36000*(G120-CONCATENATE(DAY($C$4),".",MONTH(G119),".",YEAR(G119)))+(F119*O119/36000*(CONCATENATE(DAY($C$4),".",MONTH(G119),".",YEAR(G119))-G119))),F120*O119/36000*(G120-G119)))</f>
        <v>#VALUE!</v>
      </c>
      <c r="L120" s="160" t="e">
        <f ca="1">IF(G120="Всього:",SUM($L$5:L119),$E$4)</f>
        <v>#VALUE!</v>
      </c>
      <c r="M120" s="160" t="e">
        <f ca="1">IF(G120="Всього:",SUM($M$5:M119),IF($E$5="UAH",J120+L120+K120,J120+K120))</f>
        <v>#VALUE!</v>
      </c>
      <c r="N120" s="160" t="e">
        <f ca="1">IF(G120="Всього:",SUM($N$4:N119),IF($E$5="UAH","",L120))</f>
        <v>#VALUE!</v>
      </c>
      <c r="O120" s="160" t="e">
        <f t="shared" ca="1" si="4"/>
        <v>#VALUE!</v>
      </c>
    </row>
    <row r="121" spans="6:15" x14ac:dyDescent="0.3">
      <c r="F121" s="160" t="e">
        <f t="shared" ca="1" si="5"/>
        <v>#VALUE!</v>
      </c>
      <c r="G121" s="160" t="e">
        <f t="shared" ca="1" si="7"/>
        <v>#VALUE!</v>
      </c>
      <c r="H121" s="160" t="str">
        <f t="shared" ca="1" si="6"/>
        <v/>
      </c>
      <c r="I121" s="160" t="e">
        <f ca="1">IF($G121="Всього:",SUM($I$4:I120),IF(AND(DAY($C$4)&gt;=15,H121=1),K121+L121,$C$32))</f>
        <v>#VALUE!</v>
      </c>
      <c r="J121" s="160" t="e">
        <f ca="1">IF($G121="Всього:",SUM($J$4:J120),IF(I121-SUM(K121:L121)&lt;0,0,I121-SUM(K121:L121)))</f>
        <v>#VALUE!</v>
      </c>
      <c r="K121" s="160" t="e">
        <f ca="1">IF(G121="Всього:",SUM($K$5:K120),IF(F121&lt;&gt;F120,(F121*O120/36000*(G121-CONCATENATE(DAY($C$4),".",MONTH(G120),".",YEAR(G120)))+(F120*O120/36000*(CONCATENATE(DAY($C$4),".",MONTH(G120),".",YEAR(G120))-G120))),F121*O120/36000*(G121-G120)))</f>
        <v>#VALUE!</v>
      </c>
      <c r="L121" s="160" t="e">
        <f ca="1">IF(G121="Всього:",SUM($L$5:L120),$E$4)</f>
        <v>#VALUE!</v>
      </c>
      <c r="M121" s="160" t="e">
        <f ca="1">IF(G121="Всього:",SUM($M$5:M120),IF($E$5="UAH",J121+L121+K121,J121+K121))</f>
        <v>#VALUE!</v>
      </c>
      <c r="N121" s="160" t="e">
        <f ca="1">IF(G121="Всього:",SUM($N$4:N120),IF($E$5="UAH","",L121))</f>
        <v>#VALUE!</v>
      </c>
      <c r="O121" s="160" t="e">
        <f t="shared" ca="1" si="4"/>
        <v>#VALUE!</v>
      </c>
    </row>
    <row r="122" spans="6:15" x14ac:dyDescent="0.3">
      <c r="F122" s="160" t="e">
        <f t="shared" ca="1" si="5"/>
        <v>#VALUE!</v>
      </c>
      <c r="G122" s="160" t="e">
        <f t="shared" ca="1" si="7"/>
        <v>#VALUE!</v>
      </c>
      <c r="H122" s="160" t="str">
        <f t="shared" ca="1" si="6"/>
        <v/>
      </c>
      <c r="I122" s="160" t="e">
        <f ca="1">IF($G122="Всього:",SUM($I$4:I121),IF(AND(DAY($C$4)&gt;=15,H122=1),K122+L122,$C$32))</f>
        <v>#VALUE!</v>
      </c>
      <c r="J122" s="160" t="e">
        <f ca="1">IF($G122="Всього:",SUM($J$4:J121),IF(I122-SUM(K122:L122)&lt;0,0,I122-SUM(K122:L122)))</f>
        <v>#VALUE!</v>
      </c>
      <c r="K122" s="160" t="e">
        <f ca="1">IF(G122="Всього:",SUM($K$5:K121),IF(F122&lt;&gt;F121,(F122*O121/36000*(G122-CONCATENATE(DAY($C$4),".",MONTH(G121),".",YEAR(G121)))+(F121*O121/36000*(CONCATENATE(DAY($C$4),".",MONTH(G121),".",YEAR(G121))-G121))),F122*O121/36000*(G122-G121)))</f>
        <v>#VALUE!</v>
      </c>
      <c r="L122" s="160" t="e">
        <f ca="1">IF(G122="Всього:",SUM($L$5:L121),$E$4)</f>
        <v>#VALUE!</v>
      </c>
      <c r="M122" s="160" t="e">
        <f ca="1">IF(G122="Всього:",SUM($M$5:M121),IF($E$5="UAH",J122+L122+K122,J122+K122))</f>
        <v>#VALUE!</v>
      </c>
      <c r="N122" s="160" t="e">
        <f ca="1">IF(G122="Всього:",SUM($N$4:N121),IF($E$5="UAH","",L122))</f>
        <v>#VALUE!</v>
      </c>
      <c r="O122" s="160" t="e">
        <f t="shared" ca="1" si="4"/>
        <v>#VALUE!</v>
      </c>
    </row>
    <row r="123" spans="6:15" x14ac:dyDescent="0.3">
      <c r="F123" s="160" t="e">
        <f t="shared" ca="1" si="5"/>
        <v>#VALUE!</v>
      </c>
      <c r="G123" s="160" t="e">
        <f t="shared" ca="1" si="7"/>
        <v>#VALUE!</v>
      </c>
      <c r="H123" s="160" t="str">
        <f t="shared" ca="1" si="6"/>
        <v/>
      </c>
      <c r="I123" s="160" t="e">
        <f ca="1">IF($G123="Всього:",SUM($I$4:I122),IF(AND(DAY($C$4)&gt;=15,H123=1),K123+L123,$C$32))</f>
        <v>#VALUE!</v>
      </c>
      <c r="J123" s="160" t="e">
        <f ca="1">IF($G123="Всього:",SUM($J$4:J122),IF(I123-SUM(K123:L123)&lt;0,0,I123-SUM(K123:L123)))</f>
        <v>#VALUE!</v>
      </c>
      <c r="K123" s="160" t="e">
        <f ca="1">IF(G123="Всього:",SUM($K$5:K122),IF(F123&lt;&gt;F122,(F123*O122/36000*(G123-CONCATENATE(DAY($C$4),".",MONTH(G122),".",YEAR(G122)))+(F122*O122/36000*(CONCATENATE(DAY($C$4),".",MONTH(G122),".",YEAR(G122))-G122))),F123*O122/36000*(G123-G122)))</f>
        <v>#VALUE!</v>
      </c>
      <c r="L123" s="160" t="e">
        <f ca="1">IF(G123="Всього:",SUM($L$5:L122),$E$4)</f>
        <v>#VALUE!</v>
      </c>
      <c r="M123" s="160" t="e">
        <f ca="1">IF(G123="Всього:",SUM($M$5:M122),IF($E$5="UAH",J123+L123+K123,J123+K123))</f>
        <v>#VALUE!</v>
      </c>
      <c r="N123" s="160" t="e">
        <f ca="1">IF(G123="Всього:",SUM($N$4:N122),IF($E$5="UAH","",L123))</f>
        <v>#VALUE!</v>
      </c>
      <c r="O123" s="160" t="e">
        <f t="shared" ca="1" si="4"/>
        <v>#VALUE!</v>
      </c>
    </row>
    <row r="124" spans="6:15" x14ac:dyDescent="0.3">
      <c r="F124" s="160" t="e">
        <f t="shared" ca="1" si="5"/>
        <v>#VALUE!</v>
      </c>
      <c r="G124" s="160" t="e">
        <f t="shared" ca="1" si="7"/>
        <v>#VALUE!</v>
      </c>
      <c r="H124" s="160" t="str">
        <f t="shared" ca="1" si="6"/>
        <v/>
      </c>
      <c r="I124" s="160" t="e">
        <f ca="1">IF($G124="Всього:",SUM($I$4:I123),IF(AND(DAY($C$4)&gt;=15,H124=1),K124+L124,$C$32))</f>
        <v>#VALUE!</v>
      </c>
      <c r="J124" s="160" t="e">
        <f ca="1">IF($G124="Всього:",SUM($J$4:J123),IF(I124-SUM(K124:L124)&lt;0,0,I124-SUM(K124:L124)))</f>
        <v>#VALUE!</v>
      </c>
      <c r="K124" s="160" t="e">
        <f ca="1">IF(G124="Всього:",SUM($K$5:K123),IF(F124&lt;&gt;F123,(F124*O123/36000*(G124-CONCATENATE(DAY($C$4),".",MONTH(G123),".",YEAR(G123)))+(F123*O123/36000*(CONCATENATE(DAY($C$4),".",MONTH(G123),".",YEAR(G123))-G123))),F124*O123/36000*(G124-G123)))</f>
        <v>#VALUE!</v>
      </c>
      <c r="L124" s="160" t="e">
        <f ca="1">IF(G124="Всього:",SUM($L$5:L123),$E$4)</f>
        <v>#VALUE!</v>
      </c>
      <c r="M124" s="160" t="e">
        <f ca="1">IF(G124="Всього:",SUM($M$5:M123),IF($E$5="UAH",J124+L124+K124,J124+K124))</f>
        <v>#VALUE!</v>
      </c>
      <c r="N124" s="160" t="e">
        <f ca="1">IF(G124="Всього:",SUM($N$4:N123),IF($E$5="UAH","",L124))</f>
        <v>#VALUE!</v>
      </c>
      <c r="O124" s="160" t="e">
        <f t="shared" ca="1" si="4"/>
        <v>#VALUE!</v>
      </c>
    </row>
    <row r="125" spans="6:15" x14ac:dyDescent="0.3">
      <c r="F125" s="160" t="e">
        <f t="shared" ca="1" si="5"/>
        <v>#VALUE!</v>
      </c>
      <c r="G125" s="160" t="e">
        <f t="shared" ca="1" si="7"/>
        <v>#VALUE!</v>
      </c>
      <c r="H125" s="160" t="str">
        <f t="shared" ca="1" si="6"/>
        <v/>
      </c>
      <c r="I125" s="160" t="e">
        <f ca="1">IF($G125="Всього:",SUM($I$4:I124),IF(AND(DAY($C$4)&gt;=15,H125=1),K125+L125,$C$32))</f>
        <v>#VALUE!</v>
      </c>
      <c r="J125" s="160" t="e">
        <f ca="1">IF($G125="Всього:",SUM($J$4:J124),IF(I125-SUM(K125:L125)&lt;0,0,I125-SUM(K125:L125)))</f>
        <v>#VALUE!</v>
      </c>
      <c r="K125" s="160" t="e">
        <f ca="1">IF(G125="Всього:",SUM($K$5:K124),IF(F125&lt;&gt;F124,(F125*O124/36000*(G125-CONCATENATE(DAY($C$4),".",MONTH(G124),".",YEAR(G124)))+(F124*O124/36000*(CONCATENATE(DAY($C$4),".",MONTH(G124),".",YEAR(G124))-G124))),F125*O124/36000*(G125-G124)))</f>
        <v>#VALUE!</v>
      </c>
      <c r="L125" s="160" t="e">
        <f ca="1">IF(G125="Всього:",SUM($L$5:L124),$E$4)</f>
        <v>#VALUE!</v>
      </c>
      <c r="M125" s="160" t="e">
        <f ca="1">IF(G125="Всього:",SUM($M$5:M124),IF($E$5="UAH",J125+L125+K125,J125+K125))</f>
        <v>#VALUE!</v>
      </c>
      <c r="N125" s="160" t="e">
        <f ca="1">IF(G125="Всього:",SUM($N$4:N124),IF($E$5="UAH","",L125))</f>
        <v>#VALUE!</v>
      </c>
      <c r="O125" s="160" t="e">
        <f t="shared" ca="1" si="4"/>
        <v>#VALUE!</v>
      </c>
    </row>
    <row r="126" spans="6:15" x14ac:dyDescent="0.3">
      <c r="F126" s="160" t="e">
        <f t="shared" ca="1" si="5"/>
        <v>#VALUE!</v>
      </c>
      <c r="G126" s="160" t="e">
        <f t="shared" ca="1" si="7"/>
        <v>#VALUE!</v>
      </c>
      <c r="H126" s="160" t="str">
        <f t="shared" ca="1" si="6"/>
        <v/>
      </c>
      <c r="I126" s="160" t="e">
        <f ca="1">IF($G126="Всього:",SUM($I$4:I125),IF(AND(DAY($C$4)&gt;=15,H126=1),K126+L126,$C$32))</f>
        <v>#VALUE!</v>
      </c>
      <c r="J126" s="160" t="e">
        <f ca="1">IF($G126="Всього:",SUM($J$4:J125),IF(I126-SUM(K126:L126)&lt;0,0,I126-SUM(K126:L126)))</f>
        <v>#VALUE!</v>
      </c>
      <c r="K126" s="160" t="e">
        <f ca="1">IF(G126="Всього:",SUM($K$5:K125),IF(F126&lt;&gt;F125,(F126*O125/36000*(G126-CONCATENATE(DAY($C$4),".",MONTH(G125),".",YEAR(G125)))+(F125*O125/36000*(CONCATENATE(DAY($C$4),".",MONTH(G125),".",YEAR(G125))-G125))),F126*O125/36000*(G126-G125)))</f>
        <v>#VALUE!</v>
      </c>
      <c r="L126" s="160" t="e">
        <f ca="1">IF(G126="Всього:",SUM($L$5:L125),$E$4)</f>
        <v>#VALUE!</v>
      </c>
      <c r="M126" s="160" t="e">
        <f ca="1">IF(G126="Всього:",SUM($M$5:M125),IF($E$5="UAH",J126+L126+K126,J126+K126))</f>
        <v>#VALUE!</v>
      </c>
      <c r="N126" s="160" t="e">
        <f ca="1">IF(G126="Всього:",SUM($N$4:N125),IF($E$5="UAH","",L126))</f>
        <v>#VALUE!</v>
      </c>
      <c r="O126" s="160" t="e">
        <f t="shared" ca="1" si="4"/>
        <v>#VALUE!</v>
      </c>
    </row>
    <row r="127" spans="6:15" x14ac:dyDescent="0.3">
      <c r="F127" s="160" t="e">
        <f t="shared" ca="1" si="5"/>
        <v>#VALUE!</v>
      </c>
      <c r="G127" s="160" t="e">
        <f t="shared" ca="1" si="7"/>
        <v>#VALUE!</v>
      </c>
      <c r="H127" s="160" t="str">
        <f t="shared" ca="1" si="6"/>
        <v/>
      </c>
      <c r="I127" s="160" t="e">
        <f ca="1">IF($G127="Всього:",SUM($I$4:I126),IF(AND(DAY($C$4)&gt;=15,H127=1),K127+L127,$C$32))</f>
        <v>#VALUE!</v>
      </c>
      <c r="J127" s="160" t="e">
        <f ca="1">IF($G127="Всього:",SUM($J$4:J126),IF(I127-SUM(K127:L127)&lt;0,0,I127-SUM(K127:L127)))</f>
        <v>#VALUE!</v>
      </c>
      <c r="K127" s="160" t="e">
        <f ca="1">IF(G127="Всього:",SUM($K$5:K126),IF(F127&lt;&gt;F126,(F127*O126/36000*(G127-CONCATENATE(DAY($C$4),".",MONTH(G126),".",YEAR(G126)))+(F126*O126/36000*(CONCATENATE(DAY($C$4),".",MONTH(G126),".",YEAR(G126))-G126))),F127*O126/36000*(G127-G126)))</f>
        <v>#VALUE!</v>
      </c>
      <c r="L127" s="160" t="e">
        <f ca="1">IF(G127="Всього:",SUM($L$5:L126),$E$4)</f>
        <v>#VALUE!</v>
      </c>
      <c r="M127" s="160" t="e">
        <f ca="1">IF(G127="Всього:",SUM($M$5:M126),IF($E$5="UAH",J127+L127+K127,J127+K127))</f>
        <v>#VALUE!</v>
      </c>
      <c r="N127" s="160" t="e">
        <f ca="1">IF(G127="Всього:",SUM($N$4:N126),IF($E$5="UAH","",L127))</f>
        <v>#VALUE!</v>
      </c>
      <c r="O127" s="160" t="e">
        <f t="shared" ca="1" si="4"/>
        <v>#VALUE!</v>
      </c>
    </row>
    <row r="128" spans="6:15" x14ac:dyDescent="0.3">
      <c r="F128" s="160" t="e">
        <f t="shared" ca="1" si="5"/>
        <v>#VALUE!</v>
      </c>
      <c r="G128" s="160" t="e">
        <f t="shared" ca="1" si="7"/>
        <v>#VALUE!</v>
      </c>
      <c r="H128" s="160" t="str">
        <f t="shared" ca="1" si="6"/>
        <v/>
      </c>
      <c r="I128" s="160" t="e">
        <f ca="1">IF($G128="Всього:",SUM($I$4:I127),IF(AND(DAY($C$4)&gt;=15,H128=1),K128+L128,$C$32))</f>
        <v>#VALUE!</v>
      </c>
      <c r="J128" s="160" t="e">
        <f ca="1">IF($G128="Всього:",SUM($J$4:J127),IF(I128-SUM(K128:L128)&lt;0,0,I128-SUM(K128:L128)))</f>
        <v>#VALUE!</v>
      </c>
      <c r="K128" s="160" t="e">
        <f ca="1">IF(G128="Всього:",SUM($K$5:K127),IF(F128&lt;&gt;F127,(F128*O127/36000*(G128-CONCATENATE(DAY($C$4),".",MONTH(G127),".",YEAR(G127)))+(F127*O127/36000*(CONCATENATE(DAY($C$4),".",MONTH(G127),".",YEAR(G127))-G127))),F128*O127/36000*(G128-G127)))</f>
        <v>#VALUE!</v>
      </c>
      <c r="L128" s="160" t="e">
        <f ca="1">IF(G128="Всього:",SUM($L$5:L127),$E$4)</f>
        <v>#VALUE!</v>
      </c>
      <c r="M128" s="160" t="e">
        <f ca="1">IF(G128="Всього:",SUM($M$5:M127),IF($E$5="UAH",J128+L128+K128,J128+K128))</f>
        <v>#VALUE!</v>
      </c>
      <c r="N128" s="160" t="e">
        <f ca="1">IF(G128="Всього:",SUM($N$4:N127),IF($E$5="UAH","",L128))</f>
        <v>#VALUE!</v>
      </c>
      <c r="O128" s="160" t="e">
        <f t="shared" ca="1" si="4"/>
        <v>#VALUE!</v>
      </c>
    </row>
    <row r="129" spans="6:15" x14ac:dyDescent="0.3">
      <c r="F129" s="160" t="e">
        <f t="shared" ca="1" si="5"/>
        <v>#VALUE!</v>
      </c>
      <c r="G129" s="160" t="e">
        <f t="shared" ca="1" si="7"/>
        <v>#VALUE!</v>
      </c>
      <c r="H129" s="160" t="str">
        <f t="shared" ca="1" si="6"/>
        <v/>
      </c>
      <c r="I129" s="160" t="e">
        <f ca="1">IF($G129="Всього:",SUM($I$4:I128),IF(AND(DAY($C$4)&gt;=15,H129=1),K129+L129,$C$32))</f>
        <v>#VALUE!</v>
      </c>
      <c r="J129" s="160" t="e">
        <f ca="1">IF($G129="Всього:",SUM($J$4:J128),IF(I129-SUM(K129:L129)&lt;0,0,I129-SUM(K129:L129)))</f>
        <v>#VALUE!</v>
      </c>
      <c r="K129" s="160" t="e">
        <f ca="1">IF(G129="Всього:",SUM($K$5:K128),IF(F129&lt;&gt;F128,(F129*O128/36000*(G129-CONCATENATE(DAY($C$4),".",MONTH(G128),".",YEAR(G128)))+(F128*O128/36000*(CONCATENATE(DAY($C$4),".",MONTH(G128),".",YEAR(G128))-G128))),F129*O128/36000*(G129-G128)))</f>
        <v>#VALUE!</v>
      </c>
      <c r="L129" s="160" t="e">
        <f ca="1">IF(G129="Всього:",SUM($L$5:L128),$E$4)</f>
        <v>#VALUE!</v>
      </c>
      <c r="M129" s="160" t="e">
        <f ca="1">IF(G129="Всього:",SUM($M$5:M128),IF($E$5="UAH",J129+L129+K129,J129+K129))</f>
        <v>#VALUE!</v>
      </c>
      <c r="N129" s="160" t="e">
        <f ca="1">IF(G129="Всього:",SUM($N$4:N128),IF($E$5="UAH","",L129))</f>
        <v>#VALUE!</v>
      </c>
      <c r="O129" s="160" t="e">
        <f t="shared" ca="1" si="4"/>
        <v>#VALUE!</v>
      </c>
    </row>
    <row r="130" spans="6:15" x14ac:dyDescent="0.3">
      <c r="F130" s="160" t="e">
        <f t="shared" ca="1" si="5"/>
        <v>#VALUE!</v>
      </c>
      <c r="G130" s="160" t="e">
        <f t="shared" ca="1" si="7"/>
        <v>#VALUE!</v>
      </c>
      <c r="H130" s="160" t="str">
        <f t="shared" ca="1" si="6"/>
        <v/>
      </c>
      <c r="I130" s="160" t="e">
        <f ca="1">IF($G130="Всього:",SUM($I$4:I129),IF(AND(DAY($C$4)&gt;=15,H130=1),K130+L130,$C$32))</f>
        <v>#VALUE!</v>
      </c>
      <c r="J130" s="160" t="e">
        <f ca="1">IF($G130="Всього:",SUM($J$4:J129),IF(I130-SUM(K130:L130)&lt;0,0,I130-SUM(K130:L130)))</f>
        <v>#VALUE!</v>
      </c>
      <c r="K130" s="160" t="e">
        <f ca="1">IF(G130="Всього:",SUM($K$5:K129),IF(F130&lt;&gt;F129,(F130*O129/36000*(G130-CONCATENATE(DAY($C$4),".",MONTH(G129),".",YEAR(G129)))+(F129*O129/36000*(CONCATENATE(DAY($C$4),".",MONTH(G129),".",YEAR(G129))-G129))),F130*O129/36000*(G130-G129)))</f>
        <v>#VALUE!</v>
      </c>
      <c r="L130" s="160" t="e">
        <f ca="1">IF(G130="Всього:",SUM($L$5:L129),$E$4)</f>
        <v>#VALUE!</v>
      </c>
      <c r="M130" s="160" t="e">
        <f ca="1">IF(G130="Всього:",SUM($M$5:M129),IF($E$5="UAH",J130+L130+K130,J130+K130))</f>
        <v>#VALUE!</v>
      </c>
      <c r="N130" s="160" t="e">
        <f ca="1">IF(G130="Всього:",SUM($N$4:N129),IF($E$5="UAH","",L130))</f>
        <v>#VALUE!</v>
      </c>
      <c r="O130" s="160" t="e">
        <f t="shared" ca="1" si="4"/>
        <v>#VALUE!</v>
      </c>
    </row>
    <row r="131" spans="6:15" x14ac:dyDescent="0.3">
      <c r="F131" s="160" t="e">
        <f t="shared" ca="1" si="5"/>
        <v>#VALUE!</v>
      </c>
      <c r="G131" s="160" t="e">
        <f t="shared" ca="1" si="7"/>
        <v>#VALUE!</v>
      </c>
      <c r="H131" s="160" t="str">
        <f t="shared" ca="1" si="6"/>
        <v/>
      </c>
      <c r="I131" s="160" t="e">
        <f ca="1">IF($G131="Всього:",SUM($I$4:I130),IF(AND(DAY($C$4)&gt;=15,H131=1),K131+L131,$C$32))</f>
        <v>#VALUE!</v>
      </c>
      <c r="J131" s="160" t="e">
        <f ca="1">IF($G131="Всього:",SUM($J$4:J130),IF(I131-SUM(K131:L131)&lt;0,0,I131-SUM(K131:L131)))</f>
        <v>#VALUE!</v>
      </c>
      <c r="K131" s="160" t="e">
        <f ca="1">IF(G131="Всього:",SUM($K$5:K130),IF(F131&lt;&gt;F130,(F131*O130/36000*(G131-CONCATENATE(DAY($C$4),".",MONTH(G130),".",YEAR(G130)))+(F130*O130/36000*(CONCATENATE(DAY($C$4),".",MONTH(G130),".",YEAR(G130))-G130))),F131*O130/36000*(G131-G130)))</f>
        <v>#VALUE!</v>
      </c>
      <c r="L131" s="160" t="e">
        <f ca="1">IF(G131="Всього:",SUM($L$5:L130),$E$4)</f>
        <v>#VALUE!</v>
      </c>
      <c r="M131" s="160" t="e">
        <f ca="1">IF(G131="Всього:",SUM($M$5:M130),IF($E$5="UAH",J131+L131+K131,J131+K131))</f>
        <v>#VALUE!</v>
      </c>
      <c r="N131" s="160" t="e">
        <f ca="1">IF(G131="Всього:",SUM($N$4:N130),IF($E$5="UAH","",L131))</f>
        <v>#VALUE!</v>
      </c>
      <c r="O131" s="160" t="e">
        <f t="shared" ca="1" si="4"/>
        <v>#VALUE!</v>
      </c>
    </row>
    <row r="132" spans="6:15" x14ac:dyDescent="0.3">
      <c r="F132" s="160" t="e">
        <f t="shared" ca="1" si="5"/>
        <v>#VALUE!</v>
      </c>
      <c r="G132" s="160" t="e">
        <f t="shared" ca="1" si="7"/>
        <v>#VALUE!</v>
      </c>
      <c r="H132" s="160" t="str">
        <f t="shared" ca="1" si="6"/>
        <v/>
      </c>
      <c r="I132" s="160" t="e">
        <f ca="1">IF($G132="Всього:",SUM($I$4:I131),IF(AND(DAY($C$4)&gt;=15,H132=1),K132+L132,$C$32))</f>
        <v>#VALUE!</v>
      </c>
      <c r="J132" s="160" t="e">
        <f ca="1">IF($G132="Всього:",SUM($J$4:J131),IF(I132-SUM(K132:L132)&lt;0,0,I132-SUM(K132:L132)))</f>
        <v>#VALUE!</v>
      </c>
      <c r="K132" s="160" t="e">
        <f ca="1">IF(G132="Всього:",SUM($K$5:K131),IF(F132&lt;&gt;F131,(F132*O131/36000*(G132-CONCATENATE(DAY($C$4),".",MONTH(G131),".",YEAR(G131)))+(F131*O131/36000*(CONCATENATE(DAY($C$4),".",MONTH(G131),".",YEAR(G131))-G131))),F132*O131/36000*(G132-G131)))</f>
        <v>#VALUE!</v>
      </c>
      <c r="L132" s="160" t="e">
        <f ca="1">IF(G132="Всього:",SUM($L$5:L131),$E$4)</f>
        <v>#VALUE!</v>
      </c>
      <c r="M132" s="160" t="e">
        <f ca="1">IF(G132="Всього:",SUM($M$5:M131),IF($E$5="UAH",J132+L132+K132,J132+K132))</f>
        <v>#VALUE!</v>
      </c>
      <c r="N132" s="160" t="e">
        <f ca="1">IF(G132="Всього:",SUM($N$4:N131),IF($E$5="UAH","",L132))</f>
        <v>#VALUE!</v>
      </c>
      <c r="O132" s="160" t="e">
        <f t="shared" ca="1" si="4"/>
        <v>#VALUE!</v>
      </c>
    </row>
    <row r="133" spans="6:15" x14ac:dyDescent="0.3">
      <c r="F133" s="160" t="e">
        <f t="shared" ca="1" si="5"/>
        <v>#VALUE!</v>
      </c>
      <c r="G133" s="160" t="e">
        <f t="shared" ca="1" si="7"/>
        <v>#VALUE!</v>
      </c>
      <c r="H133" s="160" t="str">
        <f t="shared" ca="1" si="6"/>
        <v/>
      </c>
      <c r="I133" s="160" t="e">
        <f ca="1">IF($G133="Всього:",SUM($I$4:I132),IF(AND(DAY($C$4)&gt;=15,H133=1),K133+L133,$C$32))</f>
        <v>#VALUE!</v>
      </c>
      <c r="J133" s="160" t="e">
        <f ca="1">IF($G133="Всього:",SUM($J$4:J132),IF(I133-SUM(K133:L133)&lt;0,0,I133-SUM(K133:L133)))</f>
        <v>#VALUE!</v>
      </c>
      <c r="K133" s="160" t="e">
        <f ca="1">IF(G133="Всього:",SUM($K$5:K132),IF(F133&lt;&gt;F132,(F133*O132/36000*(G133-CONCATENATE(DAY($C$4),".",MONTH(G132),".",YEAR(G132)))+(F132*O132/36000*(CONCATENATE(DAY($C$4),".",MONTH(G132),".",YEAR(G132))-G132))),F133*O132/36000*(G133-G132)))</f>
        <v>#VALUE!</v>
      </c>
      <c r="L133" s="160" t="e">
        <f ca="1">IF(G133="Всього:",SUM($L$5:L132),$E$4)</f>
        <v>#VALUE!</v>
      </c>
      <c r="M133" s="160" t="e">
        <f ca="1">IF(G133="Всього:",SUM($M$5:M132),IF($E$5="UAH",J133+L133+K133,J133+K133))</f>
        <v>#VALUE!</v>
      </c>
      <c r="N133" s="160" t="e">
        <f ca="1">IF(G133="Всього:",SUM($N$4:N132),IF($E$5="UAH","",L133))</f>
        <v>#VALUE!</v>
      </c>
      <c r="O133" s="160" t="e">
        <f t="shared" ref="O133:O196" ca="1" si="8">O132-J133</f>
        <v>#VALUE!</v>
      </c>
    </row>
    <row r="134" spans="6:15" x14ac:dyDescent="0.3">
      <c r="F134" s="160" t="e">
        <f t="shared" ref="F134:F197" ca="1" si="9">IF(G134="Всього:","",IF(AND(G134&gt;$B$9,G134&lt;=$B$10),$C$16,IF(AND(G134&gt;$B$9,G134&lt;=$B$11),$D$16,IF(AND(G134&gt;$B$10,G134&lt;=$B$14),$E$16,$B$16))))</f>
        <v>#VALUE!</v>
      </c>
      <c r="G134" s="160" t="e">
        <f t="shared" ca="1" si="7"/>
        <v>#VALUE!</v>
      </c>
      <c r="H134" s="160" t="str">
        <f t="shared" ref="H134:H197" ca="1" si="10">IF(H133&gt;$E$8,"",H133+1)</f>
        <v/>
      </c>
      <c r="I134" s="160" t="e">
        <f ca="1">IF($G134="Всього:",SUM($I$4:I133),IF(AND(DAY($C$4)&gt;=15,H134=1),K134+L134,$C$32))</f>
        <v>#VALUE!</v>
      </c>
      <c r="J134" s="160" t="e">
        <f ca="1">IF($G134="Всього:",SUM($J$4:J133),IF(I134-SUM(K134:L134)&lt;0,0,I134-SUM(K134:L134)))</f>
        <v>#VALUE!</v>
      </c>
      <c r="K134" s="160" t="e">
        <f ca="1">IF(G134="Всього:",SUM($K$5:K133),IF(F134&lt;&gt;F133,(F134*O133/36000*(G134-CONCATENATE(DAY($C$4),".",MONTH(G133),".",YEAR(G133)))+(F133*O133/36000*(CONCATENATE(DAY($C$4),".",MONTH(G133),".",YEAR(G133))-G133))),F134*O133/36000*(G134-G133)))</f>
        <v>#VALUE!</v>
      </c>
      <c r="L134" s="160" t="e">
        <f ca="1">IF(G134="Всього:",SUM($L$5:L133),$E$4)</f>
        <v>#VALUE!</v>
      </c>
      <c r="M134" s="160" t="e">
        <f ca="1">IF(G134="Всього:",SUM($M$5:M133),IF($E$5="UAH",J134+L134+K134,J134+K134))</f>
        <v>#VALUE!</v>
      </c>
      <c r="N134" s="160" t="e">
        <f ca="1">IF(G134="Всього:",SUM($N$4:N133),IF($E$5="UAH","",L134))</f>
        <v>#VALUE!</v>
      </c>
      <c r="O134" s="160" t="e">
        <f t="shared" ca="1" si="8"/>
        <v>#VALUE!</v>
      </c>
    </row>
    <row r="135" spans="6:15" x14ac:dyDescent="0.3">
      <c r="F135" s="160" t="e">
        <f t="shared" ca="1" si="9"/>
        <v>#VALUE!</v>
      </c>
      <c r="G135" s="160" t="e">
        <f t="shared" ref="G135:G198" ca="1" si="11">IF(H134=$E$8,"Всього:",IF($E$3+1=H135,$B$14,DATE(YEAR(G134),MONTH(G134)+1,IF($B$7&lt;&gt;"",DAY(IF($B$7&gt;DAY(EOMONTH(G134,1)),EOMONTH(G134,1),$B$7)),DAY(1)))))</f>
        <v>#VALUE!</v>
      </c>
      <c r="H135" s="160" t="str">
        <f t="shared" ca="1" si="10"/>
        <v/>
      </c>
      <c r="I135" s="160" t="e">
        <f ca="1">IF($G135="Всього:",SUM($I$4:I134),IF(AND(DAY($C$4)&gt;=15,H135=1),K135+L135,$C$32))</f>
        <v>#VALUE!</v>
      </c>
      <c r="J135" s="160" t="e">
        <f ca="1">IF($G135="Всього:",SUM($J$4:J134),IF(I135-SUM(K135:L135)&lt;0,0,I135-SUM(K135:L135)))</f>
        <v>#VALUE!</v>
      </c>
      <c r="K135" s="160" t="e">
        <f ca="1">IF(G135="Всього:",SUM($K$5:K134),IF(F135&lt;&gt;F134,(F135*O134/36000*(G135-CONCATENATE(DAY($C$4),".",MONTH(G134),".",YEAR(G134)))+(F134*O134/36000*(CONCATENATE(DAY($C$4),".",MONTH(G134),".",YEAR(G134))-G134))),F135*O134/36000*(G135-G134)))</f>
        <v>#VALUE!</v>
      </c>
      <c r="L135" s="160" t="e">
        <f ca="1">IF(G135="Всього:",SUM($L$5:L134),$E$4)</f>
        <v>#VALUE!</v>
      </c>
      <c r="M135" s="160" t="e">
        <f ca="1">IF(G135="Всього:",SUM($M$5:M134),IF($E$5="UAH",J135+L135+K135,J135+K135))</f>
        <v>#VALUE!</v>
      </c>
      <c r="N135" s="160" t="e">
        <f ca="1">IF(G135="Всього:",SUM($N$4:N134),IF($E$5="UAH","",L135))</f>
        <v>#VALUE!</v>
      </c>
      <c r="O135" s="160" t="e">
        <f t="shared" ca="1" si="8"/>
        <v>#VALUE!</v>
      </c>
    </row>
    <row r="136" spans="6:15" x14ac:dyDescent="0.3">
      <c r="F136" s="160" t="e">
        <f t="shared" ca="1" si="9"/>
        <v>#VALUE!</v>
      </c>
      <c r="G136" s="160" t="e">
        <f t="shared" ca="1" si="11"/>
        <v>#VALUE!</v>
      </c>
      <c r="H136" s="160" t="str">
        <f t="shared" ca="1" si="10"/>
        <v/>
      </c>
      <c r="I136" s="160" t="e">
        <f ca="1">IF($G136="Всього:",SUM($I$4:I135),IF(AND(DAY($C$4)&gt;=15,H136=1),K136+L136,$C$32))</f>
        <v>#VALUE!</v>
      </c>
      <c r="J136" s="160" t="e">
        <f ca="1">IF($G136="Всього:",SUM($J$4:J135),IF(I136-SUM(K136:L136)&lt;0,0,I136-SUM(K136:L136)))</f>
        <v>#VALUE!</v>
      </c>
      <c r="K136" s="160" t="e">
        <f ca="1">IF(G136="Всього:",SUM($K$5:K135),IF(F136&lt;&gt;F135,(F136*O135/36000*(G136-CONCATENATE(DAY($C$4),".",MONTH(G135),".",YEAR(G135)))+(F135*O135/36000*(CONCATENATE(DAY($C$4),".",MONTH(G135),".",YEAR(G135))-G135))),F136*O135/36000*(G136-G135)))</f>
        <v>#VALUE!</v>
      </c>
      <c r="L136" s="160" t="e">
        <f ca="1">IF(G136="Всього:",SUM($L$5:L135),$E$4)</f>
        <v>#VALUE!</v>
      </c>
      <c r="M136" s="160" t="e">
        <f ca="1">IF(G136="Всього:",SUM($M$5:M135),IF($E$5="UAH",J136+L136+K136,J136+K136))</f>
        <v>#VALUE!</v>
      </c>
      <c r="N136" s="160" t="e">
        <f ca="1">IF(G136="Всього:",SUM($N$4:N135),IF($E$5="UAH","",L136))</f>
        <v>#VALUE!</v>
      </c>
      <c r="O136" s="160" t="e">
        <f t="shared" ca="1" si="8"/>
        <v>#VALUE!</v>
      </c>
    </row>
    <row r="137" spans="6:15" x14ac:dyDescent="0.3">
      <c r="F137" s="160" t="e">
        <f t="shared" ca="1" si="9"/>
        <v>#VALUE!</v>
      </c>
      <c r="G137" s="160" t="e">
        <f t="shared" ca="1" si="11"/>
        <v>#VALUE!</v>
      </c>
      <c r="H137" s="160" t="str">
        <f t="shared" ca="1" si="10"/>
        <v/>
      </c>
      <c r="I137" s="160" t="e">
        <f ca="1">IF($G137="Всього:",SUM($I$4:I136),IF(AND(DAY($C$4)&gt;=15,H137=1),K137+L137,$C$32))</f>
        <v>#VALUE!</v>
      </c>
      <c r="J137" s="160" t="e">
        <f ca="1">IF($G137="Всього:",SUM($J$4:J136),IF(I137-SUM(K137:L137)&lt;0,0,I137-SUM(K137:L137)))</f>
        <v>#VALUE!</v>
      </c>
      <c r="K137" s="160" t="e">
        <f ca="1">IF(G137="Всього:",SUM($K$5:K136),IF(F137&lt;&gt;F136,(F137*O136/36000*(G137-CONCATENATE(DAY($C$4),".",MONTH(G136),".",YEAR(G136)))+(F136*O136/36000*(CONCATENATE(DAY($C$4),".",MONTH(G136),".",YEAR(G136))-G136))),F137*O136/36000*(G137-G136)))</f>
        <v>#VALUE!</v>
      </c>
      <c r="L137" s="160" t="e">
        <f ca="1">IF(G137="Всього:",SUM($L$5:L136),$E$4)</f>
        <v>#VALUE!</v>
      </c>
      <c r="M137" s="160" t="e">
        <f ca="1">IF(G137="Всього:",SUM($M$5:M136),IF($E$5="UAH",J137+L137+K137,J137+K137))</f>
        <v>#VALUE!</v>
      </c>
      <c r="N137" s="160" t="e">
        <f ca="1">IF(G137="Всього:",SUM($N$4:N136),IF($E$5="UAH","",L137))</f>
        <v>#VALUE!</v>
      </c>
      <c r="O137" s="160" t="e">
        <f t="shared" ca="1" si="8"/>
        <v>#VALUE!</v>
      </c>
    </row>
    <row r="138" spans="6:15" x14ac:dyDescent="0.3">
      <c r="F138" s="160" t="e">
        <f t="shared" ca="1" si="9"/>
        <v>#VALUE!</v>
      </c>
      <c r="G138" s="160" t="e">
        <f t="shared" ca="1" si="11"/>
        <v>#VALUE!</v>
      </c>
      <c r="H138" s="160" t="str">
        <f t="shared" ca="1" si="10"/>
        <v/>
      </c>
      <c r="I138" s="160" t="e">
        <f ca="1">IF($G138="Всього:",SUM($I$4:I137),IF(AND(DAY($C$4)&gt;=15,H138=1),K138+L138,$C$32))</f>
        <v>#VALUE!</v>
      </c>
      <c r="J138" s="160" t="e">
        <f ca="1">IF($G138="Всього:",SUM($J$4:J137),IF(I138-SUM(K138:L138)&lt;0,0,I138-SUM(K138:L138)))</f>
        <v>#VALUE!</v>
      </c>
      <c r="K138" s="160" t="e">
        <f ca="1">IF(G138="Всього:",SUM($K$5:K137),IF(F138&lt;&gt;F137,(F138*O137/36000*(G138-CONCATENATE(DAY($C$4),".",MONTH(G137),".",YEAR(G137)))+(F137*O137/36000*(CONCATENATE(DAY($C$4),".",MONTH(G137),".",YEAR(G137))-G137))),F138*O137/36000*(G138-G137)))</f>
        <v>#VALUE!</v>
      </c>
      <c r="L138" s="160" t="e">
        <f ca="1">IF(G138="Всього:",SUM($L$5:L137),$E$4)</f>
        <v>#VALUE!</v>
      </c>
      <c r="M138" s="160" t="e">
        <f ca="1">IF(G138="Всього:",SUM($M$5:M137),IF($E$5="UAH",J138+L138+K138,J138+K138))</f>
        <v>#VALUE!</v>
      </c>
      <c r="N138" s="160" t="e">
        <f ca="1">IF(G138="Всього:",SUM($N$4:N137),IF($E$5="UAH","",L138))</f>
        <v>#VALUE!</v>
      </c>
      <c r="O138" s="160" t="e">
        <f t="shared" ca="1" si="8"/>
        <v>#VALUE!</v>
      </c>
    </row>
    <row r="139" spans="6:15" x14ac:dyDescent="0.3">
      <c r="F139" s="160" t="e">
        <f t="shared" ca="1" si="9"/>
        <v>#VALUE!</v>
      </c>
      <c r="G139" s="160" t="e">
        <f t="shared" ca="1" si="11"/>
        <v>#VALUE!</v>
      </c>
      <c r="H139" s="160" t="str">
        <f t="shared" ca="1" si="10"/>
        <v/>
      </c>
      <c r="I139" s="160" t="e">
        <f ca="1">IF($G139="Всього:",SUM($I$4:I138),IF(AND(DAY($C$4)&gt;=15,H139=1),K139+L139,$C$32))</f>
        <v>#VALUE!</v>
      </c>
      <c r="J139" s="160" t="e">
        <f ca="1">IF($G139="Всього:",SUM($J$4:J138),IF(I139-SUM(K139:L139)&lt;0,0,I139-SUM(K139:L139)))</f>
        <v>#VALUE!</v>
      </c>
      <c r="K139" s="160" t="e">
        <f ca="1">IF(G139="Всього:",SUM($K$5:K138),IF(F139&lt;&gt;F138,(F139*O138/36000*(G139-CONCATENATE(DAY($C$4),".",MONTH(G138),".",YEAR(G138)))+(F138*O138/36000*(CONCATENATE(DAY($C$4),".",MONTH(G138),".",YEAR(G138))-G138))),F139*O138/36000*(G139-G138)))</f>
        <v>#VALUE!</v>
      </c>
      <c r="L139" s="160" t="e">
        <f ca="1">IF(G139="Всього:",SUM($L$5:L138),$E$4)</f>
        <v>#VALUE!</v>
      </c>
      <c r="M139" s="160" t="e">
        <f ca="1">IF(G139="Всього:",SUM($M$5:M138),IF($E$5="UAH",J139+L139+K139,J139+K139))</f>
        <v>#VALUE!</v>
      </c>
      <c r="N139" s="160" t="e">
        <f ca="1">IF(G139="Всього:",SUM($N$4:N138),IF($E$5="UAH","",L139))</f>
        <v>#VALUE!</v>
      </c>
      <c r="O139" s="160" t="e">
        <f t="shared" ca="1" si="8"/>
        <v>#VALUE!</v>
      </c>
    </row>
    <row r="140" spans="6:15" x14ac:dyDescent="0.3">
      <c r="F140" s="160" t="e">
        <f t="shared" ca="1" si="9"/>
        <v>#VALUE!</v>
      </c>
      <c r="G140" s="160" t="e">
        <f t="shared" ca="1" si="11"/>
        <v>#VALUE!</v>
      </c>
      <c r="H140" s="160" t="str">
        <f t="shared" ca="1" si="10"/>
        <v/>
      </c>
      <c r="I140" s="160" t="e">
        <f ca="1">IF($G140="Всього:",SUM($I$4:I139),IF(AND(DAY($C$4)&gt;=15,H140=1),K140+L140,$C$32))</f>
        <v>#VALUE!</v>
      </c>
      <c r="J140" s="160" t="e">
        <f ca="1">IF($G140="Всього:",SUM($J$4:J139),IF(I140-SUM(K140:L140)&lt;0,0,I140-SUM(K140:L140)))</f>
        <v>#VALUE!</v>
      </c>
      <c r="K140" s="160" t="e">
        <f ca="1">IF(G140="Всього:",SUM($K$5:K139),IF(F140&lt;&gt;F139,(F140*O139/36000*(G140-CONCATENATE(DAY($C$4),".",MONTH(G139),".",YEAR(G139)))+(F139*O139/36000*(CONCATENATE(DAY($C$4),".",MONTH(G139),".",YEAR(G139))-G139))),F140*O139/36000*(G140-G139)))</f>
        <v>#VALUE!</v>
      </c>
      <c r="L140" s="160" t="e">
        <f ca="1">IF(G140="Всього:",SUM($L$5:L139),$E$4)</f>
        <v>#VALUE!</v>
      </c>
      <c r="M140" s="160" t="e">
        <f ca="1">IF(G140="Всього:",SUM($M$5:M139),IF($E$5="UAH",J140+L140+K140,J140+K140))</f>
        <v>#VALUE!</v>
      </c>
      <c r="N140" s="160" t="e">
        <f ca="1">IF(G140="Всього:",SUM($N$4:N139),IF($E$5="UAH","",L140))</f>
        <v>#VALUE!</v>
      </c>
      <c r="O140" s="160" t="e">
        <f t="shared" ca="1" si="8"/>
        <v>#VALUE!</v>
      </c>
    </row>
    <row r="141" spans="6:15" x14ac:dyDescent="0.3">
      <c r="F141" s="160" t="e">
        <f t="shared" ca="1" si="9"/>
        <v>#VALUE!</v>
      </c>
      <c r="G141" s="160" t="e">
        <f t="shared" ca="1" si="11"/>
        <v>#VALUE!</v>
      </c>
      <c r="H141" s="160" t="str">
        <f t="shared" ca="1" si="10"/>
        <v/>
      </c>
      <c r="I141" s="160" t="e">
        <f ca="1">IF($G141="Всього:",SUM($I$4:I140),IF(AND(DAY($C$4)&gt;=15,H141=1),K141+L141,$C$32))</f>
        <v>#VALUE!</v>
      </c>
      <c r="J141" s="160" t="e">
        <f ca="1">IF($G141="Всього:",SUM($J$4:J140),IF(I141-SUM(K141:L141)&lt;0,0,I141-SUM(K141:L141)))</f>
        <v>#VALUE!</v>
      </c>
      <c r="K141" s="160" t="e">
        <f ca="1">IF(G141="Всього:",SUM($K$5:K140),IF(F141&lt;&gt;F140,(F141*O140/36000*(G141-CONCATENATE(DAY($C$4),".",MONTH(G140),".",YEAR(G140)))+(F140*O140/36000*(CONCATENATE(DAY($C$4),".",MONTH(G140),".",YEAR(G140))-G140))),F141*O140/36000*(G141-G140)))</f>
        <v>#VALUE!</v>
      </c>
      <c r="L141" s="160" t="e">
        <f ca="1">IF(G141="Всього:",SUM($L$5:L140),$E$4)</f>
        <v>#VALUE!</v>
      </c>
      <c r="M141" s="160" t="e">
        <f ca="1">IF(G141="Всього:",SUM($M$5:M140),IF($E$5="UAH",J141+L141+K141,J141+K141))</f>
        <v>#VALUE!</v>
      </c>
      <c r="N141" s="160" t="e">
        <f ca="1">IF(G141="Всього:",SUM($N$4:N140),IF($E$5="UAH","",L141))</f>
        <v>#VALUE!</v>
      </c>
      <c r="O141" s="160" t="e">
        <f t="shared" ca="1" si="8"/>
        <v>#VALUE!</v>
      </c>
    </row>
    <row r="142" spans="6:15" x14ac:dyDescent="0.3">
      <c r="F142" s="160" t="e">
        <f t="shared" ca="1" si="9"/>
        <v>#VALUE!</v>
      </c>
      <c r="G142" s="160" t="e">
        <f t="shared" ca="1" si="11"/>
        <v>#VALUE!</v>
      </c>
      <c r="H142" s="160" t="str">
        <f t="shared" ca="1" si="10"/>
        <v/>
      </c>
      <c r="I142" s="160" t="e">
        <f ca="1">IF($G142="Всього:",SUM($I$4:I141),IF(AND(DAY($C$4)&gt;=15,H142=1),K142+L142,$C$32))</f>
        <v>#VALUE!</v>
      </c>
      <c r="J142" s="160" t="e">
        <f ca="1">IF($G142="Всього:",SUM($J$4:J141),IF(I142-SUM(K142:L142)&lt;0,0,I142-SUM(K142:L142)))</f>
        <v>#VALUE!</v>
      </c>
      <c r="K142" s="160" t="e">
        <f ca="1">IF(G142="Всього:",SUM($K$5:K141),IF(F142&lt;&gt;F141,(F142*O141/36000*(G142-CONCATENATE(DAY($C$4),".",MONTH(G141),".",YEAR(G141)))+(F141*O141/36000*(CONCATENATE(DAY($C$4),".",MONTH(G141),".",YEAR(G141))-G141))),F142*O141/36000*(G142-G141)))</f>
        <v>#VALUE!</v>
      </c>
      <c r="L142" s="160" t="e">
        <f ca="1">IF(G142="Всього:",SUM($L$5:L141),$E$4)</f>
        <v>#VALUE!</v>
      </c>
      <c r="M142" s="160" t="e">
        <f ca="1">IF(G142="Всього:",SUM($M$5:M141),IF($E$5="UAH",J142+L142+K142,J142+K142))</f>
        <v>#VALUE!</v>
      </c>
      <c r="N142" s="160" t="e">
        <f ca="1">IF(G142="Всього:",SUM($N$4:N141),IF($E$5="UAH","",L142))</f>
        <v>#VALUE!</v>
      </c>
      <c r="O142" s="160" t="e">
        <f t="shared" ca="1" si="8"/>
        <v>#VALUE!</v>
      </c>
    </row>
    <row r="143" spans="6:15" x14ac:dyDescent="0.3">
      <c r="F143" s="160" t="e">
        <f t="shared" ca="1" si="9"/>
        <v>#VALUE!</v>
      </c>
      <c r="G143" s="160" t="e">
        <f t="shared" ca="1" si="11"/>
        <v>#VALUE!</v>
      </c>
      <c r="H143" s="160" t="str">
        <f t="shared" ca="1" si="10"/>
        <v/>
      </c>
      <c r="I143" s="160" t="e">
        <f ca="1">IF($G143="Всього:",SUM($I$4:I142),IF(AND(DAY($C$4)&gt;=15,H143=1),K143+L143,$C$32))</f>
        <v>#VALUE!</v>
      </c>
      <c r="J143" s="160" t="e">
        <f ca="1">IF($G143="Всього:",SUM($J$4:J142),IF(I143-SUM(K143:L143)&lt;0,0,I143-SUM(K143:L143)))</f>
        <v>#VALUE!</v>
      </c>
      <c r="K143" s="160" t="e">
        <f ca="1">IF(G143="Всього:",SUM($K$5:K142),IF(F143&lt;&gt;F142,(F143*O142/36000*(G143-CONCATENATE(DAY($C$4),".",MONTH(G142),".",YEAR(G142)))+(F142*O142/36000*(CONCATENATE(DAY($C$4),".",MONTH(G142),".",YEAR(G142))-G142))),F143*O142/36000*(G143-G142)))</f>
        <v>#VALUE!</v>
      </c>
      <c r="L143" s="160" t="e">
        <f ca="1">IF(G143="Всього:",SUM($L$5:L142),$E$4)</f>
        <v>#VALUE!</v>
      </c>
      <c r="M143" s="160" t="e">
        <f ca="1">IF(G143="Всього:",SUM($M$5:M142),IF($E$5="UAH",J143+L143+K143,J143+K143))</f>
        <v>#VALUE!</v>
      </c>
      <c r="N143" s="160" t="e">
        <f ca="1">IF(G143="Всього:",SUM($N$4:N142),IF($E$5="UAH","",L143))</f>
        <v>#VALUE!</v>
      </c>
      <c r="O143" s="160" t="e">
        <f t="shared" ca="1" si="8"/>
        <v>#VALUE!</v>
      </c>
    </row>
    <row r="144" spans="6:15" x14ac:dyDescent="0.3">
      <c r="F144" s="160" t="e">
        <f t="shared" ca="1" si="9"/>
        <v>#VALUE!</v>
      </c>
      <c r="G144" s="160" t="e">
        <f t="shared" ca="1" si="11"/>
        <v>#VALUE!</v>
      </c>
      <c r="H144" s="160" t="str">
        <f t="shared" ca="1" si="10"/>
        <v/>
      </c>
      <c r="I144" s="160" t="e">
        <f ca="1">IF($G144="Всього:",SUM($I$4:I143),IF(AND(DAY($C$4)&gt;=15,H144=1),K144+L144,$C$32))</f>
        <v>#VALUE!</v>
      </c>
      <c r="J144" s="160" t="e">
        <f ca="1">IF($G144="Всього:",SUM($J$4:J143),IF(I144-SUM(K144:L144)&lt;0,0,I144-SUM(K144:L144)))</f>
        <v>#VALUE!</v>
      </c>
      <c r="K144" s="160" t="e">
        <f ca="1">IF(G144="Всього:",SUM($K$5:K143),IF(F144&lt;&gt;F143,(F144*O143/36000*(G144-CONCATENATE(DAY($C$4),".",MONTH(G143),".",YEAR(G143)))+(F143*O143/36000*(CONCATENATE(DAY($C$4),".",MONTH(G143),".",YEAR(G143))-G143))),F144*O143/36000*(G144-G143)))</f>
        <v>#VALUE!</v>
      </c>
      <c r="L144" s="160" t="e">
        <f ca="1">IF(G144="Всього:",SUM($L$5:L143),$E$4)</f>
        <v>#VALUE!</v>
      </c>
      <c r="M144" s="160" t="e">
        <f ca="1">IF(G144="Всього:",SUM($M$5:M143),IF($E$5="UAH",J144+L144+K144,J144+K144))</f>
        <v>#VALUE!</v>
      </c>
      <c r="N144" s="160" t="e">
        <f ca="1">IF(G144="Всього:",SUM($N$4:N143),IF($E$5="UAH","",L144))</f>
        <v>#VALUE!</v>
      </c>
      <c r="O144" s="160" t="e">
        <f t="shared" ca="1" si="8"/>
        <v>#VALUE!</v>
      </c>
    </row>
    <row r="145" spans="6:15" x14ac:dyDescent="0.3">
      <c r="F145" s="160" t="e">
        <f t="shared" ca="1" si="9"/>
        <v>#VALUE!</v>
      </c>
      <c r="G145" s="160" t="e">
        <f t="shared" ca="1" si="11"/>
        <v>#VALUE!</v>
      </c>
      <c r="H145" s="160" t="str">
        <f t="shared" ca="1" si="10"/>
        <v/>
      </c>
      <c r="I145" s="160" t="e">
        <f ca="1">IF($G145="Всього:",SUM($I$4:I144),IF(AND(DAY($C$4)&gt;=15,H145=1),K145+L145,$C$32))</f>
        <v>#VALUE!</v>
      </c>
      <c r="J145" s="160" t="e">
        <f ca="1">IF($G145="Всього:",SUM($J$4:J144),IF(I145-SUM(K145:L145)&lt;0,0,I145-SUM(K145:L145)))</f>
        <v>#VALUE!</v>
      </c>
      <c r="K145" s="160" t="e">
        <f ca="1">IF(G145="Всього:",SUM($K$5:K144),IF(F145&lt;&gt;F144,(F145*O144/36000*(G145-CONCATENATE(DAY($C$4),".",MONTH(G144),".",YEAR(G144)))+(F144*O144/36000*(CONCATENATE(DAY($C$4),".",MONTH(G144),".",YEAR(G144))-G144))),F145*O144/36000*(G145-G144)))</f>
        <v>#VALUE!</v>
      </c>
      <c r="L145" s="160" t="e">
        <f ca="1">IF(G145="Всього:",SUM($L$5:L144),$E$4)</f>
        <v>#VALUE!</v>
      </c>
      <c r="M145" s="160" t="e">
        <f ca="1">IF(G145="Всього:",SUM($M$5:M144),IF($E$5="UAH",J145+L145+K145,J145+K145))</f>
        <v>#VALUE!</v>
      </c>
      <c r="N145" s="160" t="e">
        <f ca="1">IF(G145="Всього:",SUM($N$4:N144),IF($E$5="UAH","",L145))</f>
        <v>#VALUE!</v>
      </c>
      <c r="O145" s="160" t="e">
        <f t="shared" ca="1" si="8"/>
        <v>#VALUE!</v>
      </c>
    </row>
    <row r="146" spans="6:15" x14ac:dyDescent="0.3">
      <c r="F146" s="160" t="e">
        <f t="shared" ca="1" si="9"/>
        <v>#VALUE!</v>
      </c>
      <c r="G146" s="160" t="e">
        <f t="shared" ca="1" si="11"/>
        <v>#VALUE!</v>
      </c>
      <c r="H146" s="160" t="str">
        <f t="shared" ca="1" si="10"/>
        <v/>
      </c>
      <c r="I146" s="160" t="e">
        <f ca="1">IF($G146="Всього:",SUM($I$4:I145),IF(AND(DAY($C$4)&gt;=15,H146=1),K146+L146,$C$32))</f>
        <v>#VALUE!</v>
      </c>
      <c r="J146" s="160" t="e">
        <f ca="1">IF($G146="Всього:",SUM($J$4:J145),IF(I146-SUM(K146:L146)&lt;0,0,I146-SUM(K146:L146)))</f>
        <v>#VALUE!</v>
      </c>
      <c r="K146" s="160" t="e">
        <f ca="1">IF(G146="Всього:",SUM($K$5:K145),IF(F146&lt;&gt;F145,(F146*O145/36000*(G146-CONCATENATE(DAY($C$4),".",MONTH(G145),".",YEAR(G145)))+(F145*O145/36000*(CONCATENATE(DAY($C$4),".",MONTH(G145),".",YEAR(G145))-G145))),F146*O145/36000*(G146-G145)))</f>
        <v>#VALUE!</v>
      </c>
      <c r="L146" s="160" t="e">
        <f ca="1">IF(G146="Всього:",SUM($L$5:L145),$E$4)</f>
        <v>#VALUE!</v>
      </c>
      <c r="M146" s="160" t="e">
        <f ca="1">IF(G146="Всього:",SUM($M$5:M145),IF($E$5="UAH",J146+L146+K146,J146+K146))</f>
        <v>#VALUE!</v>
      </c>
      <c r="N146" s="160" t="e">
        <f ca="1">IF(G146="Всього:",SUM($N$4:N145),IF($E$5="UAH","",L146))</f>
        <v>#VALUE!</v>
      </c>
      <c r="O146" s="160" t="e">
        <f t="shared" ca="1" si="8"/>
        <v>#VALUE!</v>
      </c>
    </row>
    <row r="147" spans="6:15" x14ac:dyDescent="0.3">
      <c r="F147" s="160" t="e">
        <f t="shared" ca="1" si="9"/>
        <v>#VALUE!</v>
      </c>
      <c r="G147" s="160" t="e">
        <f t="shared" ca="1" si="11"/>
        <v>#VALUE!</v>
      </c>
      <c r="H147" s="160" t="str">
        <f t="shared" ca="1" si="10"/>
        <v/>
      </c>
      <c r="I147" s="160" t="e">
        <f ca="1">IF($G147="Всього:",SUM($I$4:I146),IF(AND(DAY($C$4)&gt;=15,H147=1),K147+L147,$C$32))</f>
        <v>#VALUE!</v>
      </c>
      <c r="J147" s="160" t="e">
        <f ca="1">IF($G147="Всього:",SUM($J$4:J146),IF(I147-SUM(K147:L147)&lt;0,0,I147-SUM(K147:L147)))</f>
        <v>#VALUE!</v>
      </c>
      <c r="K147" s="160" t="e">
        <f ca="1">IF(G147="Всього:",SUM($K$5:K146),IF(F147&lt;&gt;F146,(F147*O146/36000*(G147-CONCATENATE(DAY($C$4),".",MONTH(G146),".",YEAR(G146)))+(F146*O146/36000*(CONCATENATE(DAY($C$4),".",MONTH(G146),".",YEAR(G146))-G146))),F147*O146/36000*(G147-G146)))</f>
        <v>#VALUE!</v>
      </c>
      <c r="L147" s="160" t="e">
        <f ca="1">IF(G147="Всього:",SUM($L$5:L146),$E$4)</f>
        <v>#VALUE!</v>
      </c>
      <c r="M147" s="160" t="e">
        <f ca="1">IF(G147="Всього:",SUM($M$5:M146),IF($E$5="UAH",J147+L147+K147,J147+K147))</f>
        <v>#VALUE!</v>
      </c>
      <c r="N147" s="160" t="e">
        <f ca="1">IF(G147="Всього:",SUM($N$4:N146),IF($E$5="UAH","",L147))</f>
        <v>#VALUE!</v>
      </c>
      <c r="O147" s="160" t="e">
        <f t="shared" ca="1" si="8"/>
        <v>#VALUE!</v>
      </c>
    </row>
    <row r="148" spans="6:15" x14ac:dyDescent="0.3">
      <c r="F148" s="160" t="e">
        <f t="shared" ca="1" si="9"/>
        <v>#VALUE!</v>
      </c>
      <c r="G148" s="160" t="e">
        <f t="shared" ca="1" si="11"/>
        <v>#VALUE!</v>
      </c>
      <c r="H148" s="160" t="str">
        <f t="shared" ca="1" si="10"/>
        <v/>
      </c>
      <c r="I148" s="160" t="e">
        <f ca="1">IF($G148="Всього:",SUM($I$4:I147),IF(AND(DAY($C$4)&gt;=15,H148=1),K148+L148,$C$32))</f>
        <v>#VALUE!</v>
      </c>
      <c r="J148" s="160" t="e">
        <f ca="1">IF($G148="Всього:",SUM($J$4:J147),IF(I148-SUM(K148:L148)&lt;0,0,I148-SUM(K148:L148)))</f>
        <v>#VALUE!</v>
      </c>
      <c r="K148" s="160" t="e">
        <f ca="1">IF(G148="Всього:",SUM($K$5:K147),IF(F148&lt;&gt;F147,(F148*O147/36000*(G148-CONCATENATE(DAY($C$4),".",MONTH(G147),".",YEAR(G147)))+(F147*O147/36000*(CONCATENATE(DAY($C$4),".",MONTH(G147),".",YEAR(G147))-G147))),F148*O147/36000*(G148-G147)))</f>
        <v>#VALUE!</v>
      </c>
      <c r="L148" s="160" t="e">
        <f ca="1">IF(G148="Всього:",SUM($L$5:L147),$E$4)</f>
        <v>#VALUE!</v>
      </c>
      <c r="M148" s="160" t="e">
        <f ca="1">IF(G148="Всього:",SUM($M$5:M147),IF($E$5="UAH",J148+L148+K148,J148+K148))</f>
        <v>#VALUE!</v>
      </c>
      <c r="N148" s="160" t="e">
        <f ca="1">IF(G148="Всього:",SUM($N$4:N147),IF($E$5="UAH","",L148))</f>
        <v>#VALUE!</v>
      </c>
      <c r="O148" s="160" t="e">
        <f t="shared" ca="1" si="8"/>
        <v>#VALUE!</v>
      </c>
    </row>
    <row r="149" spans="6:15" x14ac:dyDescent="0.3">
      <c r="F149" s="160" t="e">
        <f t="shared" ca="1" si="9"/>
        <v>#VALUE!</v>
      </c>
      <c r="G149" s="160" t="e">
        <f t="shared" ca="1" si="11"/>
        <v>#VALUE!</v>
      </c>
      <c r="H149" s="160" t="str">
        <f t="shared" ca="1" si="10"/>
        <v/>
      </c>
      <c r="I149" s="160" t="e">
        <f ca="1">IF($G149="Всього:",SUM($I$4:I148),IF(AND(DAY($C$4)&gt;=15,H149=1),K149+L149,$C$32))</f>
        <v>#VALUE!</v>
      </c>
      <c r="J149" s="160" t="e">
        <f ca="1">IF($G149="Всього:",SUM($J$4:J148),IF(I149-SUM(K149:L149)&lt;0,0,I149-SUM(K149:L149)))</f>
        <v>#VALUE!</v>
      </c>
      <c r="K149" s="160" t="e">
        <f ca="1">IF(G149="Всього:",SUM($K$5:K148),IF(F149&lt;&gt;F148,(F149*O148/36000*(G149-CONCATENATE(DAY($C$4),".",MONTH(G148),".",YEAR(G148)))+(F148*O148/36000*(CONCATENATE(DAY($C$4),".",MONTH(G148),".",YEAR(G148))-G148))),F149*O148/36000*(G149-G148)))</f>
        <v>#VALUE!</v>
      </c>
      <c r="L149" s="160" t="e">
        <f ca="1">IF(G149="Всього:",SUM($L$5:L148),$E$4)</f>
        <v>#VALUE!</v>
      </c>
      <c r="M149" s="160" t="e">
        <f ca="1">IF(G149="Всього:",SUM($M$5:M148),IF($E$5="UAH",J149+L149+K149,J149+K149))</f>
        <v>#VALUE!</v>
      </c>
      <c r="N149" s="160" t="e">
        <f ca="1">IF(G149="Всього:",SUM($N$4:N148),IF($E$5="UAH","",L149))</f>
        <v>#VALUE!</v>
      </c>
      <c r="O149" s="160" t="e">
        <f t="shared" ca="1" si="8"/>
        <v>#VALUE!</v>
      </c>
    </row>
    <row r="150" spans="6:15" x14ac:dyDescent="0.3">
      <c r="F150" s="160" t="e">
        <f t="shared" ca="1" si="9"/>
        <v>#VALUE!</v>
      </c>
      <c r="G150" s="160" t="e">
        <f t="shared" ca="1" si="11"/>
        <v>#VALUE!</v>
      </c>
      <c r="H150" s="160" t="str">
        <f t="shared" ca="1" si="10"/>
        <v/>
      </c>
      <c r="I150" s="160" t="e">
        <f ca="1">IF($G150="Всього:",SUM($I$4:I149),IF(AND(DAY($C$4)&gt;=15,H150=1),K150+L150,$C$32))</f>
        <v>#VALUE!</v>
      </c>
      <c r="J150" s="160" t="e">
        <f ca="1">IF($G150="Всього:",SUM($J$4:J149),IF(I150-SUM(K150:L150)&lt;0,0,I150-SUM(K150:L150)))</f>
        <v>#VALUE!</v>
      </c>
      <c r="K150" s="160" t="e">
        <f ca="1">IF(G150="Всього:",SUM($K$5:K149),IF(F150&lt;&gt;F149,(F150*O149/36000*(G150-CONCATENATE(DAY($C$4),".",MONTH(G149),".",YEAR(G149)))+(F149*O149/36000*(CONCATENATE(DAY($C$4),".",MONTH(G149),".",YEAR(G149))-G149))),F150*O149/36000*(G150-G149)))</f>
        <v>#VALUE!</v>
      </c>
      <c r="L150" s="160" t="e">
        <f ca="1">IF(G150="Всього:",SUM($L$5:L149),$E$4)</f>
        <v>#VALUE!</v>
      </c>
      <c r="M150" s="160" t="e">
        <f ca="1">IF(G150="Всього:",SUM($M$5:M149),IF($E$5="UAH",J150+L150+K150,J150+K150))</f>
        <v>#VALUE!</v>
      </c>
      <c r="N150" s="160" t="e">
        <f ca="1">IF(G150="Всього:",SUM($N$4:N149),IF($E$5="UAH","",L150))</f>
        <v>#VALUE!</v>
      </c>
      <c r="O150" s="160" t="e">
        <f t="shared" ca="1" si="8"/>
        <v>#VALUE!</v>
      </c>
    </row>
    <row r="151" spans="6:15" x14ac:dyDescent="0.3">
      <c r="F151" s="160" t="e">
        <f t="shared" ca="1" si="9"/>
        <v>#VALUE!</v>
      </c>
      <c r="G151" s="160" t="e">
        <f t="shared" ca="1" si="11"/>
        <v>#VALUE!</v>
      </c>
      <c r="H151" s="160" t="str">
        <f t="shared" ca="1" si="10"/>
        <v/>
      </c>
      <c r="I151" s="160" t="e">
        <f ca="1">IF($G151="Всього:",SUM($I$4:I150),IF(AND(DAY($C$4)&gt;=15,H151=1),K151+L151,$C$32))</f>
        <v>#VALUE!</v>
      </c>
      <c r="J151" s="160" t="e">
        <f ca="1">IF($G151="Всього:",SUM($J$4:J150),IF(I151-SUM(K151:L151)&lt;0,0,I151-SUM(K151:L151)))</f>
        <v>#VALUE!</v>
      </c>
      <c r="K151" s="160" t="e">
        <f ca="1">IF(G151="Всього:",SUM($K$5:K150),IF(F151&lt;&gt;F150,(F151*O150/36000*(G151-CONCATENATE(DAY($C$4),".",MONTH(G150),".",YEAR(G150)))+(F150*O150/36000*(CONCATENATE(DAY($C$4),".",MONTH(G150),".",YEAR(G150))-G150))),F151*O150/36000*(G151-G150)))</f>
        <v>#VALUE!</v>
      </c>
      <c r="L151" s="160" t="e">
        <f ca="1">IF(G151="Всього:",SUM($L$5:L150),$E$4)</f>
        <v>#VALUE!</v>
      </c>
      <c r="M151" s="160" t="e">
        <f ca="1">IF(G151="Всього:",SUM($M$5:M150),IF($E$5="UAH",J151+L151+K151,J151+K151))</f>
        <v>#VALUE!</v>
      </c>
      <c r="N151" s="160" t="e">
        <f ca="1">IF(G151="Всього:",SUM($N$4:N150),IF($E$5="UAH","",L151))</f>
        <v>#VALUE!</v>
      </c>
      <c r="O151" s="160" t="e">
        <f t="shared" ca="1" si="8"/>
        <v>#VALUE!</v>
      </c>
    </row>
    <row r="152" spans="6:15" x14ac:dyDescent="0.3">
      <c r="F152" s="160" t="e">
        <f t="shared" ca="1" si="9"/>
        <v>#VALUE!</v>
      </c>
      <c r="G152" s="160" t="e">
        <f t="shared" ca="1" si="11"/>
        <v>#VALUE!</v>
      </c>
      <c r="H152" s="160" t="str">
        <f t="shared" ca="1" si="10"/>
        <v/>
      </c>
      <c r="I152" s="160" t="e">
        <f ca="1">IF($G152="Всього:",SUM($I$4:I151),IF(AND(DAY($C$4)&gt;=15,H152=1),K152+L152,$C$32))</f>
        <v>#VALUE!</v>
      </c>
      <c r="J152" s="160" t="e">
        <f ca="1">IF($G152="Всього:",SUM($J$4:J151),IF(I152-SUM(K152:L152)&lt;0,0,I152-SUM(K152:L152)))</f>
        <v>#VALUE!</v>
      </c>
      <c r="K152" s="160" t="e">
        <f ca="1">IF(G152="Всього:",SUM($K$5:K151),IF(F152&lt;&gt;F151,(F152*O151/36000*(G152-CONCATENATE(DAY($C$4),".",MONTH(G151),".",YEAR(G151)))+(F151*O151/36000*(CONCATENATE(DAY($C$4),".",MONTH(G151),".",YEAR(G151))-G151))),F152*O151/36000*(G152-G151)))</f>
        <v>#VALUE!</v>
      </c>
      <c r="L152" s="160" t="e">
        <f ca="1">IF(G152="Всього:",SUM($L$5:L151),$E$4)</f>
        <v>#VALUE!</v>
      </c>
      <c r="M152" s="160" t="e">
        <f ca="1">IF(G152="Всього:",SUM($M$5:M151),IF($E$5="UAH",J152+L152+K152,J152+K152))</f>
        <v>#VALUE!</v>
      </c>
      <c r="N152" s="160" t="e">
        <f ca="1">IF(G152="Всього:",SUM($N$4:N151),IF($E$5="UAH","",L152))</f>
        <v>#VALUE!</v>
      </c>
      <c r="O152" s="160" t="e">
        <f t="shared" ca="1" si="8"/>
        <v>#VALUE!</v>
      </c>
    </row>
    <row r="153" spans="6:15" x14ac:dyDescent="0.3">
      <c r="F153" s="160" t="e">
        <f t="shared" ca="1" si="9"/>
        <v>#VALUE!</v>
      </c>
      <c r="G153" s="160" t="e">
        <f t="shared" ca="1" si="11"/>
        <v>#VALUE!</v>
      </c>
      <c r="H153" s="160" t="str">
        <f t="shared" ca="1" si="10"/>
        <v/>
      </c>
      <c r="I153" s="160" t="e">
        <f ca="1">IF($G153="Всього:",SUM($I$4:I152),IF(AND(DAY($C$4)&gt;=15,H153=1),K153+L153,$C$32))</f>
        <v>#VALUE!</v>
      </c>
      <c r="J153" s="160" t="e">
        <f ca="1">IF($G153="Всього:",SUM($J$4:J152),IF(I153-SUM(K153:L153)&lt;0,0,I153-SUM(K153:L153)))</f>
        <v>#VALUE!</v>
      </c>
      <c r="K153" s="160" t="e">
        <f ca="1">IF(G153="Всього:",SUM($K$5:K152),IF(F153&lt;&gt;F152,(F153*O152/36000*(G153-CONCATENATE(DAY($C$4),".",MONTH(G152),".",YEAR(G152)))+(F152*O152/36000*(CONCATENATE(DAY($C$4),".",MONTH(G152),".",YEAR(G152))-G152))),F153*O152/36000*(G153-G152)))</f>
        <v>#VALUE!</v>
      </c>
      <c r="L153" s="160" t="e">
        <f ca="1">IF(G153="Всього:",SUM($L$5:L152),$E$4)</f>
        <v>#VALUE!</v>
      </c>
      <c r="M153" s="160" t="e">
        <f ca="1">IF(G153="Всього:",SUM($M$5:M152),IF($E$5="UAH",J153+L153+K153,J153+K153))</f>
        <v>#VALUE!</v>
      </c>
      <c r="N153" s="160" t="e">
        <f ca="1">IF(G153="Всього:",SUM($N$4:N152),IF($E$5="UAH","",L153))</f>
        <v>#VALUE!</v>
      </c>
      <c r="O153" s="160" t="e">
        <f t="shared" ca="1" si="8"/>
        <v>#VALUE!</v>
      </c>
    </row>
    <row r="154" spans="6:15" x14ac:dyDescent="0.3">
      <c r="F154" s="160" t="e">
        <f t="shared" ca="1" si="9"/>
        <v>#VALUE!</v>
      </c>
      <c r="G154" s="160" t="e">
        <f t="shared" ca="1" si="11"/>
        <v>#VALUE!</v>
      </c>
      <c r="H154" s="160" t="str">
        <f t="shared" ca="1" si="10"/>
        <v/>
      </c>
      <c r="I154" s="160" t="e">
        <f ca="1">IF($G154="Всього:",SUM($I$4:I153),IF(AND(DAY($C$4)&gt;=15,H154=1),K154+L154,$C$32))</f>
        <v>#VALUE!</v>
      </c>
      <c r="J154" s="160" t="e">
        <f ca="1">IF($G154="Всього:",SUM($J$4:J153),IF(I154-SUM(K154:L154)&lt;0,0,I154-SUM(K154:L154)))</f>
        <v>#VALUE!</v>
      </c>
      <c r="K154" s="160" t="e">
        <f ca="1">IF(G154="Всього:",SUM($K$5:K153),IF(F154&lt;&gt;F153,(F154*O153/36000*(G154-CONCATENATE(DAY($C$4),".",MONTH(G153),".",YEAR(G153)))+(F153*O153/36000*(CONCATENATE(DAY($C$4),".",MONTH(G153),".",YEAR(G153))-G153))),F154*O153/36000*(G154-G153)))</f>
        <v>#VALUE!</v>
      </c>
      <c r="L154" s="160" t="e">
        <f ca="1">IF(G154="Всього:",SUM($L$5:L153),$E$4)</f>
        <v>#VALUE!</v>
      </c>
      <c r="M154" s="160" t="e">
        <f ca="1">IF(G154="Всього:",SUM($M$5:M153),IF($E$5="UAH",J154+L154+K154,J154+K154))</f>
        <v>#VALUE!</v>
      </c>
      <c r="N154" s="160" t="e">
        <f ca="1">IF(G154="Всього:",SUM($N$4:N153),IF($E$5="UAH","",L154))</f>
        <v>#VALUE!</v>
      </c>
      <c r="O154" s="160" t="e">
        <f t="shared" ca="1" si="8"/>
        <v>#VALUE!</v>
      </c>
    </row>
    <row r="155" spans="6:15" x14ac:dyDescent="0.3">
      <c r="F155" s="160" t="e">
        <f t="shared" ca="1" si="9"/>
        <v>#VALUE!</v>
      </c>
      <c r="G155" s="160" t="e">
        <f t="shared" ca="1" si="11"/>
        <v>#VALUE!</v>
      </c>
      <c r="H155" s="160" t="str">
        <f t="shared" ca="1" si="10"/>
        <v/>
      </c>
      <c r="I155" s="160" t="e">
        <f ca="1">IF($G155="Всього:",SUM($I$4:I154),IF(AND(DAY($C$4)&gt;=15,H155=1),K155+L155,$C$32))</f>
        <v>#VALUE!</v>
      </c>
      <c r="J155" s="160" t="e">
        <f ca="1">IF($G155="Всього:",SUM($J$4:J154),IF(I155-SUM(K155:L155)&lt;0,0,I155-SUM(K155:L155)))</f>
        <v>#VALUE!</v>
      </c>
      <c r="K155" s="160" t="e">
        <f ca="1">IF(G155="Всього:",SUM($K$5:K154),IF(F155&lt;&gt;F154,(F155*O154/36000*(G155-CONCATENATE(DAY($C$4),".",MONTH(G154),".",YEAR(G154)))+(F154*O154/36000*(CONCATENATE(DAY($C$4),".",MONTH(G154),".",YEAR(G154))-G154))),F155*O154/36000*(G155-G154)))</f>
        <v>#VALUE!</v>
      </c>
      <c r="L155" s="160" t="e">
        <f ca="1">IF(G155="Всього:",SUM($L$5:L154),$E$4)</f>
        <v>#VALUE!</v>
      </c>
      <c r="M155" s="160" t="e">
        <f ca="1">IF(G155="Всього:",SUM($M$5:M154),IF($E$5="UAH",J155+L155+K155,J155+K155))</f>
        <v>#VALUE!</v>
      </c>
      <c r="N155" s="160" t="e">
        <f ca="1">IF(G155="Всього:",SUM($N$4:N154),IF($E$5="UAH","",L155))</f>
        <v>#VALUE!</v>
      </c>
      <c r="O155" s="160" t="e">
        <f t="shared" ca="1" si="8"/>
        <v>#VALUE!</v>
      </c>
    </row>
    <row r="156" spans="6:15" x14ac:dyDescent="0.3">
      <c r="F156" s="160" t="e">
        <f t="shared" ca="1" si="9"/>
        <v>#VALUE!</v>
      </c>
      <c r="G156" s="160" t="e">
        <f t="shared" ca="1" si="11"/>
        <v>#VALUE!</v>
      </c>
      <c r="H156" s="160" t="str">
        <f t="shared" ca="1" si="10"/>
        <v/>
      </c>
      <c r="I156" s="160" t="e">
        <f ca="1">IF($G156="Всього:",SUM($I$4:I155),IF(AND(DAY($C$4)&gt;=15,H156=1),K156+L156,$C$32))</f>
        <v>#VALUE!</v>
      </c>
      <c r="J156" s="160" t="e">
        <f ca="1">IF($G156="Всього:",SUM($J$4:J155),IF(I156-SUM(K156:L156)&lt;0,0,I156-SUM(K156:L156)))</f>
        <v>#VALUE!</v>
      </c>
      <c r="K156" s="160" t="e">
        <f ca="1">IF(G156="Всього:",SUM($K$5:K155),IF(F156&lt;&gt;F155,(F156*O155/36000*(G156-CONCATENATE(DAY($C$4),".",MONTH(G155),".",YEAR(G155)))+(F155*O155/36000*(CONCATENATE(DAY($C$4),".",MONTH(G155),".",YEAR(G155))-G155))),F156*O155/36000*(G156-G155)))</f>
        <v>#VALUE!</v>
      </c>
      <c r="L156" s="160" t="e">
        <f ca="1">IF(G156="Всього:",SUM($L$5:L155),$E$4)</f>
        <v>#VALUE!</v>
      </c>
      <c r="M156" s="160" t="e">
        <f ca="1">IF(G156="Всього:",SUM($M$5:M155),IF($E$5="UAH",J156+L156+K156,J156+K156))</f>
        <v>#VALUE!</v>
      </c>
      <c r="N156" s="160" t="e">
        <f ca="1">IF(G156="Всього:",SUM($N$4:N155),IF($E$5="UAH","",L156))</f>
        <v>#VALUE!</v>
      </c>
      <c r="O156" s="160" t="e">
        <f t="shared" ca="1" si="8"/>
        <v>#VALUE!</v>
      </c>
    </row>
    <row r="157" spans="6:15" x14ac:dyDescent="0.3">
      <c r="F157" s="160" t="e">
        <f t="shared" ca="1" si="9"/>
        <v>#VALUE!</v>
      </c>
      <c r="G157" s="160" t="e">
        <f t="shared" ca="1" si="11"/>
        <v>#VALUE!</v>
      </c>
      <c r="H157" s="160" t="str">
        <f t="shared" ca="1" si="10"/>
        <v/>
      </c>
      <c r="I157" s="160" t="e">
        <f ca="1">IF($G157="Всього:",SUM($I$4:I156),IF(AND(DAY($C$4)&gt;=15,H157=1),K157+L157,$C$32))</f>
        <v>#VALUE!</v>
      </c>
      <c r="J157" s="160" t="e">
        <f ca="1">IF($G157="Всього:",SUM($J$4:J156),IF(I157-SUM(K157:L157)&lt;0,0,I157-SUM(K157:L157)))</f>
        <v>#VALUE!</v>
      </c>
      <c r="K157" s="160" t="e">
        <f ca="1">IF(G157="Всього:",SUM($K$5:K156),IF(F157&lt;&gt;F156,(F157*O156/36000*(G157-CONCATENATE(DAY($C$4),".",MONTH(G156),".",YEAR(G156)))+(F156*O156/36000*(CONCATENATE(DAY($C$4),".",MONTH(G156),".",YEAR(G156))-G156))),F157*O156/36000*(G157-G156)))</f>
        <v>#VALUE!</v>
      </c>
      <c r="L157" s="160" t="e">
        <f ca="1">IF(G157="Всього:",SUM($L$5:L156),$E$4)</f>
        <v>#VALUE!</v>
      </c>
      <c r="M157" s="160" t="e">
        <f ca="1">IF(G157="Всього:",SUM($M$5:M156),IF($E$5="UAH",J157+L157+K157,J157+K157))</f>
        <v>#VALUE!</v>
      </c>
      <c r="N157" s="160" t="e">
        <f ca="1">IF(G157="Всього:",SUM($N$4:N156),IF($E$5="UAH","",L157))</f>
        <v>#VALUE!</v>
      </c>
      <c r="O157" s="160" t="e">
        <f t="shared" ca="1" si="8"/>
        <v>#VALUE!</v>
      </c>
    </row>
    <row r="158" spans="6:15" x14ac:dyDescent="0.3">
      <c r="F158" s="160" t="e">
        <f t="shared" ca="1" si="9"/>
        <v>#VALUE!</v>
      </c>
      <c r="G158" s="160" t="e">
        <f t="shared" ca="1" si="11"/>
        <v>#VALUE!</v>
      </c>
      <c r="H158" s="160" t="str">
        <f t="shared" ca="1" si="10"/>
        <v/>
      </c>
      <c r="I158" s="160" t="e">
        <f ca="1">IF($G158="Всього:",SUM($I$4:I157),IF(AND(DAY($C$4)&gt;=15,H158=1),K158+L158,$C$32))</f>
        <v>#VALUE!</v>
      </c>
      <c r="J158" s="160" t="e">
        <f ca="1">IF($G158="Всього:",SUM($J$4:J157),IF(I158-SUM(K158:L158)&lt;0,0,I158-SUM(K158:L158)))</f>
        <v>#VALUE!</v>
      </c>
      <c r="K158" s="160" t="e">
        <f ca="1">IF(G158="Всього:",SUM($K$5:K157),IF(F158&lt;&gt;F157,(F158*O157/36000*(G158-CONCATENATE(DAY($C$4),".",MONTH(G157),".",YEAR(G157)))+(F157*O157/36000*(CONCATENATE(DAY($C$4),".",MONTH(G157),".",YEAR(G157))-G157))),F158*O157/36000*(G158-G157)))</f>
        <v>#VALUE!</v>
      </c>
      <c r="L158" s="160" t="e">
        <f ca="1">IF(G158="Всього:",SUM($L$5:L157),$E$4)</f>
        <v>#VALUE!</v>
      </c>
      <c r="M158" s="160" t="e">
        <f ca="1">IF(G158="Всього:",SUM($M$5:M157),IF($E$5="UAH",J158+L158+K158,J158+K158))</f>
        <v>#VALUE!</v>
      </c>
      <c r="N158" s="160" t="e">
        <f ca="1">IF(G158="Всього:",SUM($N$4:N157),IF($E$5="UAH","",L158))</f>
        <v>#VALUE!</v>
      </c>
      <c r="O158" s="160" t="e">
        <f t="shared" ca="1" si="8"/>
        <v>#VALUE!</v>
      </c>
    </row>
    <row r="159" spans="6:15" x14ac:dyDescent="0.3">
      <c r="F159" s="160" t="e">
        <f t="shared" ca="1" si="9"/>
        <v>#VALUE!</v>
      </c>
      <c r="G159" s="160" t="e">
        <f t="shared" ca="1" si="11"/>
        <v>#VALUE!</v>
      </c>
      <c r="H159" s="160" t="str">
        <f t="shared" ca="1" si="10"/>
        <v/>
      </c>
      <c r="I159" s="160" t="e">
        <f ca="1">IF($G159="Всього:",SUM($I$4:I158),IF(AND(DAY($C$4)&gt;=15,H159=1),K159+L159,$C$32))</f>
        <v>#VALUE!</v>
      </c>
      <c r="J159" s="160" t="e">
        <f ca="1">IF($G159="Всього:",SUM($J$4:J158),IF(I159-SUM(K159:L159)&lt;0,0,I159-SUM(K159:L159)))</f>
        <v>#VALUE!</v>
      </c>
      <c r="K159" s="160" t="e">
        <f ca="1">IF(G159="Всього:",SUM($K$5:K158),IF(F159&lt;&gt;F158,(F159*O158/36000*(G159-CONCATENATE(DAY($C$4),".",MONTH(G158),".",YEAR(G158)))+(F158*O158/36000*(CONCATENATE(DAY($C$4),".",MONTH(G158),".",YEAR(G158))-G158))),F159*O158/36000*(G159-G158)))</f>
        <v>#VALUE!</v>
      </c>
      <c r="L159" s="160" t="e">
        <f ca="1">IF(G159="Всього:",SUM($L$5:L158),$E$4)</f>
        <v>#VALUE!</v>
      </c>
      <c r="M159" s="160" t="e">
        <f ca="1">IF(G159="Всього:",SUM($M$5:M158),IF($E$5="UAH",J159+L159+K159,J159+K159))</f>
        <v>#VALUE!</v>
      </c>
      <c r="N159" s="160" t="e">
        <f ca="1">IF(G159="Всього:",SUM($N$4:N158),IF($E$5="UAH","",L159))</f>
        <v>#VALUE!</v>
      </c>
      <c r="O159" s="160" t="e">
        <f t="shared" ca="1" si="8"/>
        <v>#VALUE!</v>
      </c>
    </row>
    <row r="160" spans="6:15" x14ac:dyDescent="0.3">
      <c r="F160" s="160" t="e">
        <f t="shared" ca="1" si="9"/>
        <v>#VALUE!</v>
      </c>
      <c r="G160" s="160" t="e">
        <f t="shared" ca="1" si="11"/>
        <v>#VALUE!</v>
      </c>
      <c r="H160" s="160" t="str">
        <f t="shared" ca="1" si="10"/>
        <v/>
      </c>
      <c r="I160" s="160" t="e">
        <f ca="1">IF($G160="Всього:",SUM($I$4:I159),IF(AND(DAY($C$4)&gt;=15,H160=1),K160+L160,$C$32))</f>
        <v>#VALUE!</v>
      </c>
      <c r="J160" s="160" t="e">
        <f ca="1">IF($G160="Всього:",SUM($J$4:J159),IF(I160-SUM(K160:L160)&lt;0,0,I160-SUM(K160:L160)))</f>
        <v>#VALUE!</v>
      </c>
      <c r="K160" s="160" t="e">
        <f ca="1">IF(G160="Всього:",SUM($K$5:K159),IF(F160&lt;&gt;F159,(F160*O159/36000*(G160-CONCATENATE(DAY($C$4),".",MONTH(G159),".",YEAR(G159)))+(F159*O159/36000*(CONCATENATE(DAY($C$4),".",MONTH(G159),".",YEAR(G159))-G159))),F160*O159/36000*(G160-G159)))</f>
        <v>#VALUE!</v>
      </c>
      <c r="L160" s="160" t="e">
        <f ca="1">IF(G160="Всього:",SUM($L$5:L159),$E$4)</f>
        <v>#VALUE!</v>
      </c>
      <c r="M160" s="160" t="e">
        <f ca="1">IF(G160="Всього:",SUM($M$5:M159),IF($E$5="UAH",J160+L160+K160,J160+K160))</f>
        <v>#VALUE!</v>
      </c>
      <c r="N160" s="160" t="e">
        <f ca="1">IF(G160="Всього:",SUM($N$4:N159),IF($E$5="UAH","",L160))</f>
        <v>#VALUE!</v>
      </c>
      <c r="O160" s="160" t="e">
        <f t="shared" ca="1" si="8"/>
        <v>#VALUE!</v>
      </c>
    </row>
    <row r="161" spans="6:15" x14ac:dyDescent="0.3">
      <c r="F161" s="160" t="e">
        <f t="shared" ca="1" si="9"/>
        <v>#VALUE!</v>
      </c>
      <c r="G161" s="160" t="e">
        <f t="shared" ca="1" si="11"/>
        <v>#VALUE!</v>
      </c>
      <c r="H161" s="160" t="str">
        <f t="shared" ca="1" si="10"/>
        <v/>
      </c>
      <c r="I161" s="160" t="e">
        <f ca="1">IF($G161="Всього:",SUM($I$4:I160),IF(AND(DAY($C$4)&gt;=15,H161=1),K161+L161,$C$32))</f>
        <v>#VALUE!</v>
      </c>
      <c r="J161" s="160" t="e">
        <f ca="1">IF($G161="Всього:",SUM($J$4:J160),IF(I161-SUM(K161:L161)&lt;0,0,I161-SUM(K161:L161)))</f>
        <v>#VALUE!</v>
      </c>
      <c r="K161" s="160" t="e">
        <f ca="1">IF(G161="Всього:",SUM($K$5:K160),IF(F161&lt;&gt;F160,(F161*O160/36000*(G161-CONCATENATE(DAY($C$4),".",MONTH(G160),".",YEAR(G160)))+(F160*O160/36000*(CONCATENATE(DAY($C$4),".",MONTH(G160),".",YEAR(G160))-G160))),F161*O160/36000*(G161-G160)))</f>
        <v>#VALUE!</v>
      </c>
      <c r="L161" s="160" t="e">
        <f ca="1">IF(G161="Всього:",SUM($L$5:L160),$E$4)</f>
        <v>#VALUE!</v>
      </c>
      <c r="M161" s="160" t="e">
        <f ca="1">IF(G161="Всього:",SUM($M$5:M160),IF($E$5="UAH",J161+L161+K161,J161+K161))</f>
        <v>#VALUE!</v>
      </c>
      <c r="N161" s="160" t="e">
        <f ca="1">IF(G161="Всього:",SUM($N$4:N160),IF($E$5="UAH","",L161))</f>
        <v>#VALUE!</v>
      </c>
      <c r="O161" s="160" t="e">
        <f t="shared" ca="1" si="8"/>
        <v>#VALUE!</v>
      </c>
    </row>
    <row r="162" spans="6:15" x14ac:dyDescent="0.3">
      <c r="F162" s="160" t="e">
        <f t="shared" ca="1" si="9"/>
        <v>#VALUE!</v>
      </c>
      <c r="G162" s="160" t="e">
        <f t="shared" ca="1" si="11"/>
        <v>#VALUE!</v>
      </c>
      <c r="H162" s="160" t="str">
        <f t="shared" ca="1" si="10"/>
        <v/>
      </c>
      <c r="I162" s="160" t="e">
        <f ca="1">IF($G162="Всього:",SUM($I$4:I161),IF(AND(DAY($C$4)&gt;=15,H162=1),K162+L162,$C$32))</f>
        <v>#VALUE!</v>
      </c>
      <c r="J162" s="160" t="e">
        <f ca="1">IF($G162="Всього:",SUM($J$4:J161),IF(I162-SUM(K162:L162)&lt;0,0,I162-SUM(K162:L162)))</f>
        <v>#VALUE!</v>
      </c>
      <c r="K162" s="160" t="e">
        <f ca="1">IF(G162="Всього:",SUM($K$5:K161),IF(F162&lt;&gt;F161,(F162*O161/36000*(G162-CONCATENATE(DAY($C$4),".",MONTH(G161),".",YEAR(G161)))+(F161*O161/36000*(CONCATENATE(DAY($C$4),".",MONTH(G161),".",YEAR(G161))-G161))),F162*O161/36000*(G162-G161)))</f>
        <v>#VALUE!</v>
      </c>
      <c r="L162" s="160" t="e">
        <f ca="1">IF(G162="Всього:",SUM($L$5:L161),$E$4)</f>
        <v>#VALUE!</v>
      </c>
      <c r="M162" s="160" t="e">
        <f ca="1">IF(G162="Всього:",SUM($M$5:M161),IF($E$5="UAH",J162+L162+K162,J162+K162))</f>
        <v>#VALUE!</v>
      </c>
      <c r="N162" s="160" t="e">
        <f ca="1">IF(G162="Всього:",SUM($N$4:N161),IF($E$5="UAH","",L162))</f>
        <v>#VALUE!</v>
      </c>
      <c r="O162" s="160" t="e">
        <f t="shared" ca="1" si="8"/>
        <v>#VALUE!</v>
      </c>
    </row>
    <row r="163" spans="6:15" x14ac:dyDescent="0.3">
      <c r="F163" s="160" t="e">
        <f t="shared" ca="1" si="9"/>
        <v>#VALUE!</v>
      </c>
      <c r="G163" s="160" t="e">
        <f t="shared" ca="1" si="11"/>
        <v>#VALUE!</v>
      </c>
      <c r="H163" s="160" t="str">
        <f t="shared" ca="1" si="10"/>
        <v/>
      </c>
      <c r="I163" s="160" t="e">
        <f ca="1">IF($G163="Всього:",SUM($I$4:I162),IF(AND(DAY($C$4)&gt;=15,H163=1),K163+L163,$C$32))</f>
        <v>#VALUE!</v>
      </c>
      <c r="J163" s="160" t="e">
        <f ca="1">IF($G163="Всього:",SUM($J$4:J162),IF(I163-SUM(K163:L163)&lt;0,0,I163-SUM(K163:L163)))</f>
        <v>#VALUE!</v>
      </c>
      <c r="K163" s="160" t="e">
        <f ca="1">IF(G163="Всього:",SUM($K$5:K162),IF(F163&lt;&gt;F162,(F163*O162/36000*(G163-CONCATENATE(DAY($C$4),".",MONTH(G162),".",YEAR(G162)))+(F162*O162/36000*(CONCATENATE(DAY($C$4),".",MONTH(G162),".",YEAR(G162))-G162))),F163*O162/36000*(G163-G162)))</f>
        <v>#VALUE!</v>
      </c>
      <c r="L163" s="160" t="e">
        <f ca="1">IF(G163="Всього:",SUM($L$5:L162),$E$4)</f>
        <v>#VALUE!</v>
      </c>
      <c r="M163" s="160" t="e">
        <f ca="1">IF(G163="Всього:",SUM($M$5:M162),IF($E$5="UAH",J163+L163+K163,J163+K163))</f>
        <v>#VALUE!</v>
      </c>
      <c r="N163" s="160" t="e">
        <f ca="1">IF(G163="Всього:",SUM($N$4:N162),IF($E$5="UAH","",L163))</f>
        <v>#VALUE!</v>
      </c>
      <c r="O163" s="160" t="e">
        <f t="shared" ca="1" si="8"/>
        <v>#VALUE!</v>
      </c>
    </row>
    <row r="164" spans="6:15" x14ac:dyDescent="0.3">
      <c r="F164" s="160" t="e">
        <f t="shared" ca="1" si="9"/>
        <v>#VALUE!</v>
      </c>
      <c r="G164" s="160" t="e">
        <f t="shared" ca="1" si="11"/>
        <v>#VALUE!</v>
      </c>
      <c r="H164" s="160" t="str">
        <f t="shared" ca="1" si="10"/>
        <v/>
      </c>
      <c r="I164" s="160" t="e">
        <f ca="1">IF($G164="Всього:",SUM($I$4:I163),IF(AND(DAY($C$4)&gt;=15,H164=1),K164+L164,$C$32))</f>
        <v>#VALUE!</v>
      </c>
      <c r="J164" s="160" t="e">
        <f ca="1">IF($G164="Всього:",SUM($J$4:J163),IF(I164-SUM(K164:L164)&lt;0,0,I164-SUM(K164:L164)))</f>
        <v>#VALUE!</v>
      </c>
      <c r="K164" s="160" t="e">
        <f ca="1">IF(G164="Всього:",SUM($K$5:K163),IF(F164&lt;&gt;F163,(F164*O163/36000*(G164-CONCATENATE(DAY($C$4),".",MONTH(G163),".",YEAR(G163)))+(F163*O163/36000*(CONCATENATE(DAY($C$4),".",MONTH(G163),".",YEAR(G163))-G163))),F164*O163/36000*(G164-G163)))</f>
        <v>#VALUE!</v>
      </c>
      <c r="L164" s="160" t="e">
        <f ca="1">IF(G164="Всього:",SUM($L$5:L163),$E$4)</f>
        <v>#VALUE!</v>
      </c>
      <c r="M164" s="160" t="e">
        <f ca="1">IF(G164="Всього:",SUM($M$5:M163),IF($E$5="UAH",J164+L164+K164,J164+K164))</f>
        <v>#VALUE!</v>
      </c>
      <c r="N164" s="160" t="e">
        <f ca="1">IF(G164="Всього:",SUM($N$4:N163),IF($E$5="UAH","",L164))</f>
        <v>#VALUE!</v>
      </c>
      <c r="O164" s="160" t="e">
        <f t="shared" ca="1" si="8"/>
        <v>#VALUE!</v>
      </c>
    </row>
    <row r="165" spans="6:15" x14ac:dyDescent="0.3">
      <c r="F165" s="160" t="e">
        <f t="shared" ca="1" si="9"/>
        <v>#VALUE!</v>
      </c>
      <c r="G165" s="160" t="e">
        <f t="shared" ca="1" si="11"/>
        <v>#VALUE!</v>
      </c>
      <c r="H165" s="160" t="str">
        <f t="shared" ca="1" si="10"/>
        <v/>
      </c>
      <c r="I165" s="160" t="e">
        <f ca="1">IF($G165="Всього:",SUM($I$4:I164),IF(AND(DAY($C$4)&gt;=15,H165=1),K165+L165,$C$32))</f>
        <v>#VALUE!</v>
      </c>
      <c r="J165" s="160" t="e">
        <f ca="1">IF($G165="Всього:",SUM($J$4:J164),IF(I165-SUM(K165:L165)&lt;0,0,I165-SUM(K165:L165)))</f>
        <v>#VALUE!</v>
      </c>
      <c r="K165" s="160" t="e">
        <f ca="1">IF(G165="Всього:",SUM($K$5:K164),IF(F165&lt;&gt;F164,(F165*O164/36000*(G165-CONCATENATE(DAY($C$4),".",MONTH(G164),".",YEAR(G164)))+(F164*O164/36000*(CONCATENATE(DAY($C$4),".",MONTH(G164),".",YEAR(G164))-G164))),F165*O164/36000*(G165-G164)))</f>
        <v>#VALUE!</v>
      </c>
      <c r="L165" s="160" t="e">
        <f ca="1">IF(G165="Всього:",SUM($L$5:L164),$E$4)</f>
        <v>#VALUE!</v>
      </c>
      <c r="M165" s="160" t="e">
        <f ca="1">IF(G165="Всього:",SUM($M$5:M164),IF($E$5="UAH",J165+L165+K165,J165+K165))</f>
        <v>#VALUE!</v>
      </c>
      <c r="N165" s="160" t="e">
        <f ca="1">IF(G165="Всього:",SUM($N$4:N164),IF($E$5="UAH","",L165))</f>
        <v>#VALUE!</v>
      </c>
      <c r="O165" s="160" t="e">
        <f t="shared" ca="1" si="8"/>
        <v>#VALUE!</v>
      </c>
    </row>
    <row r="166" spans="6:15" x14ac:dyDescent="0.3">
      <c r="F166" s="160" t="e">
        <f t="shared" ca="1" si="9"/>
        <v>#VALUE!</v>
      </c>
      <c r="G166" s="160" t="e">
        <f t="shared" ca="1" si="11"/>
        <v>#VALUE!</v>
      </c>
      <c r="H166" s="160" t="str">
        <f t="shared" ca="1" si="10"/>
        <v/>
      </c>
      <c r="I166" s="160" t="e">
        <f ca="1">IF($G166="Всього:",SUM($I$4:I165),IF(AND(DAY($C$4)&gt;=15,H166=1),K166+L166,$C$32))</f>
        <v>#VALUE!</v>
      </c>
      <c r="J166" s="160" t="e">
        <f ca="1">IF($G166="Всього:",SUM($J$4:J165),IF(I166-SUM(K166:L166)&lt;0,0,I166-SUM(K166:L166)))</f>
        <v>#VALUE!</v>
      </c>
      <c r="K166" s="160" t="e">
        <f ca="1">IF(G166="Всього:",SUM($K$5:K165),IF(F166&lt;&gt;F165,(F166*O165/36000*(G166-CONCATENATE(DAY($C$4),".",MONTH(G165),".",YEAR(G165)))+(F165*O165/36000*(CONCATENATE(DAY($C$4),".",MONTH(G165),".",YEAR(G165))-G165))),F166*O165/36000*(G166-G165)))</f>
        <v>#VALUE!</v>
      </c>
      <c r="L166" s="160" t="e">
        <f ca="1">IF(G166="Всього:",SUM($L$5:L165),$E$4)</f>
        <v>#VALUE!</v>
      </c>
      <c r="M166" s="160" t="e">
        <f ca="1">IF(G166="Всього:",SUM($M$5:M165),IF($E$5="UAH",J166+L166+K166,J166+K166))</f>
        <v>#VALUE!</v>
      </c>
      <c r="N166" s="160" t="e">
        <f ca="1">IF(G166="Всього:",SUM($N$4:N165),IF($E$5="UAH","",L166))</f>
        <v>#VALUE!</v>
      </c>
      <c r="O166" s="160" t="e">
        <f t="shared" ca="1" si="8"/>
        <v>#VALUE!</v>
      </c>
    </row>
    <row r="167" spans="6:15" x14ac:dyDescent="0.3">
      <c r="F167" s="160" t="e">
        <f t="shared" ca="1" si="9"/>
        <v>#VALUE!</v>
      </c>
      <c r="G167" s="160" t="e">
        <f t="shared" ca="1" si="11"/>
        <v>#VALUE!</v>
      </c>
      <c r="H167" s="160" t="str">
        <f t="shared" ca="1" si="10"/>
        <v/>
      </c>
      <c r="I167" s="160" t="e">
        <f ca="1">IF($G167="Всього:",SUM($I$4:I166),IF(AND(DAY($C$4)&gt;=15,H167=1),K167+L167,$C$32))</f>
        <v>#VALUE!</v>
      </c>
      <c r="J167" s="160" t="e">
        <f ca="1">IF($G167="Всього:",SUM($J$4:J166),IF(I167-SUM(K167:L167)&lt;0,0,I167-SUM(K167:L167)))</f>
        <v>#VALUE!</v>
      </c>
      <c r="K167" s="160" t="e">
        <f ca="1">IF(G167="Всього:",SUM($K$5:K166),IF(F167&lt;&gt;F166,(F167*O166/36000*(G167-CONCATENATE(DAY($C$4),".",MONTH(G166),".",YEAR(G166)))+(F166*O166/36000*(CONCATENATE(DAY($C$4),".",MONTH(G166),".",YEAR(G166))-G166))),F167*O166/36000*(G167-G166)))</f>
        <v>#VALUE!</v>
      </c>
      <c r="L167" s="160" t="e">
        <f ca="1">IF(G167="Всього:",SUM($L$5:L166),$E$4)</f>
        <v>#VALUE!</v>
      </c>
      <c r="M167" s="160" t="e">
        <f ca="1">IF(G167="Всього:",SUM($M$5:M166),IF($E$5="UAH",J167+L167+K167,J167+K167))</f>
        <v>#VALUE!</v>
      </c>
      <c r="N167" s="160" t="e">
        <f ca="1">IF(G167="Всього:",SUM($N$4:N166),IF($E$5="UAH","",L167))</f>
        <v>#VALUE!</v>
      </c>
      <c r="O167" s="160" t="e">
        <f t="shared" ca="1" si="8"/>
        <v>#VALUE!</v>
      </c>
    </row>
    <row r="168" spans="6:15" x14ac:dyDescent="0.3">
      <c r="F168" s="160" t="e">
        <f t="shared" ca="1" si="9"/>
        <v>#VALUE!</v>
      </c>
      <c r="G168" s="160" t="e">
        <f t="shared" ca="1" si="11"/>
        <v>#VALUE!</v>
      </c>
      <c r="H168" s="160" t="str">
        <f t="shared" ca="1" si="10"/>
        <v/>
      </c>
      <c r="I168" s="160" t="e">
        <f ca="1">IF($G168="Всього:",SUM($I$4:I167),IF(AND(DAY($C$4)&gt;=15,H168=1),K168+L168,$C$32))</f>
        <v>#VALUE!</v>
      </c>
      <c r="J168" s="160" t="e">
        <f ca="1">IF($G168="Всього:",SUM($J$4:J167),IF(I168-SUM(K168:L168)&lt;0,0,I168-SUM(K168:L168)))</f>
        <v>#VALUE!</v>
      </c>
      <c r="K168" s="160" t="e">
        <f ca="1">IF(G168="Всього:",SUM($K$5:K167),IF(F168&lt;&gt;F167,(F168*O167/36000*(G168-CONCATENATE(DAY($C$4),".",MONTH(G167),".",YEAR(G167)))+(F167*O167/36000*(CONCATENATE(DAY($C$4),".",MONTH(G167),".",YEAR(G167))-G167))),F168*O167/36000*(G168-G167)))</f>
        <v>#VALUE!</v>
      </c>
      <c r="L168" s="160" t="e">
        <f ca="1">IF(G168="Всього:",SUM($L$5:L167),$E$4)</f>
        <v>#VALUE!</v>
      </c>
      <c r="M168" s="160" t="e">
        <f ca="1">IF(G168="Всього:",SUM($M$5:M167),IF($E$5="UAH",J168+L168+K168,J168+K168))</f>
        <v>#VALUE!</v>
      </c>
      <c r="N168" s="160" t="e">
        <f ca="1">IF(G168="Всього:",SUM($N$4:N167),IF($E$5="UAH","",L168))</f>
        <v>#VALUE!</v>
      </c>
      <c r="O168" s="160" t="e">
        <f t="shared" ca="1" si="8"/>
        <v>#VALUE!</v>
      </c>
    </row>
    <row r="169" spans="6:15" x14ac:dyDescent="0.3">
      <c r="F169" s="160" t="e">
        <f t="shared" ca="1" si="9"/>
        <v>#VALUE!</v>
      </c>
      <c r="G169" s="160" t="e">
        <f t="shared" ca="1" si="11"/>
        <v>#VALUE!</v>
      </c>
      <c r="H169" s="160" t="str">
        <f t="shared" ca="1" si="10"/>
        <v/>
      </c>
      <c r="I169" s="160" t="e">
        <f ca="1">IF($G169="Всього:",SUM($I$4:I168),IF(AND(DAY($C$4)&gt;=15,H169=1),K169+L169,$C$32))</f>
        <v>#VALUE!</v>
      </c>
      <c r="J169" s="160" t="e">
        <f ca="1">IF($G169="Всього:",SUM($J$4:J168),IF(I169-SUM(K169:L169)&lt;0,0,I169-SUM(K169:L169)))</f>
        <v>#VALUE!</v>
      </c>
      <c r="K169" s="160" t="e">
        <f ca="1">IF(G169="Всього:",SUM($K$5:K168),IF(F169&lt;&gt;F168,(F169*O168/36000*(G169-CONCATENATE(DAY($C$4),".",MONTH(G168),".",YEAR(G168)))+(F168*O168/36000*(CONCATENATE(DAY($C$4),".",MONTH(G168),".",YEAR(G168))-G168))),F169*O168/36000*(G169-G168)))</f>
        <v>#VALUE!</v>
      </c>
      <c r="L169" s="160" t="e">
        <f ca="1">IF(G169="Всього:",SUM($L$5:L168),$E$4)</f>
        <v>#VALUE!</v>
      </c>
      <c r="M169" s="160" t="e">
        <f ca="1">IF(G169="Всього:",SUM($M$5:M168),IF($E$5="UAH",J169+L169+K169,J169+K169))</f>
        <v>#VALUE!</v>
      </c>
      <c r="N169" s="160" t="e">
        <f ca="1">IF(G169="Всього:",SUM($N$4:N168),IF($E$5="UAH","",L169))</f>
        <v>#VALUE!</v>
      </c>
      <c r="O169" s="160" t="e">
        <f t="shared" ca="1" si="8"/>
        <v>#VALUE!</v>
      </c>
    </row>
    <row r="170" spans="6:15" x14ac:dyDescent="0.3">
      <c r="F170" s="160" t="e">
        <f t="shared" ca="1" si="9"/>
        <v>#VALUE!</v>
      </c>
      <c r="G170" s="160" t="e">
        <f t="shared" ca="1" si="11"/>
        <v>#VALUE!</v>
      </c>
      <c r="H170" s="160" t="str">
        <f t="shared" ca="1" si="10"/>
        <v/>
      </c>
      <c r="I170" s="160" t="e">
        <f ca="1">IF($G170="Всього:",SUM($I$4:I169),IF(AND(DAY($C$4)&gt;=15,H170=1),K170+L170,$C$32))</f>
        <v>#VALUE!</v>
      </c>
      <c r="J170" s="160" t="e">
        <f ca="1">IF($G170="Всього:",SUM($J$4:J169),IF(I170-SUM(K170:L170)&lt;0,0,I170-SUM(K170:L170)))</f>
        <v>#VALUE!</v>
      </c>
      <c r="K170" s="160" t="e">
        <f ca="1">IF(G170="Всього:",SUM($K$5:K169),IF(F170&lt;&gt;F169,(F170*O169/36000*(G170-CONCATENATE(DAY($C$4),".",MONTH(G169),".",YEAR(G169)))+(F169*O169/36000*(CONCATENATE(DAY($C$4),".",MONTH(G169),".",YEAR(G169))-G169))),F170*O169/36000*(G170-G169)))</f>
        <v>#VALUE!</v>
      </c>
      <c r="L170" s="160" t="e">
        <f ca="1">IF(G170="Всього:",SUM($L$5:L169),$E$4)</f>
        <v>#VALUE!</v>
      </c>
      <c r="M170" s="160" t="e">
        <f ca="1">IF(G170="Всього:",SUM($M$5:M169),IF($E$5="UAH",J170+L170+K170,J170+K170))</f>
        <v>#VALUE!</v>
      </c>
      <c r="N170" s="160" t="e">
        <f ca="1">IF(G170="Всього:",SUM($N$4:N169),IF($E$5="UAH","",L170))</f>
        <v>#VALUE!</v>
      </c>
      <c r="O170" s="160" t="e">
        <f t="shared" ca="1" si="8"/>
        <v>#VALUE!</v>
      </c>
    </row>
    <row r="171" spans="6:15" x14ac:dyDescent="0.3">
      <c r="F171" s="160" t="e">
        <f t="shared" ca="1" si="9"/>
        <v>#VALUE!</v>
      </c>
      <c r="G171" s="160" t="e">
        <f t="shared" ca="1" si="11"/>
        <v>#VALUE!</v>
      </c>
      <c r="H171" s="160" t="str">
        <f t="shared" ca="1" si="10"/>
        <v/>
      </c>
      <c r="I171" s="160" t="e">
        <f ca="1">IF($G171="Всього:",SUM($I$4:I170),IF(AND(DAY($C$4)&gt;=15,H171=1),K171+L171,$C$32))</f>
        <v>#VALUE!</v>
      </c>
      <c r="J171" s="160" t="e">
        <f ca="1">IF($G171="Всього:",SUM($J$4:J170),IF(I171-SUM(K171:L171)&lt;0,0,I171-SUM(K171:L171)))</f>
        <v>#VALUE!</v>
      </c>
      <c r="K171" s="160" t="e">
        <f ca="1">IF(G171="Всього:",SUM($K$5:K170),IF(F171&lt;&gt;F170,(F171*O170/36000*(G171-CONCATENATE(DAY($C$4),".",MONTH(G170),".",YEAR(G170)))+(F170*O170/36000*(CONCATENATE(DAY($C$4),".",MONTH(G170),".",YEAR(G170))-G170))),F171*O170/36000*(G171-G170)))</f>
        <v>#VALUE!</v>
      </c>
      <c r="L171" s="160" t="e">
        <f ca="1">IF(G171="Всього:",SUM($L$5:L170),$E$4)</f>
        <v>#VALUE!</v>
      </c>
      <c r="M171" s="160" t="e">
        <f ca="1">IF(G171="Всього:",SUM($M$5:M170),IF($E$5="UAH",J171+L171+K171,J171+K171))</f>
        <v>#VALUE!</v>
      </c>
      <c r="N171" s="160" t="e">
        <f ca="1">IF(G171="Всього:",SUM($N$4:N170),IF($E$5="UAH","",L171))</f>
        <v>#VALUE!</v>
      </c>
      <c r="O171" s="160" t="e">
        <f t="shared" ca="1" si="8"/>
        <v>#VALUE!</v>
      </c>
    </row>
    <row r="172" spans="6:15" x14ac:dyDescent="0.3">
      <c r="F172" s="160" t="e">
        <f t="shared" ca="1" si="9"/>
        <v>#VALUE!</v>
      </c>
      <c r="G172" s="160" t="e">
        <f t="shared" ca="1" si="11"/>
        <v>#VALUE!</v>
      </c>
      <c r="H172" s="160" t="str">
        <f t="shared" ca="1" si="10"/>
        <v/>
      </c>
      <c r="I172" s="160" t="e">
        <f ca="1">IF($G172="Всього:",SUM($I$4:I171),IF(AND(DAY($C$4)&gt;=15,H172=1),K172+L172,$C$32))</f>
        <v>#VALUE!</v>
      </c>
      <c r="J172" s="160" t="e">
        <f ca="1">IF($G172="Всього:",SUM($J$4:J171),IF(I172-SUM(K172:L172)&lt;0,0,I172-SUM(K172:L172)))</f>
        <v>#VALUE!</v>
      </c>
      <c r="K172" s="160" t="e">
        <f ca="1">IF(G172="Всього:",SUM($K$5:K171),IF(F172&lt;&gt;F171,(F172*O171/36000*(G172-CONCATENATE(DAY($C$4),".",MONTH(G171),".",YEAR(G171)))+(F171*O171/36000*(CONCATENATE(DAY($C$4),".",MONTH(G171),".",YEAR(G171))-G171))),F172*O171/36000*(G172-G171)))</f>
        <v>#VALUE!</v>
      </c>
      <c r="L172" s="160" t="e">
        <f ca="1">IF(G172="Всього:",SUM($L$5:L171),$E$4)</f>
        <v>#VALUE!</v>
      </c>
      <c r="M172" s="160" t="e">
        <f ca="1">IF(G172="Всього:",SUM($M$5:M171),IF($E$5="UAH",J172+L172+K172,J172+K172))</f>
        <v>#VALUE!</v>
      </c>
      <c r="N172" s="160" t="e">
        <f ca="1">IF(G172="Всього:",SUM($N$4:N171),IF($E$5="UAH","",L172))</f>
        <v>#VALUE!</v>
      </c>
      <c r="O172" s="160" t="e">
        <f t="shared" ca="1" si="8"/>
        <v>#VALUE!</v>
      </c>
    </row>
    <row r="173" spans="6:15" x14ac:dyDescent="0.3">
      <c r="F173" s="160" t="e">
        <f t="shared" ca="1" si="9"/>
        <v>#VALUE!</v>
      </c>
      <c r="G173" s="160" t="e">
        <f t="shared" ca="1" si="11"/>
        <v>#VALUE!</v>
      </c>
      <c r="H173" s="160" t="str">
        <f t="shared" ca="1" si="10"/>
        <v/>
      </c>
      <c r="I173" s="160" t="e">
        <f ca="1">IF($G173="Всього:",SUM($I$4:I172),IF(AND(DAY($C$4)&gt;=15,H173=1),K173+L173,$C$32))</f>
        <v>#VALUE!</v>
      </c>
      <c r="J173" s="160" t="e">
        <f ca="1">IF($G173="Всього:",SUM($J$4:J172),IF(I173-SUM(K173:L173)&lt;0,0,I173-SUM(K173:L173)))</f>
        <v>#VALUE!</v>
      </c>
      <c r="K173" s="160" t="e">
        <f ca="1">IF(G173="Всього:",SUM($K$5:K172),IF(F173&lt;&gt;F172,(F173*O172/36000*(G173-CONCATENATE(DAY($C$4),".",MONTH(G172),".",YEAR(G172)))+(F172*O172/36000*(CONCATENATE(DAY($C$4),".",MONTH(G172),".",YEAR(G172))-G172))),F173*O172/36000*(G173-G172)))</f>
        <v>#VALUE!</v>
      </c>
      <c r="L173" s="160" t="e">
        <f ca="1">IF(G173="Всього:",SUM($L$5:L172),$E$4)</f>
        <v>#VALUE!</v>
      </c>
      <c r="M173" s="160" t="e">
        <f ca="1">IF(G173="Всього:",SUM($M$5:M172),IF($E$5="UAH",J173+L173+K173,J173+K173))</f>
        <v>#VALUE!</v>
      </c>
      <c r="N173" s="160" t="e">
        <f ca="1">IF(G173="Всього:",SUM($N$4:N172),IF($E$5="UAH","",L173))</f>
        <v>#VALUE!</v>
      </c>
      <c r="O173" s="160" t="e">
        <f t="shared" ca="1" si="8"/>
        <v>#VALUE!</v>
      </c>
    </row>
    <row r="174" spans="6:15" x14ac:dyDescent="0.3">
      <c r="F174" s="160" t="e">
        <f t="shared" ca="1" si="9"/>
        <v>#VALUE!</v>
      </c>
      <c r="G174" s="160" t="e">
        <f t="shared" ca="1" si="11"/>
        <v>#VALUE!</v>
      </c>
      <c r="H174" s="160" t="str">
        <f t="shared" ca="1" si="10"/>
        <v/>
      </c>
      <c r="I174" s="160" t="e">
        <f ca="1">IF($G174="Всього:",SUM($I$4:I173),IF(AND(DAY($C$4)&gt;=15,H174=1),K174+L174,$C$32))</f>
        <v>#VALUE!</v>
      </c>
      <c r="J174" s="160" t="e">
        <f ca="1">IF($G174="Всього:",SUM($J$4:J173),IF(I174-SUM(K174:L174)&lt;0,0,I174-SUM(K174:L174)))</f>
        <v>#VALUE!</v>
      </c>
      <c r="K174" s="160" t="e">
        <f ca="1">IF(G174="Всього:",SUM($K$5:K173),IF(F174&lt;&gt;F173,(F174*O173/36000*(G174-CONCATENATE(DAY($C$4),".",MONTH(G173),".",YEAR(G173)))+(F173*O173/36000*(CONCATENATE(DAY($C$4),".",MONTH(G173),".",YEAR(G173))-G173))),F174*O173/36000*(G174-G173)))</f>
        <v>#VALUE!</v>
      </c>
      <c r="L174" s="160" t="e">
        <f ca="1">IF(G174="Всього:",SUM($L$5:L173),$E$4)</f>
        <v>#VALUE!</v>
      </c>
      <c r="M174" s="160" t="e">
        <f ca="1">IF(G174="Всього:",SUM($M$5:M173),IF($E$5="UAH",J174+L174+K174,J174+K174))</f>
        <v>#VALUE!</v>
      </c>
      <c r="N174" s="160" t="e">
        <f ca="1">IF(G174="Всього:",SUM($N$4:N173),IF($E$5="UAH","",L174))</f>
        <v>#VALUE!</v>
      </c>
      <c r="O174" s="160" t="e">
        <f t="shared" ca="1" si="8"/>
        <v>#VALUE!</v>
      </c>
    </row>
    <row r="175" spans="6:15" x14ac:dyDescent="0.3">
      <c r="F175" s="160" t="e">
        <f t="shared" ca="1" si="9"/>
        <v>#VALUE!</v>
      </c>
      <c r="G175" s="160" t="e">
        <f t="shared" ca="1" si="11"/>
        <v>#VALUE!</v>
      </c>
      <c r="H175" s="160" t="str">
        <f t="shared" ca="1" si="10"/>
        <v/>
      </c>
      <c r="I175" s="160" t="e">
        <f ca="1">IF($G175="Всього:",SUM($I$4:I174),IF(AND(DAY($C$4)&gt;=15,H175=1),K175+L175,$C$32))</f>
        <v>#VALUE!</v>
      </c>
      <c r="J175" s="160" t="e">
        <f ca="1">IF($G175="Всього:",SUM($J$4:J174),IF(I175-SUM(K175:L175)&lt;0,0,I175-SUM(K175:L175)))</f>
        <v>#VALUE!</v>
      </c>
      <c r="K175" s="160" t="e">
        <f ca="1">IF(G175="Всього:",SUM($K$5:K174),IF(F175&lt;&gt;F174,(F175*O174/36000*(G175-CONCATENATE(DAY($C$4),".",MONTH(G174),".",YEAR(G174)))+(F174*O174/36000*(CONCATENATE(DAY($C$4),".",MONTH(G174),".",YEAR(G174))-G174))),F175*O174/36000*(G175-G174)))</f>
        <v>#VALUE!</v>
      </c>
      <c r="L175" s="160" t="e">
        <f ca="1">IF(G175="Всього:",SUM($L$5:L174),$E$4)</f>
        <v>#VALUE!</v>
      </c>
      <c r="M175" s="160" t="e">
        <f ca="1">IF(G175="Всього:",SUM($M$5:M174),IF($E$5="UAH",J175+L175+K175,J175+K175))</f>
        <v>#VALUE!</v>
      </c>
      <c r="N175" s="160" t="e">
        <f ca="1">IF(G175="Всього:",SUM($N$4:N174),IF($E$5="UAH","",L175))</f>
        <v>#VALUE!</v>
      </c>
      <c r="O175" s="160" t="e">
        <f t="shared" ca="1" si="8"/>
        <v>#VALUE!</v>
      </c>
    </row>
    <row r="176" spans="6:15" x14ac:dyDescent="0.3">
      <c r="F176" s="160" t="e">
        <f t="shared" ca="1" si="9"/>
        <v>#VALUE!</v>
      </c>
      <c r="G176" s="160" t="e">
        <f t="shared" ca="1" si="11"/>
        <v>#VALUE!</v>
      </c>
      <c r="H176" s="160" t="str">
        <f t="shared" ca="1" si="10"/>
        <v/>
      </c>
      <c r="I176" s="160" t="e">
        <f ca="1">IF($G176="Всього:",SUM($I$4:I175),IF(AND(DAY($C$4)&gt;=15,H176=1),K176+L176,$C$32))</f>
        <v>#VALUE!</v>
      </c>
      <c r="J176" s="160" t="e">
        <f ca="1">IF($G176="Всього:",SUM($J$4:J175),IF(I176-SUM(K176:L176)&lt;0,0,I176-SUM(K176:L176)))</f>
        <v>#VALUE!</v>
      </c>
      <c r="K176" s="160" t="e">
        <f ca="1">IF(G176="Всього:",SUM($K$5:K175),IF(F176&lt;&gt;F175,(F176*O175/36000*(G176-CONCATENATE(DAY($C$4),".",MONTH(G175),".",YEAR(G175)))+(F175*O175/36000*(CONCATENATE(DAY($C$4),".",MONTH(G175),".",YEAR(G175))-G175))),F176*O175/36000*(G176-G175)))</f>
        <v>#VALUE!</v>
      </c>
      <c r="L176" s="160" t="e">
        <f ca="1">IF(G176="Всього:",SUM($L$5:L175),$E$4)</f>
        <v>#VALUE!</v>
      </c>
      <c r="M176" s="160" t="e">
        <f ca="1">IF(G176="Всього:",SUM($M$5:M175),IF($E$5="UAH",J176+L176+K176,J176+K176))</f>
        <v>#VALUE!</v>
      </c>
      <c r="N176" s="160" t="e">
        <f ca="1">IF(G176="Всього:",SUM($N$4:N175),IF($E$5="UAH","",L176))</f>
        <v>#VALUE!</v>
      </c>
      <c r="O176" s="160" t="e">
        <f t="shared" ca="1" si="8"/>
        <v>#VALUE!</v>
      </c>
    </row>
    <row r="177" spans="6:15" x14ac:dyDescent="0.3">
      <c r="F177" s="160" t="e">
        <f t="shared" ca="1" si="9"/>
        <v>#VALUE!</v>
      </c>
      <c r="G177" s="160" t="e">
        <f t="shared" ca="1" si="11"/>
        <v>#VALUE!</v>
      </c>
      <c r="H177" s="160" t="str">
        <f t="shared" ca="1" si="10"/>
        <v/>
      </c>
      <c r="I177" s="160" t="e">
        <f ca="1">IF($G177="Всього:",SUM($I$4:I176),IF(AND(DAY($C$4)&gt;=15,H177=1),K177+L177,$C$32))</f>
        <v>#VALUE!</v>
      </c>
      <c r="J177" s="160" t="e">
        <f ca="1">IF($G177="Всього:",SUM($J$4:J176),IF(I177-SUM(K177:L177)&lt;0,0,I177-SUM(K177:L177)))</f>
        <v>#VALUE!</v>
      </c>
      <c r="K177" s="160" t="e">
        <f ca="1">IF(G177="Всього:",SUM($K$5:K176),IF(F177&lt;&gt;F176,(F177*O176/36000*(G177-CONCATENATE(DAY($C$4),".",MONTH(G176),".",YEAR(G176)))+(F176*O176/36000*(CONCATENATE(DAY($C$4),".",MONTH(G176),".",YEAR(G176))-G176))),F177*O176/36000*(G177-G176)))</f>
        <v>#VALUE!</v>
      </c>
      <c r="L177" s="160" t="e">
        <f ca="1">IF(G177="Всього:",SUM($L$5:L176),$E$4)</f>
        <v>#VALUE!</v>
      </c>
      <c r="M177" s="160" t="e">
        <f ca="1">IF(G177="Всього:",SUM($M$5:M176),IF($E$5="UAH",J177+L177+K177,J177+K177))</f>
        <v>#VALUE!</v>
      </c>
      <c r="N177" s="160" t="e">
        <f ca="1">IF(G177="Всього:",SUM($N$4:N176),IF($E$5="UAH","",L177))</f>
        <v>#VALUE!</v>
      </c>
      <c r="O177" s="160" t="e">
        <f t="shared" ca="1" si="8"/>
        <v>#VALUE!</v>
      </c>
    </row>
    <row r="178" spans="6:15" x14ac:dyDescent="0.3">
      <c r="F178" s="160" t="e">
        <f t="shared" ca="1" si="9"/>
        <v>#VALUE!</v>
      </c>
      <c r="G178" s="160" t="e">
        <f t="shared" ca="1" si="11"/>
        <v>#VALUE!</v>
      </c>
      <c r="H178" s="160" t="str">
        <f t="shared" ca="1" si="10"/>
        <v/>
      </c>
      <c r="I178" s="160" t="e">
        <f ca="1">IF($G178="Всього:",SUM($I$4:I177),IF(AND(DAY($C$4)&gt;=15,H178=1),K178+L178,$C$32))</f>
        <v>#VALUE!</v>
      </c>
      <c r="J178" s="160" t="e">
        <f ca="1">IF($G178="Всього:",SUM($J$4:J177),IF(I178-SUM(K178:L178)&lt;0,0,I178-SUM(K178:L178)))</f>
        <v>#VALUE!</v>
      </c>
      <c r="K178" s="160" t="e">
        <f ca="1">IF(G178="Всього:",SUM($K$5:K177),IF(F178&lt;&gt;F177,(F178*O177/36000*(G178-CONCATENATE(DAY($C$4),".",MONTH(G177),".",YEAR(G177)))+(F177*O177/36000*(CONCATENATE(DAY($C$4),".",MONTH(G177),".",YEAR(G177))-G177))),F178*O177/36000*(G178-G177)))</f>
        <v>#VALUE!</v>
      </c>
      <c r="L178" s="160" t="e">
        <f ca="1">IF(G178="Всього:",SUM($L$5:L177),$E$4)</f>
        <v>#VALUE!</v>
      </c>
      <c r="M178" s="160" t="e">
        <f ca="1">IF(G178="Всього:",SUM($M$5:M177),IF($E$5="UAH",J178+L178+K178,J178+K178))</f>
        <v>#VALUE!</v>
      </c>
      <c r="N178" s="160" t="e">
        <f ca="1">IF(G178="Всього:",SUM($N$4:N177),IF($E$5="UAH","",L178))</f>
        <v>#VALUE!</v>
      </c>
      <c r="O178" s="160" t="e">
        <f t="shared" ca="1" si="8"/>
        <v>#VALUE!</v>
      </c>
    </row>
    <row r="179" spans="6:15" x14ac:dyDescent="0.3">
      <c r="F179" s="160" t="e">
        <f t="shared" ca="1" si="9"/>
        <v>#VALUE!</v>
      </c>
      <c r="G179" s="160" t="e">
        <f t="shared" ca="1" si="11"/>
        <v>#VALUE!</v>
      </c>
      <c r="H179" s="160" t="str">
        <f t="shared" ca="1" si="10"/>
        <v/>
      </c>
      <c r="I179" s="160" t="e">
        <f ca="1">IF($G179="Всього:",SUM($I$4:I178),IF(AND(DAY($C$4)&gt;=15,H179=1),K179+L179,$C$32))</f>
        <v>#VALUE!</v>
      </c>
      <c r="J179" s="160" t="e">
        <f ca="1">IF($G179="Всього:",SUM($J$4:J178),IF(I179-SUM(K179:L179)&lt;0,0,I179-SUM(K179:L179)))</f>
        <v>#VALUE!</v>
      </c>
      <c r="K179" s="160" t="e">
        <f ca="1">IF(G179="Всього:",SUM($K$5:K178),IF(F179&lt;&gt;F178,(F179*O178/36000*(G179-CONCATENATE(DAY($C$4),".",MONTH(G178),".",YEAR(G178)))+(F178*O178/36000*(CONCATENATE(DAY($C$4),".",MONTH(G178),".",YEAR(G178))-G178))),F179*O178/36000*(G179-G178)))</f>
        <v>#VALUE!</v>
      </c>
      <c r="L179" s="160" t="e">
        <f ca="1">IF(G179="Всього:",SUM($L$5:L178),$E$4)</f>
        <v>#VALUE!</v>
      </c>
      <c r="M179" s="160" t="e">
        <f ca="1">IF(G179="Всього:",SUM($M$5:M178),IF($E$5="UAH",J179+L179+K179,J179+K179))</f>
        <v>#VALUE!</v>
      </c>
      <c r="N179" s="160" t="e">
        <f ca="1">IF(G179="Всього:",SUM($N$4:N178),IF($E$5="UAH","",L179))</f>
        <v>#VALUE!</v>
      </c>
      <c r="O179" s="160" t="e">
        <f t="shared" ca="1" si="8"/>
        <v>#VALUE!</v>
      </c>
    </row>
    <row r="180" spans="6:15" x14ac:dyDescent="0.3">
      <c r="F180" s="160" t="e">
        <f t="shared" ca="1" si="9"/>
        <v>#VALUE!</v>
      </c>
      <c r="G180" s="160" t="e">
        <f t="shared" ca="1" si="11"/>
        <v>#VALUE!</v>
      </c>
      <c r="H180" s="160" t="str">
        <f t="shared" ca="1" si="10"/>
        <v/>
      </c>
      <c r="I180" s="160" t="e">
        <f ca="1">IF($G180="Всього:",SUM($I$4:I179),IF(AND(DAY($C$4)&gt;=15,H180=1),K180+L180,$C$32))</f>
        <v>#VALUE!</v>
      </c>
      <c r="J180" s="160" t="e">
        <f ca="1">IF($G180="Всього:",SUM($J$4:J179),IF(I180-SUM(K180:L180)&lt;0,0,I180-SUM(K180:L180)))</f>
        <v>#VALUE!</v>
      </c>
      <c r="K180" s="160" t="e">
        <f ca="1">IF(G180="Всього:",SUM($K$5:K179),IF(F180&lt;&gt;F179,(F180*O179/36000*(G180-CONCATENATE(DAY($C$4),".",MONTH(G179),".",YEAR(G179)))+(F179*O179/36000*(CONCATENATE(DAY($C$4),".",MONTH(G179),".",YEAR(G179))-G179))),F180*O179/36000*(G180-G179)))</f>
        <v>#VALUE!</v>
      </c>
      <c r="L180" s="160" t="e">
        <f ca="1">IF(G180="Всього:",SUM($L$5:L179),$E$4)</f>
        <v>#VALUE!</v>
      </c>
      <c r="M180" s="160" t="e">
        <f ca="1">IF(G180="Всього:",SUM($M$5:M179),IF($E$5="UAH",J180+L180+K180,J180+K180))</f>
        <v>#VALUE!</v>
      </c>
      <c r="N180" s="160" t="e">
        <f ca="1">IF(G180="Всього:",SUM($N$4:N179),IF($E$5="UAH","",L180))</f>
        <v>#VALUE!</v>
      </c>
      <c r="O180" s="160" t="e">
        <f t="shared" ca="1" si="8"/>
        <v>#VALUE!</v>
      </c>
    </row>
    <row r="181" spans="6:15" x14ac:dyDescent="0.3">
      <c r="F181" s="160" t="e">
        <f t="shared" ca="1" si="9"/>
        <v>#VALUE!</v>
      </c>
      <c r="G181" s="160" t="e">
        <f t="shared" ca="1" si="11"/>
        <v>#VALUE!</v>
      </c>
      <c r="H181" s="160" t="str">
        <f t="shared" ca="1" si="10"/>
        <v/>
      </c>
      <c r="I181" s="160" t="e">
        <f ca="1">IF($G181="Всього:",SUM($I$4:I180),IF(AND(DAY($C$4)&gt;=15,H181=1),K181+L181,$C$32))</f>
        <v>#VALUE!</v>
      </c>
      <c r="J181" s="160" t="e">
        <f ca="1">IF($G181="Всього:",SUM($J$4:J180),IF(I181-SUM(K181:L181)&lt;0,0,I181-SUM(K181:L181)))</f>
        <v>#VALUE!</v>
      </c>
      <c r="K181" s="160" t="e">
        <f ca="1">IF(G181="Всього:",SUM($K$5:K180),IF(F181&lt;&gt;F180,(F181*O180/36000*(G181-CONCATENATE(DAY($C$4),".",MONTH(G180),".",YEAR(G180)))+(F180*O180/36000*(CONCATENATE(DAY($C$4),".",MONTH(G180),".",YEAR(G180))-G180))),F181*O180/36000*(G181-G180)))</f>
        <v>#VALUE!</v>
      </c>
      <c r="L181" s="160" t="e">
        <f ca="1">IF(G181="Всього:",SUM($L$5:L180),$E$4)</f>
        <v>#VALUE!</v>
      </c>
      <c r="M181" s="160" t="e">
        <f ca="1">IF(G181="Всього:",SUM($M$5:M180),IF($E$5="UAH",J181+L181+K181,J181+K181))</f>
        <v>#VALUE!</v>
      </c>
      <c r="N181" s="160" t="e">
        <f ca="1">IF(G181="Всього:",SUM($N$4:N180),IF($E$5="UAH","",L181))</f>
        <v>#VALUE!</v>
      </c>
      <c r="O181" s="160" t="e">
        <f t="shared" ca="1" si="8"/>
        <v>#VALUE!</v>
      </c>
    </row>
    <row r="182" spans="6:15" x14ac:dyDescent="0.3">
      <c r="F182" s="160" t="e">
        <f t="shared" ca="1" si="9"/>
        <v>#VALUE!</v>
      </c>
      <c r="G182" s="160" t="e">
        <f t="shared" ca="1" si="11"/>
        <v>#VALUE!</v>
      </c>
      <c r="H182" s="160" t="str">
        <f t="shared" ca="1" si="10"/>
        <v/>
      </c>
      <c r="I182" s="160" t="e">
        <f ca="1">IF($G182="Всього:",SUM($I$4:I181),IF(AND(DAY($C$4)&gt;=15,H182=1),K182+L182,$C$32))</f>
        <v>#VALUE!</v>
      </c>
      <c r="J182" s="160" t="e">
        <f ca="1">IF($G182="Всього:",SUM($J$4:J181),IF(I182-SUM(K182:L182)&lt;0,0,I182-SUM(K182:L182)))</f>
        <v>#VALUE!</v>
      </c>
      <c r="K182" s="160" t="e">
        <f ca="1">IF(G182="Всього:",SUM($K$5:K181),IF(F182&lt;&gt;F181,(F182*O181/36000*(G182-CONCATENATE(DAY($C$4),".",MONTH(G181),".",YEAR(G181)))+(F181*O181/36000*(CONCATENATE(DAY($C$4),".",MONTH(G181),".",YEAR(G181))-G181))),F182*O181/36000*(G182-G181)))</f>
        <v>#VALUE!</v>
      </c>
      <c r="L182" s="160" t="e">
        <f ca="1">IF(G182="Всього:",SUM($L$5:L181),$E$4)</f>
        <v>#VALUE!</v>
      </c>
      <c r="M182" s="160" t="e">
        <f ca="1">IF(G182="Всього:",SUM($M$5:M181),IF($E$5="UAH",J182+L182+K182,J182+K182))</f>
        <v>#VALUE!</v>
      </c>
      <c r="N182" s="160" t="e">
        <f ca="1">IF(G182="Всього:",SUM($N$4:N181),IF($E$5="UAH","",L182))</f>
        <v>#VALUE!</v>
      </c>
      <c r="O182" s="160" t="e">
        <f t="shared" ca="1" si="8"/>
        <v>#VALUE!</v>
      </c>
    </row>
    <row r="183" spans="6:15" x14ac:dyDescent="0.3">
      <c r="F183" s="160" t="e">
        <f t="shared" ca="1" si="9"/>
        <v>#VALUE!</v>
      </c>
      <c r="G183" s="160" t="e">
        <f t="shared" ca="1" si="11"/>
        <v>#VALUE!</v>
      </c>
      <c r="H183" s="160" t="str">
        <f t="shared" ca="1" si="10"/>
        <v/>
      </c>
      <c r="I183" s="160" t="e">
        <f ca="1">IF($G183="Всього:",SUM($I$4:I182),IF(AND(DAY($C$4)&gt;=15,H183=1),K183+L183,$C$32))</f>
        <v>#VALUE!</v>
      </c>
      <c r="J183" s="160" t="e">
        <f ca="1">IF($G183="Всього:",SUM($J$4:J182),IF(I183-SUM(K183:L183)&lt;0,0,I183-SUM(K183:L183)))</f>
        <v>#VALUE!</v>
      </c>
      <c r="K183" s="160" t="e">
        <f ca="1">IF(G183="Всього:",SUM($K$5:K182),IF(F183&lt;&gt;F182,(F183*O182/36000*(G183-CONCATENATE(DAY($C$4),".",MONTH(G182),".",YEAR(G182)))+(F182*O182/36000*(CONCATENATE(DAY($C$4),".",MONTH(G182),".",YEAR(G182))-G182))),F183*O182/36000*(G183-G182)))</f>
        <v>#VALUE!</v>
      </c>
      <c r="L183" s="160" t="e">
        <f ca="1">IF(G183="Всього:",SUM($L$5:L182),$E$4)</f>
        <v>#VALUE!</v>
      </c>
      <c r="M183" s="160" t="e">
        <f ca="1">IF(G183="Всього:",SUM($M$5:M182),IF($E$5="UAH",J183+L183+K183,J183+K183))</f>
        <v>#VALUE!</v>
      </c>
      <c r="N183" s="160" t="e">
        <f ca="1">IF(G183="Всього:",SUM($N$4:N182),IF($E$5="UAH","",L183))</f>
        <v>#VALUE!</v>
      </c>
      <c r="O183" s="160" t="e">
        <f t="shared" ca="1" si="8"/>
        <v>#VALUE!</v>
      </c>
    </row>
    <row r="184" spans="6:15" x14ac:dyDescent="0.3">
      <c r="F184" s="160" t="e">
        <f t="shared" ca="1" si="9"/>
        <v>#VALUE!</v>
      </c>
      <c r="G184" s="160" t="e">
        <f t="shared" ca="1" si="11"/>
        <v>#VALUE!</v>
      </c>
      <c r="H184" s="160" t="str">
        <f t="shared" ca="1" si="10"/>
        <v/>
      </c>
      <c r="I184" s="160" t="e">
        <f ca="1">IF($G184="Всього:",SUM($I$4:I183),IF(AND(DAY($C$4)&gt;=15,H184=1),K184+L184,$C$32))</f>
        <v>#VALUE!</v>
      </c>
      <c r="J184" s="160" t="e">
        <f ca="1">IF($G184="Всього:",SUM($J$4:J183),IF(I184-SUM(K184:L184)&lt;0,0,I184-SUM(K184:L184)))</f>
        <v>#VALUE!</v>
      </c>
      <c r="K184" s="160" t="e">
        <f ca="1">IF(G184="Всього:",SUM($K$5:K183),IF(F184&lt;&gt;F183,(F184*O183/36000*(G184-CONCATENATE(DAY($C$4),".",MONTH(G183),".",YEAR(G183)))+(F183*O183/36000*(CONCATENATE(DAY($C$4),".",MONTH(G183),".",YEAR(G183))-G183))),F184*O183/36000*(G184-G183)))</f>
        <v>#VALUE!</v>
      </c>
      <c r="L184" s="160" t="e">
        <f ca="1">IF(G184="Всього:",SUM($L$5:L183),$E$4)</f>
        <v>#VALUE!</v>
      </c>
      <c r="M184" s="160" t="e">
        <f ca="1">IF(G184="Всього:",SUM($M$5:M183),IF($E$5="UAH",J184+L184+K184,J184+K184))</f>
        <v>#VALUE!</v>
      </c>
      <c r="N184" s="160" t="e">
        <f ca="1">IF(G184="Всього:",SUM($N$4:N183),IF($E$5="UAH","",L184))</f>
        <v>#VALUE!</v>
      </c>
      <c r="O184" s="160" t="e">
        <f t="shared" ca="1" si="8"/>
        <v>#VALUE!</v>
      </c>
    </row>
    <row r="185" spans="6:15" x14ac:dyDescent="0.3">
      <c r="F185" s="160" t="e">
        <f t="shared" ca="1" si="9"/>
        <v>#VALUE!</v>
      </c>
      <c r="G185" s="160" t="e">
        <f t="shared" ca="1" si="11"/>
        <v>#VALUE!</v>
      </c>
      <c r="H185" s="160" t="str">
        <f t="shared" ca="1" si="10"/>
        <v/>
      </c>
      <c r="I185" s="160" t="e">
        <f ca="1">IF($G185="Всього:",SUM($I$4:I184),IF(AND(DAY($C$4)&gt;=15,H185=1),K185+L185,$C$32))</f>
        <v>#VALUE!</v>
      </c>
      <c r="J185" s="160" t="e">
        <f ca="1">IF($G185="Всього:",SUM($J$4:J184),IF(I185-SUM(K185:L185)&lt;0,0,I185-SUM(K185:L185)))</f>
        <v>#VALUE!</v>
      </c>
      <c r="K185" s="160" t="e">
        <f ca="1">IF(G185="Всього:",SUM($K$5:K184),IF(F185&lt;&gt;F184,(F185*O184/36000*(G185-CONCATENATE(DAY($C$4),".",MONTH(G184),".",YEAR(G184)))+(F184*O184/36000*(CONCATENATE(DAY($C$4),".",MONTH(G184),".",YEAR(G184))-G184))),F185*O184/36000*(G185-G184)))</f>
        <v>#VALUE!</v>
      </c>
      <c r="L185" s="160" t="e">
        <f ca="1">IF(G185="Всього:",SUM($L$5:L184),$E$4)</f>
        <v>#VALUE!</v>
      </c>
      <c r="M185" s="160" t="e">
        <f ca="1">IF(G185="Всього:",SUM($M$5:M184),IF($E$5="UAH",J185+L185+K185,J185+K185))</f>
        <v>#VALUE!</v>
      </c>
      <c r="N185" s="160" t="e">
        <f ca="1">IF(G185="Всього:",SUM($N$4:N184),IF($E$5="UAH","",L185))</f>
        <v>#VALUE!</v>
      </c>
      <c r="O185" s="160" t="e">
        <f t="shared" ca="1" si="8"/>
        <v>#VALUE!</v>
      </c>
    </row>
    <row r="186" spans="6:15" x14ac:dyDescent="0.3">
      <c r="F186" s="160" t="e">
        <f t="shared" ca="1" si="9"/>
        <v>#VALUE!</v>
      </c>
      <c r="G186" s="160" t="e">
        <f t="shared" ca="1" si="11"/>
        <v>#VALUE!</v>
      </c>
      <c r="H186" s="160" t="str">
        <f t="shared" ca="1" si="10"/>
        <v/>
      </c>
      <c r="I186" s="160" t="e">
        <f ca="1">IF($G186="Всього:",SUM($I$4:I185),IF(AND(DAY($C$4)&gt;=15,H186=1),K186+L186,$C$32))</f>
        <v>#VALUE!</v>
      </c>
      <c r="J186" s="160" t="e">
        <f ca="1">IF($G186="Всього:",SUM($J$4:J185),IF(I186-SUM(K186:L186)&lt;0,0,I186-SUM(K186:L186)))</f>
        <v>#VALUE!</v>
      </c>
      <c r="K186" s="160" t="e">
        <f ca="1">IF(G186="Всього:",SUM($K$5:K185),IF(F186&lt;&gt;F185,(F186*O185/36000*(G186-CONCATENATE(DAY($C$4),".",MONTH(G185),".",YEAR(G185)))+(F185*O185/36000*(CONCATENATE(DAY($C$4),".",MONTH(G185),".",YEAR(G185))-G185))),F186*O185/36000*(G186-G185)))</f>
        <v>#VALUE!</v>
      </c>
      <c r="L186" s="160" t="e">
        <f ca="1">IF(G186="Всього:",SUM($L$5:L185),$E$4)</f>
        <v>#VALUE!</v>
      </c>
      <c r="M186" s="160" t="e">
        <f ca="1">IF(G186="Всього:",SUM($M$5:M185),IF($E$5="UAH",J186+L186+K186,J186+K186))</f>
        <v>#VALUE!</v>
      </c>
      <c r="N186" s="160" t="e">
        <f ca="1">IF(G186="Всього:",SUM($N$4:N185),IF($E$5="UAH","",L186))</f>
        <v>#VALUE!</v>
      </c>
      <c r="O186" s="160" t="e">
        <f t="shared" ca="1" si="8"/>
        <v>#VALUE!</v>
      </c>
    </row>
    <row r="187" spans="6:15" x14ac:dyDescent="0.3">
      <c r="F187" s="160" t="e">
        <f t="shared" ca="1" si="9"/>
        <v>#VALUE!</v>
      </c>
      <c r="G187" s="160" t="e">
        <f t="shared" ca="1" si="11"/>
        <v>#VALUE!</v>
      </c>
      <c r="H187" s="160" t="str">
        <f t="shared" ca="1" si="10"/>
        <v/>
      </c>
      <c r="I187" s="160" t="e">
        <f ca="1">IF($G187="Всього:",SUM($I$4:I186),IF(AND(DAY($C$4)&gt;=15,H187=1),K187+L187,$C$32))</f>
        <v>#VALUE!</v>
      </c>
      <c r="J187" s="160" t="e">
        <f ca="1">IF($G187="Всього:",SUM($J$4:J186),IF(I187-SUM(K187:L187)&lt;0,0,I187-SUM(K187:L187)))</f>
        <v>#VALUE!</v>
      </c>
      <c r="K187" s="160" t="e">
        <f ca="1">IF(G187="Всього:",SUM($K$5:K186),IF(F187&lt;&gt;F186,(F187*O186/36000*(G187-CONCATENATE(DAY($C$4),".",MONTH(G186),".",YEAR(G186)))+(F186*O186/36000*(CONCATENATE(DAY($C$4),".",MONTH(G186),".",YEAR(G186))-G186))),F187*O186/36000*(G187-G186)))</f>
        <v>#VALUE!</v>
      </c>
      <c r="L187" s="160" t="e">
        <f ca="1">IF(G187="Всього:",SUM($L$5:L186),$E$4)</f>
        <v>#VALUE!</v>
      </c>
      <c r="M187" s="160" t="e">
        <f ca="1">IF(G187="Всього:",SUM($M$5:M186),IF($E$5="UAH",J187+L187+K187,J187+K187))</f>
        <v>#VALUE!</v>
      </c>
      <c r="N187" s="160" t="e">
        <f ca="1">IF(G187="Всього:",SUM($N$4:N186),IF($E$5="UAH","",L187))</f>
        <v>#VALUE!</v>
      </c>
      <c r="O187" s="160" t="e">
        <f t="shared" ca="1" si="8"/>
        <v>#VALUE!</v>
      </c>
    </row>
    <row r="188" spans="6:15" x14ac:dyDescent="0.3">
      <c r="F188" s="160" t="e">
        <f t="shared" ca="1" si="9"/>
        <v>#VALUE!</v>
      </c>
      <c r="G188" s="160" t="e">
        <f t="shared" ca="1" si="11"/>
        <v>#VALUE!</v>
      </c>
      <c r="H188" s="160" t="str">
        <f t="shared" ca="1" si="10"/>
        <v/>
      </c>
      <c r="I188" s="160" t="e">
        <f ca="1">IF($G188="Всього:",SUM($I$4:I187),IF(AND(DAY($C$4)&gt;=15,H188=1),K188+L188,$C$32))</f>
        <v>#VALUE!</v>
      </c>
      <c r="J188" s="160" t="e">
        <f ca="1">IF($G188="Всього:",SUM($J$4:J187),IF(I188-SUM(K188:L188)&lt;0,0,I188-SUM(K188:L188)))</f>
        <v>#VALUE!</v>
      </c>
      <c r="K188" s="160" t="e">
        <f ca="1">IF(G188="Всього:",SUM($K$5:K187),IF(F188&lt;&gt;F187,(F188*O187/36000*(G188-CONCATENATE(DAY($C$4),".",MONTH(G187),".",YEAR(G187)))+(F187*O187/36000*(CONCATENATE(DAY($C$4),".",MONTH(G187),".",YEAR(G187))-G187))),F188*O187/36000*(G188-G187)))</f>
        <v>#VALUE!</v>
      </c>
      <c r="L188" s="160" t="e">
        <f ca="1">IF(G188="Всього:",SUM($L$5:L187),$E$4)</f>
        <v>#VALUE!</v>
      </c>
      <c r="M188" s="160" t="e">
        <f ca="1">IF(G188="Всього:",SUM($M$5:M187),IF($E$5="UAH",J188+L188+K188,J188+K188))</f>
        <v>#VALUE!</v>
      </c>
      <c r="N188" s="160" t="e">
        <f ca="1">IF(G188="Всього:",SUM($N$4:N187),IF($E$5="UAH","",L188))</f>
        <v>#VALUE!</v>
      </c>
      <c r="O188" s="160" t="e">
        <f t="shared" ca="1" si="8"/>
        <v>#VALUE!</v>
      </c>
    </row>
    <row r="189" spans="6:15" x14ac:dyDescent="0.3">
      <c r="F189" s="160" t="e">
        <f t="shared" ca="1" si="9"/>
        <v>#VALUE!</v>
      </c>
      <c r="G189" s="160" t="e">
        <f t="shared" ca="1" si="11"/>
        <v>#VALUE!</v>
      </c>
      <c r="H189" s="160" t="str">
        <f t="shared" ca="1" si="10"/>
        <v/>
      </c>
      <c r="I189" s="160" t="e">
        <f ca="1">IF($G189="Всього:",SUM($I$4:I188),IF(AND(DAY($C$4)&gt;=15,H189=1),K189+L189,$C$32))</f>
        <v>#VALUE!</v>
      </c>
      <c r="J189" s="160" t="e">
        <f ca="1">IF($G189="Всього:",SUM($J$4:J188),IF(I189-SUM(K189:L189)&lt;0,0,I189-SUM(K189:L189)))</f>
        <v>#VALUE!</v>
      </c>
      <c r="K189" s="160" t="e">
        <f ca="1">IF(G189="Всього:",SUM($K$5:K188),IF(F189&lt;&gt;F188,(F189*O188/36000*(G189-CONCATENATE(DAY($C$4),".",MONTH(G188),".",YEAR(G188)))+(F188*O188/36000*(CONCATENATE(DAY($C$4),".",MONTH(G188),".",YEAR(G188))-G188))),F189*O188/36000*(G189-G188)))</f>
        <v>#VALUE!</v>
      </c>
      <c r="L189" s="160" t="e">
        <f ca="1">IF(G189="Всього:",SUM($L$5:L188),$E$4)</f>
        <v>#VALUE!</v>
      </c>
      <c r="M189" s="160" t="e">
        <f ca="1">IF(G189="Всього:",SUM($M$5:M188),IF($E$5="UAH",J189+L189+K189,J189+K189))</f>
        <v>#VALUE!</v>
      </c>
      <c r="N189" s="160" t="e">
        <f ca="1">IF(G189="Всього:",SUM($N$4:N188),IF($E$5="UAH","",L189))</f>
        <v>#VALUE!</v>
      </c>
      <c r="O189" s="160" t="e">
        <f t="shared" ca="1" si="8"/>
        <v>#VALUE!</v>
      </c>
    </row>
    <row r="190" spans="6:15" x14ac:dyDescent="0.3">
      <c r="F190" s="160" t="e">
        <f t="shared" ca="1" si="9"/>
        <v>#VALUE!</v>
      </c>
      <c r="G190" s="160" t="e">
        <f t="shared" ca="1" si="11"/>
        <v>#VALUE!</v>
      </c>
      <c r="H190" s="160" t="str">
        <f t="shared" ca="1" si="10"/>
        <v/>
      </c>
      <c r="I190" s="160" t="e">
        <f ca="1">IF($G190="Всього:",SUM($I$4:I189),IF(AND(DAY($C$4)&gt;=15,H190=1),K190+L190,$C$32))</f>
        <v>#VALUE!</v>
      </c>
      <c r="J190" s="160" t="e">
        <f ca="1">IF($G190="Всього:",SUM($J$4:J189),IF(I190-SUM(K190:L190)&lt;0,0,I190-SUM(K190:L190)))</f>
        <v>#VALUE!</v>
      </c>
      <c r="K190" s="160" t="e">
        <f ca="1">IF(G190="Всього:",SUM($K$5:K189),IF(F190&lt;&gt;F189,(F190*O189/36000*(G190-CONCATENATE(DAY($C$4),".",MONTH(G189),".",YEAR(G189)))+(F189*O189/36000*(CONCATENATE(DAY($C$4),".",MONTH(G189),".",YEAR(G189))-G189))),F190*O189/36000*(G190-G189)))</f>
        <v>#VALUE!</v>
      </c>
      <c r="L190" s="160" t="e">
        <f ca="1">IF(G190="Всього:",SUM($L$5:L189),$E$4)</f>
        <v>#VALUE!</v>
      </c>
      <c r="M190" s="160" t="e">
        <f ca="1">IF(G190="Всього:",SUM($M$5:M189),IF($E$5="UAH",J190+L190+K190,J190+K190))</f>
        <v>#VALUE!</v>
      </c>
      <c r="N190" s="160" t="e">
        <f ca="1">IF(G190="Всього:",SUM($N$4:N189),IF($E$5="UAH","",L190))</f>
        <v>#VALUE!</v>
      </c>
      <c r="O190" s="160" t="e">
        <f t="shared" ca="1" si="8"/>
        <v>#VALUE!</v>
      </c>
    </row>
    <row r="191" spans="6:15" x14ac:dyDescent="0.3">
      <c r="F191" s="160" t="e">
        <f t="shared" ca="1" si="9"/>
        <v>#VALUE!</v>
      </c>
      <c r="G191" s="160" t="e">
        <f t="shared" ca="1" si="11"/>
        <v>#VALUE!</v>
      </c>
      <c r="H191" s="160" t="str">
        <f t="shared" ca="1" si="10"/>
        <v/>
      </c>
      <c r="I191" s="160" t="e">
        <f ca="1">IF($G191="Всього:",SUM($I$4:I190),IF(AND(DAY($C$4)&gt;=15,H191=1),K191+L191,$C$32))</f>
        <v>#VALUE!</v>
      </c>
      <c r="J191" s="160" t="e">
        <f ca="1">IF($G191="Всього:",SUM($J$4:J190),IF(I191-SUM(K191:L191)&lt;0,0,I191-SUM(K191:L191)))</f>
        <v>#VALUE!</v>
      </c>
      <c r="K191" s="160" t="e">
        <f ca="1">IF(G191="Всього:",SUM($K$5:K190),IF(F191&lt;&gt;F190,(F191*O190/36000*(G191-CONCATENATE(DAY($C$4),".",MONTH(G190),".",YEAR(G190)))+(F190*O190/36000*(CONCATENATE(DAY($C$4),".",MONTH(G190),".",YEAR(G190))-G190))),F191*O190/36000*(G191-G190)))</f>
        <v>#VALUE!</v>
      </c>
      <c r="L191" s="160" t="e">
        <f ca="1">IF(G191="Всього:",SUM($L$5:L190),$E$4)</f>
        <v>#VALUE!</v>
      </c>
      <c r="M191" s="160" t="e">
        <f ca="1">IF(G191="Всього:",SUM($M$5:M190),IF($E$5="UAH",J191+L191+K191,J191+K191))</f>
        <v>#VALUE!</v>
      </c>
      <c r="N191" s="160" t="e">
        <f ca="1">IF(G191="Всього:",SUM($N$4:N190),IF($E$5="UAH","",L191))</f>
        <v>#VALUE!</v>
      </c>
      <c r="O191" s="160" t="e">
        <f t="shared" ca="1" si="8"/>
        <v>#VALUE!</v>
      </c>
    </row>
    <row r="192" spans="6:15" x14ac:dyDescent="0.3">
      <c r="F192" s="160" t="e">
        <f t="shared" ca="1" si="9"/>
        <v>#VALUE!</v>
      </c>
      <c r="G192" s="160" t="e">
        <f t="shared" ca="1" si="11"/>
        <v>#VALUE!</v>
      </c>
      <c r="H192" s="160" t="str">
        <f t="shared" ca="1" si="10"/>
        <v/>
      </c>
      <c r="I192" s="160" t="e">
        <f ca="1">IF($G192="Всього:",SUM($I$4:I191),IF(AND(DAY($C$4)&gt;=15,H192=1),K192+L192,$C$32))</f>
        <v>#VALUE!</v>
      </c>
      <c r="J192" s="160" t="e">
        <f ca="1">IF($G192="Всього:",SUM($J$4:J191),IF(I192-SUM(K192:L192)&lt;0,0,I192-SUM(K192:L192)))</f>
        <v>#VALUE!</v>
      </c>
      <c r="K192" s="160" t="e">
        <f ca="1">IF(G192="Всього:",SUM($K$5:K191),IF(F192&lt;&gt;F191,(F192*O191/36000*(G192-CONCATENATE(DAY($C$4),".",MONTH(G191),".",YEAR(G191)))+(F191*O191/36000*(CONCATENATE(DAY($C$4),".",MONTH(G191),".",YEAR(G191))-G191))),F192*O191/36000*(G192-G191)))</f>
        <v>#VALUE!</v>
      </c>
      <c r="L192" s="160" t="e">
        <f ca="1">IF(G192="Всього:",SUM($L$5:L191),$E$4)</f>
        <v>#VALUE!</v>
      </c>
      <c r="M192" s="160" t="e">
        <f ca="1">IF(G192="Всього:",SUM($M$5:M191),IF($E$5="UAH",J192+L192+K192,J192+K192))</f>
        <v>#VALUE!</v>
      </c>
      <c r="N192" s="160" t="e">
        <f ca="1">IF(G192="Всього:",SUM($N$4:N191),IF($E$5="UAH","",L192))</f>
        <v>#VALUE!</v>
      </c>
      <c r="O192" s="160" t="e">
        <f t="shared" ca="1" si="8"/>
        <v>#VALUE!</v>
      </c>
    </row>
    <row r="193" spans="6:15" x14ac:dyDescent="0.3">
      <c r="F193" s="160" t="e">
        <f t="shared" ca="1" si="9"/>
        <v>#VALUE!</v>
      </c>
      <c r="G193" s="160" t="e">
        <f t="shared" ca="1" si="11"/>
        <v>#VALUE!</v>
      </c>
      <c r="H193" s="160" t="str">
        <f t="shared" ca="1" si="10"/>
        <v/>
      </c>
      <c r="I193" s="160" t="e">
        <f ca="1">IF($G193="Всього:",SUM($I$4:I192),IF(AND(DAY($C$4)&gt;=15,H193=1),K193+L193,$C$32))</f>
        <v>#VALUE!</v>
      </c>
      <c r="J193" s="160" t="e">
        <f ca="1">IF($G193="Всього:",SUM($J$4:J192),IF(I193-SUM(K193:L193)&lt;0,0,I193-SUM(K193:L193)))</f>
        <v>#VALUE!</v>
      </c>
      <c r="K193" s="160" t="e">
        <f ca="1">IF(G193="Всього:",SUM($K$5:K192),IF(F193&lt;&gt;F192,(F193*O192/36000*(G193-CONCATENATE(DAY($C$4),".",MONTH(G192),".",YEAR(G192)))+(F192*O192/36000*(CONCATENATE(DAY($C$4),".",MONTH(G192),".",YEAR(G192))-G192))),F193*O192/36000*(G193-G192)))</f>
        <v>#VALUE!</v>
      </c>
      <c r="L193" s="160" t="e">
        <f ca="1">IF(G193="Всього:",SUM($L$5:L192),$E$4)</f>
        <v>#VALUE!</v>
      </c>
      <c r="M193" s="160" t="e">
        <f ca="1">IF(G193="Всього:",SUM($M$5:M192),IF($E$5="UAH",J193+L193+K193,J193+K193))</f>
        <v>#VALUE!</v>
      </c>
      <c r="N193" s="160" t="e">
        <f ca="1">IF(G193="Всього:",SUM($N$4:N192),IF($E$5="UAH","",L193))</f>
        <v>#VALUE!</v>
      </c>
      <c r="O193" s="160" t="e">
        <f t="shared" ca="1" si="8"/>
        <v>#VALUE!</v>
      </c>
    </row>
    <row r="194" spans="6:15" x14ac:dyDescent="0.3">
      <c r="F194" s="160" t="e">
        <f t="shared" ca="1" si="9"/>
        <v>#VALUE!</v>
      </c>
      <c r="G194" s="160" t="e">
        <f t="shared" ca="1" si="11"/>
        <v>#VALUE!</v>
      </c>
      <c r="H194" s="160" t="str">
        <f t="shared" ca="1" si="10"/>
        <v/>
      </c>
      <c r="I194" s="160" t="e">
        <f ca="1">IF($G194="Всього:",SUM($I$4:I193),IF(AND(DAY($C$4)&gt;=15,H194=1),K194+L194,$C$32))</f>
        <v>#VALUE!</v>
      </c>
      <c r="J194" s="160" t="e">
        <f ca="1">IF($G194="Всього:",SUM($J$4:J193),IF(I194-SUM(K194:L194)&lt;0,0,I194-SUM(K194:L194)))</f>
        <v>#VALUE!</v>
      </c>
      <c r="K194" s="160" t="e">
        <f ca="1">IF(G194="Всього:",SUM($K$5:K193),IF(F194&lt;&gt;F193,(F194*O193/36000*(G194-CONCATENATE(DAY($C$4),".",MONTH(G193),".",YEAR(G193)))+(F193*O193/36000*(CONCATENATE(DAY($C$4),".",MONTH(G193),".",YEAR(G193))-G193))),F194*O193/36000*(G194-G193)))</f>
        <v>#VALUE!</v>
      </c>
      <c r="L194" s="160" t="e">
        <f ca="1">IF(G194="Всього:",SUM($L$5:L193),$E$4)</f>
        <v>#VALUE!</v>
      </c>
      <c r="M194" s="160" t="e">
        <f ca="1">IF(G194="Всього:",SUM($M$5:M193),IF($E$5="UAH",J194+L194+K194,J194+K194))</f>
        <v>#VALUE!</v>
      </c>
      <c r="N194" s="160" t="e">
        <f ca="1">IF(G194="Всього:",SUM($N$4:N193),IF($E$5="UAH","",L194))</f>
        <v>#VALUE!</v>
      </c>
      <c r="O194" s="160" t="e">
        <f t="shared" ca="1" si="8"/>
        <v>#VALUE!</v>
      </c>
    </row>
    <row r="195" spans="6:15" x14ac:dyDescent="0.3">
      <c r="F195" s="160" t="e">
        <f t="shared" ca="1" si="9"/>
        <v>#VALUE!</v>
      </c>
      <c r="G195" s="160" t="e">
        <f t="shared" ca="1" si="11"/>
        <v>#VALUE!</v>
      </c>
      <c r="H195" s="160" t="str">
        <f t="shared" ca="1" si="10"/>
        <v/>
      </c>
      <c r="I195" s="160" t="e">
        <f ca="1">IF($G195="Всього:",SUM($I$4:I194),IF(AND(DAY($C$4)&gt;=15,H195=1),K195+L195,$C$32))</f>
        <v>#VALUE!</v>
      </c>
      <c r="J195" s="160" t="e">
        <f ca="1">IF($G195="Всього:",SUM($J$4:J194),IF(I195-SUM(K195:L195)&lt;0,0,I195-SUM(K195:L195)))</f>
        <v>#VALUE!</v>
      </c>
      <c r="K195" s="160" t="e">
        <f ca="1">IF(G195="Всього:",SUM($K$5:K194),IF(F195&lt;&gt;F194,(F195*O194/36000*(G195-CONCATENATE(DAY($C$4),".",MONTH(G194),".",YEAR(G194)))+(F194*O194/36000*(CONCATENATE(DAY($C$4),".",MONTH(G194),".",YEAR(G194))-G194))),F195*O194/36000*(G195-G194)))</f>
        <v>#VALUE!</v>
      </c>
      <c r="L195" s="160" t="e">
        <f ca="1">IF(G195="Всього:",SUM($L$5:L194),$E$4)</f>
        <v>#VALUE!</v>
      </c>
      <c r="M195" s="160" t="e">
        <f ca="1">IF(G195="Всього:",SUM($M$5:M194),IF($E$5="UAH",J195+L195+K195,J195+K195))</f>
        <v>#VALUE!</v>
      </c>
      <c r="N195" s="160" t="e">
        <f ca="1">IF(G195="Всього:",SUM($N$4:N194),IF($E$5="UAH","",L195))</f>
        <v>#VALUE!</v>
      </c>
      <c r="O195" s="160" t="e">
        <f t="shared" ca="1" si="8"/>
        <v>#VALUE!</v>
      </c>
    </row>
    <row r="196" spans="6:15" x14ac:dyDescent="0.3">
      <c r="F196" s="160" t="e">
        <f t="shared" ca="1" si="9"/>
        <v>#VALUE!</v>
      </c>
      <c r="G196" s="160" t="e">
        <f t="shared" ca="1" si="11"/>
        <v>#VALUE!</v>
      </c>
      <c r="H196" s="160" t="str">
        <f t="shared" ca="1" si="10"/>
        <v/>
      </c>
      <c r="I196" s="160" t="e">
        <f ca="1">IF($G196="Всього:",SUM($I$4:I195),IF(AND(DAY($C$4)&gt;=15,H196=1),K196+L196,$C$32))</f>
        <v>#VALUE!</v>
      </c>
      <c r="J196" s="160" t="e">
        <f ca="1">IF($G196="Всього:",SUM($J$4:J195),IF(I196-SUM(K196:L196)&lt;0,0,I196-SUM(K196:L196)))</f>
        <v>#VALUE!</v>
      </c>
      <c r="K196" s="160" t="e">
        <f ca="1">IF(G196="Всього:",SUM($K$5:K195),IF(F196&lt;&gt;F195,(F196*O195/36000*(G196-CONCATENATE(DAY($C$4),".",MONTH(G195),".",YEAR(G195)))+(F195*O195/36000*(CONCATENATE(DAY($C$4),".",MONTH(G195),".",YEAR(G195))-G195))),F196*O195/36000*(G196-G195)))</f>
        <v>#VALUE!</v>
      </c>
      <c r="L196" s="160" t="e">
        <f ca="1">IF(G196="Всього:",SUM($L$5:L195),$E$4)</f>
        <v>#VALUE!</v>
      </c>
      <c r="M196" s="160" t="e">
        <f ca="1">IF(G196="Всього:",SUM($M$5:M195),IF($E$5="UAH",J196+L196+K196,J196+K196))</f>
        <v>#VALUE!</v>
      </c>
      <c r="N196" s="160" t="e">
        <f ca="1">IF(G196="Всього:",SUM($N$4:N195),IF($E$5="UAH","",L196))</f>
        <v>#VALUE!</v>
      </c>
      <c r="O196" s="160" t="e">
        <f t="shared" ca="1" si="8"/>
        <v>#VALUE!</v>
      </c>
    </row>
    <row r="197" spans="6:15" x14ac:dyDescent="0.3">
      <c r="F197" s="160" t="e">
        <f t="shared" ca="1" si="9"/>
        <v>#VALUE!</v>
      </c>
      <c r="G197" s="160" t="e">
        <f t="shared" ca="1" si="11"/>
        <v>#VALUE!</v>
      </c>
      <c r="H197" s="160" t="str">
        <f t="shared" ca="1" si="10"/>
        <v/>
      </c>
      <c r="I197" s="160" t="e">
        <f ca="1">IF($G197="Всього:",SUM($I$4:I196),IF(AND(DAY($C$4)&gt;=15,H197=1),K197+L197,$C$32))</f>
        <v>#VALUE!</v>
      </c>
      <c r="J197" s="160" t="e">
        <f ca="1">IF($G197="Всього:",SUM($J$4:J196),IF(I197-SUM(K197:L197)&lt;0,0,I197-SUM(K197:L197)))</f>
        <v>#VALUE!</v>
      </c>
      <c r="K197" s="160" t="e">
        <f ca="1">IF(G197="Всього:",SUM($K$5:K196),IF(F197&lt;&gt;F196,(F197*O196/36000*(G197-CONCATENATE(DAY($C$4),".",MONTH(G196),".",YEAR(G196)))+(F196*O196/36000*(CONCATENATE(DAY($C$4),".",MONTH(G196),".",YEAR(G196))-G196))),F197*O196/36000*(G197-G196)))</f>
        <v>#VALUE!</v>
      </c>
      <c r="L197" s="160" t="e">
        <f ca="1">IF(G197="Всього:",SUM($L$5:L196),$E$4)</f>
        <v>#VALUE!</v>
      </c>
      <c r="M197" s="160" t="e">
        <f ca="1">IF(G197="Всього:",SUM($M$5:M196),IF($E$5="UAH",J197+L197+K197,J197+K197))</f>
        <v>#VALUE!</v>
      </c>
      <c r="N197" s="160" t="e">
        <f ca="1">IF(G197="Всього:",SUM($N$4:N196),IF($E$5="UAH","",L197))</f>
        <v>#VALUE!</v>
      </c>
      <c r="O197" s="160" t="e">
        <f t="shared" ref="O197:O248" ca="1" si="12">O196-J197</f>
        <v>#VALUE!</v>
      </c>
    </row>
    <row r="198" spans="6:15" x14ac:dyDescent="0.3">
      <c r="F198" s="160" t="e">
        <f t="shared" ref="F198:F247" ca="1" si="13">IF(G198="Всього:","",IF(AND(G198&gt;$B$9,G198&lt;=$B$10),$C$16,IF(AND(G198&gt;$B$9,G198&lt;=$B$11),$D$16,IF(AND(G198&gt;$B$10,G198&lt;=$B$14),$E$16,$B$16))))</f>
        <v>#VALUE!</v>
      </c>
      <c r="G198" s="160" t="e">
        <f t="shared" ca="1" si="11"/>
        <v>#VALUE!</v>
      </c>
      <c r="H198" s="160" t="str">
        <f t="shared" ref="H198:H247" ca="1" si="14">IF(H197&gt;$E$8,"",H197+1)</f>
        <v/>
      </c>
      <c r="I198" s="160" t="e">
        <f ca="1">IF($G198="Всього:",SUM($I$4:I197),IF(AND(DAY($C$4)&gt;=15,H198=1),K198+L198,$C$32))</f>
        <v>#VALUE!</v>
      </c>
      <c r="J198" s="160" t="e">
        <f ca="1">IF($G198="Всього:",SUM($J$4:J197),IF(I198-SUM(K198:L198)&lt;0,0,I198-SUM(K198:L198)))</f>
        <v>#VALUE!</v>
      </c>
      <c r="K198" s="160" t="e">
        <f ca="1">IF(G198="Всього:",SUM($K$5:K197),IF(F198&lt;&gt;F197,(F198*O197/36000*(G198-CONCATENATE(DAY($C$4),".",MONTH(G197),".",YEAR(G197)))+(F197*O197/36000*(CONCATENATE(DAY($C$4),".",MONTH(G197),".",YEAR(G197))-G197))),F198*O197/36000*(G198-G197)))</f>
        <v>#VALUE!</v>
      </c>
      <c r="L198" s="160" t="e">
        <f ca="1">IF(G198="Всього:",SUM($L$5:L197),$E$4)</f>
        <v>#VALUE!</v>
      </c>
      <c r="M198" s="160" t="e">
        <f ca="1">IF(G198="Всього:",SUM($M$5:M197),IF($E$5="UAH",J198+L198+K198,J198+K198))</f>
        <v>#VALUE!</v>
      </c>
      <c r="N198" s="160" t="e">
        <f ca="1">IF(G198="Всього:",SUM($N$4:N197),IF($E$5="UAH","",L198))</f>
        <v>#VALUE!</v>
      </c>
      <c r="O198" s="160" t="e">
        <f t="shared" ca="1" si="12"/>
        <v>#VALUE!</v>
      </c>
    </row>
    <row r="199" spans="6:15" x14ac:dyDescent="0.3">
      <c r="F199" s="160" t="e">
        <f t="shared" ca="1" si="13"/>
        <v>#VALUE!</v>
      </c>
      <c r="G199" s="160" t="e">
        <f t="shared" ref="G199:G247" ca="1" si="15">IF(H198=$E$8,"Всього:",IF($E$3+1=H199,$B$14,DATE(YEAR(G198),MONTH(G198)+1,IF($B$7&lt;&gt;"",DAY(IF($B$7&gt;DAY(EOMONTH(G198,1)),EOMONTH(G198,1),$B$7)),DAY(1)))))</f>
        <v>#VALUE!</v>
      </c>
      <c r="H199" s="160" t="str">
        <f t="shared" ca="1" si="14"/>
        <v/>
      </c>
      <c r="I199" s="160" t="e">
        <f ca="1">IF($G199="Всього:",SUM($I$4:I198),IF(AND(DAY($C$4)&gt;=15,H199=1),K199+L199,$C$32))</f>
        <v>#VALUE!</v>
      </c>
      <c r="J199" s="160" t="e">
        <f ca="1">IF($G199="Всього:",SUM($J$4:J198),IF(I199-SUM(K199:L199)&lt;0,0,I199-SUM(K199:L199)))</f>
        <v>#VALUE!</v>
      </c>
      <c r="K199" s="160" t="e">
        <f ca="1">IF(G199="Всього:",SUM($K$5:K198),IF(F199&lt;&gt;F198,(F199*O198/36000*(G199-CONCATENATE(DAY($C$4),".",MONTH(G198),".",YEAR(G198)))+(F198*O198/36000*(CONCATENATE(DAY($C$4),".",MONTH(G198),".",YEAR(G198))-G198))),F199*O198/36000*(G199-G198)))</f>
        <v>#VALUE!</v>
      </c>
      <c r="L199" s="160" t="e">
        <f ca="1">IF(G199="Всього:",SUM($L$5:L198),$E$4)</f>
        <v>#VALUE!</v>
      </c>
      <c r="M199" s="160" t="e">
        <f ca="1">IF(G199="Всього:",SUM($M$5:M198),IF($E$5="UAH",J199+L199+K199,J199+K199))</f>
        <v>#VALUE!</v>
      </c>
      <c r="N199" s="160" t="e">
        <f ca="1">IF(G199="Всього:",SUM($N$4:N198),IF($E$5="UAH","",L199))</f>
        <v>#VALUE!</v>
      </c>
      <c r="O199" s="160" t="e">
        <f t="shared" ca="1" si="12"/>
        <v>#VALUE!</v>
      </c>
    </row>
    <row r="200" spans="6:15" x14ac:dyDescent="0.3">
      <c r="F200" s="160" t="e">
        <f t="shared" ca="1" si="13"/>
        <v>#VALUE!</v>
      </c>
      <c r="G200" s="160" t="e">
        <f t="shared" ca="1" si="15"/>
        <v>#VALUE!</v>
      </c>
      <c r="H200" s="160" t="str">
        <f t="shared" ca="1" si="14"/>
        <v/>
      </c>
      <c r="I200" s="160" t="e">
        <f ca="1">IF($G200="Всього:",SUM($I$4:I199),IF(AND(DAY($C$4)&gt;=15,H200=1),K200+L200,$C$32))</f>
        <v>#VALUE!</v>
      </c>
      <c r="J200" s="160" t="e">
        <f ca="1">IF($G200="Всього:",SUM($J$4:J199),IF(I200-SUM(K200:L200)&lt;0,0,I200-SUM(K200:L200)))</f>
        <v>#VALUE!</v>
      </c>
      <c r="K200" s="160" t="e">
        <f ca="1">IF(G200="Всього:",SUM($K$5:K199),IF(F200&lt;&gt;F199,(F200*O199/36000*(G200-CONCATENATE(DAY($C$4),".",MONTH(G199),".",YEAR(G199)))+(F199*O199/36000*(CONCATENATE(DAY($C$4),".",MONTH(G199),".",YEAR(G199))-G199))),F200*O199/36000*(G200-G199)))</f>
        <v>#VALUE!</v>
      </c>
      <c r="L200" s="160" t="e">
        <f ca="1">IF(G200="Всього:",SUM($L$5:L199),$E$4)</f>
        <v>#VALUE!</v>
      </c>
      <c r="M200" s="160" t="e">
        <f ca="1">IF(G200="Всього:",SUM($M$5:M199),IF($E$5="UAH",J200+L200+K200,J200+K200))</f>
        <v>#VALUE!</v>
      </c>
      <c r="N200" s="160" t="e">
        <f ca="1">IF(G200="Всього:",SUM($N$4:N199),IF($E$5="UAH","",L200))</f>
        <v>#VALUE!</v>
      </c>
      <c r="O200" s="160" t="e">
        <f t="shared" ca="1" si="12"/>
        <v>#VALUE!</v>
      </c>
    </row>
    <row r="201" spans="6:15" x14ac:dyDescent="0.3">
      <c r="F201" s="160" t="e">
        <f t="shared" ca="1" si="13"/>
        <v>#VALUE!</v>
      </c>
      <c r="G201" s="160" t="e">
        <f t="shared" ca="1" si="15"/>
        <v>#VALUE!</v>
      </c>
      <c r="H201" s="160" t="str">
        <f t="shared" ca="1" si="14"/>
        <v/>
      </c>
      <c r="I201" s="160" t="e">
        <f ca="1">IF($G201="Всього:",SUM($I$4:I200),IF(AND(DAY($C$4)&gt;=15,H201=1),K201+L201,$C$32))</f>
        <v>#VALUE!</v>
      </c>
      <c r="J201" s="160" t="e">
        <f ca="1">IF($G201="Всього:",SUM($J$4:J200),IF(I201-SUM(K201:L201)&lt;0,0,I201-SUM(K201:L201)))</f>
        <v>#VALUE!</v>
      </c>
      <c r="K201" s="160" t="e">
        <f ca="1">IF(G201="Всього:",SUM($K$5:K200),IF(F201&lt;&gt;F200,(F201*O200/36000*(G201-CONCATENATE(DAY($C$4),".",MONTH(G200),".",YEAR(G200)))+(F200*O200/36000*(CONCATENATE(DAY($C$4),".",MONTH(G200),".",YEAR(G200))-G200))),F201*O200/36000*(G201-G200)))</f>
        <v>#VALUE!</v>
      </c>
      <c r="L201" s="160" t="e">
        <f ca="1">IF(G201="Всього:",SUM($L$5:L200),$E$4)</f>
        <v>#VALUE!</v>
      </c>
      <c r="M201" s="160" t="e">
        <f ca="1">IF(G201="Всього:",SUM($M$5:M200),IF($E$5="UAH",J201+L201+K201,J201+K201))</f>
        <v>#VALUE!</v>
      </c>
      <c r="N201" s="160" t="e">
        <f ca="1">IF(G201="Всього:",SUM($N$4:N200),IF($E$5="UAH","",L201))</f>
        <v>#VALUE!</v>
      </c>
      <c r="O201" s="160" t="e">
        <f t="shared" ca="1" si="12"/>
        <v>#VALUE!</v>
      </c>
    </row>
    <row r="202" spans="6:15" x14ac:dyDescent="0.3">
      <c r="F202" s="160" t="e">
        <f t="shared" ca="1" si="13"/>
        <v>#VALUE!</v>
      </c>
      <c r="G202" s="160" t="e">
        <f t="shared" ca="1" si="15"/>
        <v>#VALUE!</v>
      </c>
      <c r="H202" s="160" t="str">
        <f t="shared" ca="1" si="14"/>
        <v/>
      </c>
      <c r="I202" s="160" t="e">
        <f ca="1">IF($G202="Всього:",SUM($I$4:I201),IF(AND(DAY($C$4)&gt;=15,H202=1),K202+L202,$C$32))</f>
        <v>#VALUE!</v>
      </c>
      <c r="J202" s="160" t="e">
        <f ca="1">IF($G202="Всього:",SUM($J$4:J201),IF(I202-SUM(K202:L202)&lt;0,0,I202-SUM(K202:L202)))</f>
        <v>#VALUE!</v>
      </c>
      <c r="K202" s="160" t="e">
        <f ca="1">IF(G202="Всього:",SUM($K$5:K201),IF(F202&lt;&gt;F201,(F202*O201/36000*(G202-CONCATENATE(DAY($C$4),".",MONTH(G201),".",YEAR(G201)))+(F201*O201/36000*(CONCATENATE(DAY($C$4),".",MONTH(G201),".",YEAR(G201))-G201))),F202*O201/36000*(G202-G201)))</f>
        <v>#VALUE!</v>
      </c>
      <c r="L202" s="160" t="e">
        <f ca="1">IF(G202="Всього:",SUM($L$5:L201),$E$4)</f>
        <v>#VALUE!</v>
      </c>
      <c r="M202" s="160" t="e">
        <f ca="1">IF(G202="Всього:",SUM($M$5:M201),IF($E$5="UAH",J202+L202+K202,J202+K202))</f>
        <v>#VALUE!</v>
      </c>
      <c r="N202" s="160" t="e">
        <f ca="1">IF(G202="Всього:",SUM($N$4:N201),IF($E$5="UAH","",L202))</f>
        <v>#VALUE!</v>
      </c>
      <c r="O202" s="160" t="e">
        <f t="shared" ca="1" si="12"/>
        <v>#VALUE!</v>
      </c>
    </row>
    <row r="203" spans="6:15" x14ac:dyDescent="0.3">
      <c r="F203" s="160" t="e">
        <f t="shared" ca="1" si="13"/>
        <v>#VALUE!</v>
      </c>
      <c r="G203" s="160" t="e">
        <f t="shared" ca="1" si="15"/>
        <v>#VALUE!</v>
      </c>
      <c r="H203" s="160" t="str">
        <f t="shared" ca="1" si="14"/>
        <v/>
      </c>
      <c r="I203" s="160" t="e">
        <f ca="1">IF($G203="Всього:",SUM($I$4:I202),IF(AND(DAY($C$4)&gt;=15,H203=1),K203+L203,$C$32))</f>
        <v>#VALUE!</v>
      </c>
      <c r="J203" s="160" t="e">
        <f ca="1">IF($G203="Всього:",SUM($J$4:J202),IF(I203-SUM(K203:L203)&lt;0,0,I203-SUM(K203:L203)))</f>
        <v>#VALUE!</v>
      </c>
      <c r="K203" s="160" t="e">
        <f ca="1">IF(G203="Всього:",SUM($K$5:K202),IF(F203&lt;&gt;F202,(F203*O202/36000*(G203-CONCATENATE(DAY($C$4),".",MONTH(G202),".",YEAR(G202)))+(F202*O202/36000*(CONCATENATE(DAY($C$4),".",MONTH(G202),".",YEAR(G202))-G202))),F203*O202/36000*(G203-G202)))</f>
        <v>#VALUE!</v>
      </c>
      <c r="L203" s="160" t="e">
        <f ca="1">IF(G203="Всього:",SUM($L$5:L202),$E$4)</f>
        <v>#VALUE!</v>
      </c>
      <c r="M203" s="160" t="e">
        <f ca="1">IF(G203="Всього:",SUM($M$5:M202),IF($E$5="UAH",J203+L203+K203,J203+K203))</f>
        <v>#VALUE!</v>
      </c>
      <c r="N203" s="160" t="e">
        <f ca="1">IF(G203="Всього:",SUM($N$4:N202),IF($E$5="UAH","",L203))</f>
        <v>#VALUE!</v>
      </c>
      <c r="O203" s="160" t="e">
        <f t="shared" ca="1" si="12"/>
        <v>#VALUE!</v>
      </c>
    </row>
    <row r="204" spans="6:15" x14ac:dyDescent="0.3">
      <c r="F204" s="160" t="e">
        <f t="shared" ca="1" si="13"/>
        <v>#VALUE!</v>
      </c>
      <c r="G204" s="160" t="e">
        <f t="shared" ca="1" si="15"/>
        <v>#VALUE!</v>
      </c>
      <c r="H204" s="160" t="str">
        <f t="shared" ca="1" si="14"/>
        <v/>
      </c>
      <c r="I204" s="160" t="e">
        <f ca="1">IF($G204="Всього:",SUM($I$4:I203),IF(AND(DAY($C$4)&gt;=15,H204=1),K204+L204,$C$32))</f>
        <v>#VALUE!</v>
      </c>
      <c r="J204" s="160" t="e">
        <f ca="1">IF($G204="Всього:",SUM($J$4:J203),IF(I204-SUM(K204:L204)&lt;0,0,I204-SUM(K204:L204)))</f>
        <v>#VALUE!</v>
      </c>
      <c r="K204" s="160" t="e">
        <f ca="1">IF(G204="Всього:",SUM($K$5:K203),IF(F204&lt;&gt;F203,(F204*O203/36000*(G204-CONCATENATE(DAY($C$4),".",MONTH(G203),".",YEAR(G203)))+(F203*O203/36000*(CONCATENATE(DAY($C$4),".",MONTH(G203),".",YEAR(G203))-G203))),F204*O203/36000*(G204-G203)))</f>
        <v>#VALUE!</v>
      </c>
      <c r="L204" s="160" t="e">
        <f ca="1">IF(G204="Всього:",SUM($L$5:L203),$E$4)</f>
        <v>#VALUE!</v>
      </c>
      <c r="M204" s="160" t="e">
        <f ca="1">IF(G204="Всього:",SUM($M$5:M203),IF($E$5="UAH",J204+L204+K204,J204+K204))</f>
        <v>#VALUE!</v>
      </c>
      <c r="N204" s="160" t="e">
        <f ca="1">IF(G204="Всього:",SUM($N$4:N203),IF($E$5="UAH","",L204))</f>
        <v>#VALUE!</v>
      </c>
      <c r="O204" s="160" t="e">
        <f t="shared" ca="1" si="12"/>
        <v>#VALUE!</v>
      </c>
    </row>
    <row r="205" spans="6:15" x14ac:dyDescent="0.3">
      <c r="F205" s="160" t="e">
        <f t="shared" ca="1" si="13"/>
        <v>#VALUE!</v>
      </c>
      <c r="G205" s="160" t="e">
        <f t="shared" ca="1" si="15"/>
        <v>#VALUE!</v>
      </c>
      <c r="H205" s="160" t="str">
        <f t="shared" ca="1" si="14"/>
        <v/>
      </c>
      <c r="I205" s="160" t="e">
        <f ca="1">IF($G205="Всього:",SUM($I$4:I204),IF(AND(DAY($C$4)&gt;=15,H205=1),K205+L205,$C$32))</f>
        <v>#VALUE!</v>
      </c>
      <c r="J205" s="160" t="e">
        <f ca="1">IF($G205="Всього:",SUM($J$4:J204),IF(I205-SUM(K205:L205)&lt;0,0,I205-SUM(K205:L205)))</f>
        <v>#VALUE!</v>
      </c>
      <c r="K205" s="160" t="e">
        <f ca="1">IF(G205="Всього:",SUM($K$5:K204),IF(F205&lt;&gt;F204,(F205*O204/36000*(G205-CONCATENATE(DAY($C$4),".",MONTH(G204),".",YEAR(G204)))+(F204*O204/36000*(CONCATENATE(DAY($C$4),".",MONTH(G204),".",YEAR(G204))-G204))),F205*O204/36000*(G205-G204)))</f>
        <v>#VALUE!</v>
      </c>
      <c r="L205" s="160" t="e">
        <f ca="1">IF(G205="Всього:",SUM($L$5:L204),$E$4)</f>
        <v>#VALUE!</v>
      </c>
      <c r="M205" s="160" t="e">
        <f ca="1">IF(G205="Всього:",SUM($M$5:M204),IF($E$5="UAH",J205+L205+K205,J205+K205))</f>
        <v>#VALUE!</v>
      </c>
      <c r="N205" s="160" t="e">
        <f ca="1">IF(G205="Всього:",SUM($N$4:N204),IF($E$5="UAH","",L205))</f>
        <v>#VALUE!</v>
      </c>
      <c r="O205" s="160" t="e">
        <f t="shared" ca="1" si="12"/>
        <v>#VALUE!</v>
      </c>
    </row>
    <row r="206" spans="6:15" x14ac:dyDescent="0.3">
      <c r="F206" s="160" t="e">
        <f t="shared" ca="1" si="13"/>
        <v>#VALUE!</v>
      </c>
      <c r="G206" s="160" t="e">
        <f t="shared" ca="1" si="15"/>
        <v>#VALUE!</v>
      </c>
      <c r="H206" s="160" t="str">
        <f t="shared" ca="1" si="14"/>
        <v/>
      </c>
      <c r="I206" s="160" t="e">
        <f ca="1">IF($G206="Всього:",SUM($I$4:I205),IF(AND(DAY($C$4)&gt;=15,H206=1),K206+L206,$C$32))</f>
        <v>#VALUE!</v>
      </c>
      <c r="J206" s="160" t="e">
        <f ca="1">IF($G206="Всього:",SUM($J$4:J205),IF(I206-SUM(K206:L206)&lt;0,0,I206-SUM(K206:L206)))</f>
        <v>#VALUE!</v>
      </c>
      <c r="K206" s="160" t="e">
        <f ca="1">IF(G206="Всього:",SUM($K$5:K205),IF(F206&lt;&gt;F205,(F206*O205/36000*(G206-CONCATENATE(DAY($C$4),".",MONTH(G205),".",YEAR(G205)))+(F205*O205/36000*(CONCATENATE(DAY($C$4),".",MONTH(G205),".",YEAR(G205))-G205))),F206*O205/36000*(G206-G205)))</f>
        <v>#VALUE!</v>
      </c>
      <c r="L206" s="160" t="e">
        <f ca="1">IF(G206="Всього:",SUM($L$5:L205),$E$4)</f>
        <v>#VALUE!</v>
      </c>
      <c r="M206" s="160" t="e">
        <f ca="1">IF(G206="Всього:",SUM($M$5:M205),IF($E$5="UAH",J206+L206+K206,J206+K206))</f>
        <v>#VALUE!</v>
      </c>
      <c r="N206" s="160" t="e">
        <f ca="1">IF(G206="Всього:",SUM($N$4:N205),IF($E$5="UAH","",L206))</f>
        <v>#VALUE!</v>
      </c>
      <c r="O206" s="160" t="e">
        <f t="shared" ca="1" si="12"/>
        <v>#VALUE!</v>
      </c>
    </row>
    <row r="207" spans="6:15" x14ac:dyDescent="0.3">
      <c r="F207" s="160" t="e">
        <f t="shared" ca="1" si="13"/>
        <v>#VALUE!</v>
      </c>
      <c r="G207" s="160" t="e">
        <f t="shared" ca="1" si="15"/>
        <v>#VALUE!</v>
      </c>
      <c r="H207" s="160" t="str">
        <f t="shared" ca="1" si="14"/>
        <v/>
      </c>
      <c r="I207" s="160" t="e">
        <f ca="1">IF($G207="Всього:",SUM($I$4:I206),IF(AND(DAY($C$4)&gt;=15,H207=1),K207+L207,$C$32))</f>
        <v>#VALUE!</v>
      </c>
      <c r="J207" s="160" t="e">
        <f ca="1">IF($G207="Всього:",SUM($J$4:J206),IF(I207-SUM(K207:L207)&lt;0,0,I207-SUM(K207:L207)))</f>
        <v>#VALUE!</v>
      </c>
      <c r="K207" s="160" t="e">
        <f ca="1">IF(G207="Всього:",SUM($K$5:K206),IF(F207&lt;&gt;F206,(F207*O206/36000*(G207-CONCATENATE(DAY($C$4),".",MONTH(G206),".",YEAR(G206)))+(F206*O206/36000*(CONCATENATE(DAY($C$4),".",MONTH(G206),".",YEAR(G206))-G206))),F207*O206/36000*(G207-G206)))</f>
        <v>#VALUE!</v>
      </c>
      <c r="L207" s="160" t="e">
        <f ca="1">IF(G207="Всього:",SUM($L$5:L206),$E$4)</f>
        <v>#VALUE!</v>
      </c>
      <c r="M207" s="160" t="e">
        <f ca="1">IF(G207="Всього:",SUM($M$5:M206),IF($E$5="UAH",J207+L207+K207,J207+K207))</f>
        <v>#VALUE!</v>
      </c>
      <c r="N207" s="160" t="e">
        <f ca="1">IF(G207="Всього:",SUM($N$4:N206),IF($E$5="UAH","",L207))</f>
        <v>#VALUE!</v>
      </c>
      <c r="O207" s="160" t="e">
        <f t="shared" ca="1" si="12"/>
        <v>#VALUE!</v>
      </c>
    </row>
    <row r="208" spans="6:15" x14ac:dyDescent="0.3">
      <c r="F208" s="160" t="e">
        <f t="shared" ca="1" si="13"/>
        <v>#VALUE!</v>
      </c>
      <c r="G208" s="160" t="e">
        <f t="shared" ca="1" si="15"/>
        <v>#VALUE!</v>
      </c>
      <c r="H208" s="160" t="str">
        <f t="shared" ca="1" si="14"/>
        <v/>
      </c>
      <c r="I208" s="160" t="e">
        <f ca="1">IF($G208="Всього:",SUM($I$4:I207),IF(AND(DAY($C$4)&gt;=15,H208=1),K208+L208,$C$32))</f>
        <v>#VALUE!</v>
      </c>
      <c r="J208" s="160" t="e">
        <f ca="1">IF($G208="Всього:",SUM($J$4:J207),IF(I208-SUM(K208:L208)&lt;0,0,I208-SUM(K208:L208)))</f>
        <v>#VALUE!</v>
      </c>
      <c r="K208" s="160" t="e">
        <f ca="1">IF(G208="Всього:",SUM($K$5:K207),IF(F208&lt;&gt;F207,(F208*O207/36000*(G208-CONCATENATE(DAY($C$4),".",MONTH(G207),".",YEAR(G207)))+(F207*O207/36000*(CONCATENATE(DAY($C$4),".",MONTH(G207),".",YEAR(G207))-G207))),F208*O207/36000*(G208-G207)))</f>
        <v>#VALUE!</v>
      </c>
      <c r="L208" s="160" t="e">
        <f ca="1">IF(G208="Всього:",SUM($L$5:L207),$E$4)</f>
        <v>#VALUE!</v>
      </c>
      <c r="M208" s="160" t="e">
        <f ca="1">IF(G208="Всього:",SUM($M$5:M207),IF($E$5="UAH",J208+L208+K208,J208+K208))</f>
        <v>#VALUE!</v>
      </c>
      <c r="N208" s="160" t="e">
        <f ca="1">IF(G208="Всього:",SUM($N$4:N207),IF($E$5="UAH","",L208))</f>
        <v>#VALUE!</v>
      </c>
      <c r="O208" s="160" t="e">
        <f t="shared" ca="1" si="12"/>
        <v>#VALUE!</v>
      </c>
    </row>
    <row r="209" spans="6:15" x14ac:dyDescent="0.3">
      <c r="F209" s="160" t="e">
        <f t="shared" ca="1" si="13"/>
        <v>#VALUE!</v>
      </c>
      <c r="G209" s="160" t="e">
        <f t="shared" ca="1" si="15"/>
        <v>#VALUE!</v>
      </c>
      <c r="H209" s="160" t="str">
        <f t="shared" ca="1" si="14"/>
        <v/>
      </c>
      <c r="I209" s="160" t="e">
        <f ca="1">IF($G209="Всього:",SUM($I$4:I208),IF(AND(DAY($C$4)&gt;=15,H209=1),K209+L209,$C$32))</f>
        <v>#VALUE!</v>
      </c>
      <c r="J209" s="160" t="e">
        <f ca="1">IF($G209="Всього:",SUM($J$4:J208),IF(I209-SUM(K209:L209)&lt;0,0,I209-SUM(K209:L209)))</f>
        <v>#VALUE!</v>
      </c>
      <c r="K209" s="160" t="e">
        <f ca="1">IF(G209="Всього:",SUM($K$5:K208),IF(F209&lt;&gt;F208,(F209*O208/36000*(G209-CONCATENATE(DAY($C$4),".",MONTH(G208),".",YEAR(G208)))+(F208*O208/36000*(CONCATENATE(DAY($C$4),".",MONTH(G208),".",YEAR(G208))-G208))),F209*O208/36000*(G209-G208)))</f>
        <v>#VALUE!</v>
      </c>
      <c r="L209" s="160" t="e">
        <f ca="1">IF(G209="Всього:",SUM($L$5:L208),$E$4)</f>
        <v>#VALUE!</v>
      </c>
      <c r="M209" s="160" t="e">
        <f ca="1">IF(G209="Всього:",SUM($M$5:M208),IF($E$5="UAH",J209+L209+K209,J209+K209))</f>
        <v>#VALUE!</v>
      </c>
      <c r="N209" s="160" t="e">
        <f ca="1">IF(G209="Всього:",SUM($N$4:N208),IF($E$5="UAH","",L209))</f>
        <v>#VALUE!</v>
      </c>
      <c r="O209" s="160" t="e">
        <f t="shared" ca="1" si="12"/>
        <v>#VALUE!</v>
      </c>
    </row>
    <row r="210" spans="6:15" x14ac:dyDescent="0.3">
      <c r="F210" s="160" t="e">
        <f t="shared" ca="1" si="13"/>
        <v>#VALUE!</v>
      </c>
      <c r="G210" s="160" t="e">
        <f t="shared" ca="1" si="15"/>
        <v>#VALUE!</v>
      </c>
      <c r="H210" s="160" t="str">
        <f t="shared" ca="1" si="14"/>
        <v/>
      </c>
      <c r="I210" s="160" t="e">
        <f ca="1">IF($G210="Всього:",SUM($I$4:I209),IF(AND(DAY($C$4)&gt;=15,H210=1),K210+L210,$C$32))</f>
        <v>#VALUE!</v>
      </c>
      <c r="J210" s="160" t="e">
        <f ca="1">IF($G210="Всього:",SUM($J$4:J209),IF(I210-SUM(K210:L210)&lt;0,0,I210-SUM(K210:L210)))</f>
        <v>#VALUE!</v>
      </c>
      <c r="K210" s="160" t="e">
        <f ca="1">IF(G210="Всього:",SUM($K$5:K209),IF(F210&lt;&gt;F209,(F210*O209/36000*(G210-CONCATENATE(DAY($C$4),".",MONTH(G209),".",YEAR(G209)))+(F209*O209/36000*(CONCATENATE(DAY($C$4),".",MONTH(G209),".",YEAR(G209))-G209))),F210*O209/36000*(G210-G209)))</f>
        <v>#VALUE!</v>
      </c>
      <c r="L210" s="160" t="e">
        <f ca="1">IF(G210="Всього:",SUM($L$5:L209),$E$4)</f>
        <v>#VALUE!</v>
      </c>
      <c r="M210" s="160" t="e">
        <f ca="1">IF(G210="Всього:",SUM($M$5:M209),IF($E$5="UAH",J210+L210+K210,J210+K210))</f>
        <v>#VALUE!</v>
      </c>
      <c r="N210" s="160" t="e">
        <f ca="1">IF(G210="Всього:",SUM($N$4:N209),IF($E$5="UAH","",L210))</f>
        <v>#VALUE!</v>
      </c>
      <c r="O210" s="160" t="e">
        <f t="shared" ca="1" si="12"/>
        <v>#VALUE!</v>
      </c>
    </row>
    <row r="211" spans="6:15" x14ac:dyDescent="0.3">
      <c r="F211" s="160" t="e">
        <f t="shared" ca="1" si="13"/>
        <v>#VALUE!</v>
      </c>
      <c r="G211" s="160" t="e">
        <f t="shared" ca="1" si="15"/>
        <v>#VALUE!</v>
      </c>
      <c r="H211" s="160" t="str">
        <f t="shared" ca="1" si="14"/>
        <v/>
      </c>
      <c r="I211" s="160" t="e">
        <f ca="1">IF($G211="Всього:",SUM($I$4:I210),IF(AND(DAY($C$4)&gt;=15,H211=1),K211+L211,$C$32))</f>
        <v>#VALUE!</v>
      </c>
      <c r="J211" s="160" t="e">
        <f ca="1">IF($G211="Всього:",SUM($J$4:J210),IF(I211-SUM(K211:L211)&lt;0,0,I211-SUM(K211:L211)))</f>
        <v>#VALUE!</v>
      </c>
      <c r="K211" s="160" t="e">
        <f ca="1">IF(G211="Всього:",SUM($K$5:K210),IF(F211&lt;&gt;F210,(F211*O210/36000*(G211-CONCATENATE(DAY($C$4),".",MONTH(G210),".",YEAR(G210)))+(F210*O210/36000*(CONCATENATE(DAY($C$4),".",MONTH(G210),".",YEAR(G210))-G210))),F211*O210/36000*(G211-G210)))</f>
        <v>#VALUE!</v>
      </c>
      <c r="L211" s="160" t="e">
        <f ca="1">IF(G211="Всього:",SUM($L$5:L210),$E$4)</f>
        <v>#VALUE!</v>
      </c>
      <c r="M211" s="160" t="e">
        <f ca="1">IF(G211="Всього:",SUM($M$5:M210),IF($E$5="UAH",J211+L211+K211,J211+K211))</f>
        <v>#VALUE!</v>
      </c>
      <c r="N211" s="160" t="e">
        <f ca="1">IF(G211="Всього:",SUM($N$4:N210),IF($E$5="UAH","",L211))</f>
        <v>#VALUE!</v>
      </c>
      <c r="O211" s="160" t="e">
        <f t="shared" ca="1" si="12"/>
        <v>#VALUE!</v>
      </c>
    </row>
    <row r="212" spans="6:15" x14ac:dyDescent="0.3">
      <c r="F212" s="160" t="e">
        <f t="shared" ca="1" si="13"/>
        <v>#VALUE!</v>
      </c>
      <c r="G212" s="160" t="e">
        <f t="shared" ca="1" si="15"/>
        <v>#VALUE!</v>
      </c>
      <c r="H212" s="160" t="str">
        <f t="shared" ca="1" si="14"/>
        <v/>
      </c>
      <c r="I212" s="160" t="e">
        <f ca="1">IF($G212="Всього:",SUM($I$4:I211),IF(AND(DAY($C$4)&gt;=15,H212=1),K212+L212,$C$32))</f>
        <v>#VALUE!</v>
      </c>
      <c r="J212" s="160" t="e">
        <f ca="1">IF($G212="Всього:",SUM($J$4:J211),IF(I212-SUM(K212:L212)&lt;0,0,I212-SUM(K212:L212)))</f>
        <v>#VALUE!</v>
      </c>
      <c r="K212" s="160" t="e">
        <f ca="1">IF(G212="Всього:",SUM($K$5:K211),IF(F212&lt;&gt;F211,(F212*O211/36000*(G212-CONCATENATE(DAY($C$4),".",MONTH(G211),".",YEAR(G211)))+(F211*O211/36000*(CONCATENATE(DAY($C$4),".",MONTH(G211),".",YEAR(G211))-G211))),F212*O211/36000*(G212-G211)))</f>
        <v>#VALUE!</v>
      </c>
      <c r="L212" s="160" t="e">
        <f ca="1">IF(G212="Всього:",SUM($L$5:L211),$E$4)</f>
        <v>#VALUE!</v>
      </c>
      <c r="M212" s="160" t="e">
        <f ca="1">IF(G212="Всього:",SUM($M$5:M211),IF($E$5="UAH",J212+L212+K212,J212+K212))</f>
        <v>#VALUE!</v>
      </c>
      <c r="N212" s="160" t="e">
        <f ca="1">IF(G212="Всього:",SUM($N$4:N211),IF($E$5="UAH","",L212))</f>
        <v>#VALUE!</v>
      </c>
      <c r="O212" s="160" t="e">
        <f t="shared" ca="1" si="12"/>
        <v>#VALUE!</v>
      </c>
    </row>
    <row r="213" spans="6:15" x14ac:dyDescent="0.3">
      <c r="F213" s="160" t="e">
        <f t="shared" ca="1" si="13"/>
        <v>#VALUE!</v>
      </c>
      <c r="G213" s="160" t="e">
        <f t="shared" ca="1" si="15"/>
        <v>#VALUE!</v>
      </c>
      <c r="H213" s="160" t="str">
        <f t="shared" ca="1" si="14"/>
        <v/>
      </c>
      <c r="I213" s="160" t="e">
        <f ca="1">IF($G213="Всього:",SUM($I$4:I212),IF(AND(DAY($C$4)&gt;=15,H213=1),K213+L213,$C$32))</f>
        <v>#VALUE!</v>
      </c>
      <c r="J213" s="160" t="e">
        <f ca="1">IF($G213="Всього:",SUM($J$4:J212),IF(I213-SUM(K213:L213)&lt;0,0,I213-SUM(K213:L213)))</f>
        <v>#VALUE!</v>
      </c>
      <c r="K213" s="160" t="e">
        <f ca="1">IF(G213="Всього:",SUM($K$5:K212),IF(F213&lt;&gt;F212,(F213*O212/36000*(G213-CONCATENATE(DAY($C$4),".",MONTH(G212),".",YEAR(G212)))+(F212*O212/36000*(CONCATENATE(DAY($C$4),".",MONTH(G212),".",YEAR(G212))-G212))),F213*O212/36000*(G213-G212)))</f>
        <v>#VALUE!</v>
      </c>
      <c r="L213" s="160" t="e">
        <f ca="1">IF(G213="Всього:",SUM($L$5:L212),$E$4)</f>
        <v>#VALUE!</v>
      </c>
      <c r="M213" s="160" t="e">
        <f ca="1">IF(G213="Всього:",SUM($M$5:M212),IF($E$5="UAH",J213+L213+K213,J213+K213))</f>
        <v>#VALUE!</v>
      </c>
      <c r="N213" s="160" t="e">
        <f ca="1">IF(G213="Всього:",SUM($N$4:N212),IF($E$5="UAH","",L213))</f>
        <v>#VALUE!</v>
      </c>
      <c r="O213" s="160" t="e">
        <f t="shared" ca="1" si="12"/>
        <v>#VALUE!</v>
      </c>
    </row>
    <row r="214" spans="6:15" x14ac:dyDescent="0.3">
      <c r="F214" s="160" t="e">
        <f t="shared" ca="1" si="13"/>
        <v>#VALUE!</v>
      </c>
      <c r="G214" s="160" t="e">
        <f t="shared" ca="1" si="15"/>
        <v>#VALUE!</v>
      </c>
      <c r="H214" s="160" t="str">
        <f t="shared" ca="1" si="14"/>
        <v/>
      </c>
      <c r="I214" s="160" t="e">
        <f ca="1">IF($G214="Всього:",SUM($I$4:I213),IF(AND(DAY($C$4)&gt;=15,H214=1),K214+L214,$C$32))</f>
        <v>#VALUE!</v>
      </c>
      <c r="J214" s="160" t="e">
        <f ca="1">IF($G214="Всього:",SUM($J$4:J213),IF(I214-SUM(K214:L214)&lt;0,0,I214-SUM(K214:L214)))</f>
        <v>#VALUE!</v>
      </c>
      <c r="K214" s="160" t="e">
        <f ca="1">IF(G214="Всього:",SUM($K$5:K213),IF(F214&lt;&gt;F213,(F214*O213/36000*(G214-CONCATENATE(DAY($C$4),".",MONTH(G213),".",YEAR(G213)))+(F213*O213/36000*(CONCATENATE(DAY($C$4),".",MONTH(G213),".",YEAR(G213))-G213))),F214*O213/36000*(G214-G213)))</f>
        <v>#VALUE!</v>
      </c>
      <c r="L214" s="160" t="e">
        <f ca="1">IF(G214="Всього:",SUM($L$5:L213),$E$4)</f>
        <v>#VALUE!</v>
      </c>
      <c r="M214" s="160" t="e">
        <f ca="1">IF(G214="Всього:",SUM($M$5:M213),IF($E$5="UAH",J214+L214+K214,J214+K214))</f>
        <v>#VALUE!</v>
      </c>
      <c r="N214" s="160" t="e">
        <f ca="1">IF(G214="Всього:",SUM($N$4:N213),IF($E$5="UAH","",L214))</f>
        <v>#VALUE!</v>
      </c>
      <c r="O214" s="160" t="e">
        <f t="shared" ca="1" si="12"/>
        <v>#VALUE!</v>
      </c>
    </row>
    <row r="215" spans="6:15" x14ac:dyDescent="0.3">
      <c r="F215" s="160" t="e">
        <f t="shared" ca="1" si="13"/>
        <v>#VALUE!</v>
      </c>
      <c r="G215" s="160" t="e">
        <f t="shared" ca="1" si="15"/>
        <v>#VALUE!</v>
      </c>
      <c r="H215" s="160" t="str">
        <f t="shared" ca="1" si="14"/>
        <v/>
      </c>
      <c r="I215" s="160" t="e">
        <f ca="1">IF($G215="Всього:",SUM($I$4:I214),IF(AND(DAY($C$4)&gt;=15,H215=1),K215+L215,$C$32))</f>
        <v>#VALUE!</v>
      </c>
      <c r="J215" s="160" t="e">
        <f ca="1">IF($G215="Всього:",SUM($J$4:J214),IF(I215-SUM(K215:L215)&lt;0,0,I215-SUM(K215:L215)))</f>
        <v>#VALUE!</v>
      </c>
      <c r="K215" s="160" t="e">
        <f ca="1">IF(G215="Всього:",SUM($K$5:K214),IF(F215&lt;&gt;F214,(F215*O214/36000*(G215-CONCATENATE(DAY($C$4),".",MONTH(G214),".",YEAR(G214)))+(F214*O214/36000*(CONCATENATE(DAY($C$4),".",MONTH(G214),".",YEAR(G214))-G214))),F215*O214/36000*(G215-G214)))</f>
        <v>#VALUE!</v>
      </c>
      <c r="L215" s="160" t="e">
        <f ca="1">IF(G215="Всього:",SUM($L$5:L214),$E$4)</f>
        <v>#VALUE!</v>
      </c>
      <c r="M215" s="160" t="e">
        <f ca="1">IF(G215="Всього:",SUM($M$5:M214),IF($E$5="UAH",J215+L215+K215,J215+K215))</f>
        <v>#VALUE!</v>
      </c>
      <c r="N215" s="160" t="e">
        <f ca="1">IF(G215="Всього:",SUM($N$4:N214),IF($E$5="UAH","",L215))</f>
        <v>#VALUE!</v>
      </c>
      <c r="O215" s="160" t="e">
        <f t="shared" ca="1" si="12"/>
        <v>#VALUE!</v>
      </c>
    </row>
    <row r="216" spans="6:15" x14ac:dyDescent="0.3">
      <c r="F216" s="160" t="e">
        <f t="shared" ca="1" si="13"/>
        <v>#VALUE!</v>
      </c>
      <c r="G216" s="160" t="e">
        <f t="shared" ca="1" si="15"/>
        <v>#VALUE!</v>
      </c>
      <c r="H216" s="160" t="str">
        <f t="shared" ca="1" si="14"/>
        <v/>
      </c>
      <c r="I216" s="160" t="e">
        <f ca="1">IF($G216="Всього:",SUM($I$4:I215),IF(AND(DAY($C$4)&gt;=15,H216=1),K216+L216,$C$32))</f>
        <v>#VALUE!</v>
      </c>
      <c r="J216" s="160" t="e">
        <f ca="1">IF($G216="Всього:",SUM($J$4:J215),IF(I216-SUM(K216:L216)&lt;0,0,I216-SUM(K216:L216)))</f>
        <v>#VALUE!</v>
      </c>
      <c r="K216" s="160" t="e">
        <f ca="1">IF(G216="Всього:",SUM($K$5:K215),IF(F216&lt;&gt;F215,(F216*O215/36000*(G216-CONCATENATE(DAY($C$4),".",MONTH(G215),".",YEAR(G215)))+(F215*O215/36000*(CONCATENATE(DAY($C$4),".",MONTH(G215),".",YEAR(G215))-G215))),F216*O215/36000*(G216-G215)))</f>
        <v>#VALUE!</v>
      </c>
      <c r="L216" s="160" t="e">
        <f ca="1">IF(G216="Всього:",SUM($L$5:L215),$E$4)</f>
        <v>#VALUE!</v>
      </c>
      <c r="M216" s="160" t="e">
        <f ca="1">IF(G216="Всього:",SUM($M$5:M215),IF($E$5="UAH",J216+L216+K216,J216+K216))</f>
        <v>#VALUE!</v>
      </c>
      <c r="N216" s="160" t="e">
        <f ca="1">IF(G216="Всього:",SUM($N$4:N215),IF($E$5="UAH","",L216))</f>
        <v>#VALUE!</v>
      </c>
      <c r="O216" s="160" t="e">
        <f t="shared" ca="1" si="12"/>
        <v>#VALUE!</v>
      </c>
    </row>
    <row r="217" spans="6:15" x14ac:dyDescent="0.3">
      <c r="F217" s="160" t="e">
        <f t="shared" ca="1" si="13"/>
        <v>#VALUE!</v>
      </c>
      <c r="G217" s="160" t="e">
        <f t="shared" ca="1" si="15"/>
        <v>#VALUE!</v>
      </c>
      <c r="H217" s="160" t="str">
        <f t="shared" ca="1" si="14"/>
        <v/>
      </c>
      <c r="I217" s="160" t="e">
        <f ca="1">IF($G217="Всього:",SUM($I$4:I216),IF(AND(DAY($C$4)&gt;=15,H217=1),K217+L217,$C$32))</f>
        <v>#VALUE!</v>
      </c>
      <c r="J217" s="160" t="e">
        <f ca="1">IF($G217="Всього:",SUM($J$4:J216),IF(I217-SUM(K217:L217)&lt;0,0,I217-SUM(K217:L217)))</f>
        <v>#VALUE!</v>
      </c>
      <c r="K217" s="160" t="e">
        <f ca="1">IF(G217="Всього:",SUM($K$5:K216),IF(F217&lt;&gt;F216,(F217*O216/36000*(G217-CONCATENATE(DAY($C$4),".",MONTH(G216),".",YEAR(G216)))+(F216*O216/36000*(CONCATENATE(DAY($C$4),".",MONTH(G216),".",YEAR(G216))-G216))),F217*O216/36000*(G217-G216)))</f>
        <v>#VALUE!</v>
      </c>
      <c r="L217" s="160" t="e">
        <f ca="1">IF(G217="Всього:",SUM($L$5:L216),$E$4)</f>
        <v>#VALUE!</v>
      </c>
      <c r="M217" s="160" t="e">
        <f ca="1">IF(G217="Всього:",SUM($M$5:M216),IF($E$5="UAH",J217+L217+K217,J217+K217))</f>
        <v>#VALUE!</v>
      </c>
      <c r="N217" s="160" t="e">
        <f ca="1">IF(G217="Всього:",SUM($N$4:N216),IF($E$5="UAH","",L217))</f>
        <v>#VALUE!</v>
      </c>
      <c r="O217" s="160" t="e">
        <f t="shared" ca="1" si="12"/>
        <v>#VALUE!</v>
      </c>
    </row>
    <row r="218" spans="6:15" x14ac:dyDescent="0.3">
      <c r="F218" s="160" t="e">
        <f t="shared" ca="1" si="13"/>
        <v>#VALUE!</v>
      </c>
      <c r="G218" s="160" t="e">
        <f t="shared" ca="1" si="15"/>
        <v>#VALUE!</v>
      </c>
      <c r="H218" s="160" t="str">
        <f t="shared" ca="1" si="14"/>
        <v/>
      </c>
      <c r="I218" s="160" t="e">
        <f ca="1">IF($G218="Всього:",SUM($I$4:I217),IF(AND(DAY($C$4)&gt;=15,H218=1),K218+L218,$C$32))</f>
        <v>#VALUE!</v>
      </c>
      <c r="J218" s="160" t="e">
        <f ca="1">IF($G218="Всього:",SUM($J$4:J217),IF(I218-SUM(K218:L218)&lt;0,0,I218-SUM(K218:L218)))</f>
        <v>#VALUE!</v>
      </c>
      <c r="K218" s="160" t="e">
        <f ca="1">IF(G218="Всього:",SUM($K$5:K217),IF(F218&lt;&gt;F217,(F218*O217/36000*(G218-CONCATENATE(DAY($C$4),".",MONTH(G217),".",YEAR(G217)))+(F217*O217/36000*(CONCATENATE(DAY($C$4),".",MONTH(G217),".",YEAR(G217))-G217))),F218*O217/36000*(G218-G217)))</f>
        <v>#VALUE!</v>
      </c>
      <c r="L218" s="160" t="e">
        <f ca="1">IF(G218="Всього:",SUM($L$5:L217),$E$4)</f>
        <v>#VALUE!</v>
      </c>
      <c r="M218" s="160" t="e">
        <f ca="1">IF(G218="Всього:",SUM($M$5:M217),IF($E$5="UAH",J218+L218+K218,J218+K218))</f>
        <v>#VALUE!</v>
      </c>
      <c r="N218" s="160" t="e">
        <f ca="1">IF(G218="Всього:",SUM($N$4:N217),IF($E$5="UAH","",L218))</f>
        <v>#VALUE!</v>
      </c>
      <c r="O218" s="160" t="e">
        <f t="shared" ca="1" si="12"/>
        <v>#VALUE!</v>
      </c>
    </row>
    <row r="219" spans="6:15" x14ac:dyDescent="0.3">
      <c r="F219" s="160" t="e">
        <f t="shared" ca="1" si="13"/>
        <v>#VALUE!</v>
      </c>
      <c r="G219" s="160" t="e">
        <f t="shared" ca="1" si="15"/>
        <v>#VALUE!</v>
      </c>
      <c r="H219" s="160" t="str">
        <f t="shared" ca="1" si="14"/>
        <v/>
      </c>
      <c r="I219" s="160" t="e">
        <f ca="1">IF($G219="Всього:",SUM($I$4:I218),IF(AND(DAY($C$4)&gt;=15,H219=1),K219+L219,$C$32))</f>
        <v>#VALUE!</v>
      </c>
      <c r="J219" s="160" t="e">
        <f ca="1">IF($G219="Всього:",SUM($J$4:J218),IF(I219-SUM(K219:L219)&lt;0,0,I219-SUM(K219:L219)))</f>
        <v>#VALUE!</v>
      </c>
      <c r="K219" s="160" t="e">
        <f ca="1">IF(G219="Всього:",SUM($K$5:K218),IF(F219&lt;&gt;F218,(F219*O218/36000*(G219-CONCATENATE(DAY($C$4),".",MONTH(G218),".",YEAR(G218)))+(F218*O218/36000*(CONCATENATE(DAY($C$4),".",MONTH(G218),".",YEAR(G218))-G218))),F219*O218/36000*(G219-G218)))</f>
        <v>#VALUE!</v>
      </c>
      <c r="L219" s="160" t="e">
        <f ca="1">IF(G219="Всього:",SUM($L$5:L218),$E$4)</f>
        <v>#VALUE!</v>
      </c>
      <c r="M219" s="160" t="e">
        <f ca="1">IF(G219="Всього:",SUM($M$5:M218),IF($E$5="UAH",J219+L219+K219,J219+K219))</f>
        <v>#VALUE!</v>
      </c>
      <c r="N219" s="160" t="e">
        <f ca="1">IF(G219="Всього:",SUM($N$4:N218),IF($E$5="UAH","",L219))</f>
        <v>#VALUE!</v>
      </c>
      <c r="O219" s="160" t="e">
        <f t="shared" ca="1" si="12"/>
        <v>#VALUE!</v>
      </c>
    </row>
    <row r="220" spans="6:15" x14ac:dyDescent="0.3">
      <c r="F220" s="160" t="e">
        <f t="shared" ca="1" si="13"/>
        <v>#VALUE!</v>
      </c>
      <c r="G220" s="160" t="e">
        <f t="shared" ca="1" si="15"/>
        <v>#VALUE!</v>
      </c>
      <c r="H220" s="160" t="str">
        <f t="shared" ca="1" si="14"/>
        <v/>
      </c>
      <c r="I220" s="160" t="e">
        <f ca="1">IF($G220="Всього:",SUM($I$4:I219),IF(AND(DAY($C$4)&gt;=15,H220=1),K220+L220,$C$32))</f>
        <v>#VALUE!</v>
      </c>
      <c r="J220" s="160" t="e">
        <f ca="1">IF($G220="Всього:",SUM($J$4:J219),IF(I220-SUM(K220:L220)&lt;0,0,I220-SUM(K220:L220)))</f>
        <v>#VALUE!</v>
      </c>
      <c r="K220" s="160" t="e">
        <f ca="1">IF(G220="Всього:",SUM($K$5:K219),IF(F220&lt;&gt;F219,(F220*O219/36000*(G220-CONCATENATE(DAY($C$4),".",MONTH(G219),".",YEAR(G219)))+(F219*O219/36000*(CONCATENATE(DAY($C$4),".",MONTH(G219),".",YEAR(G219))-G219))),F220*O219/36000*(G220-G219)))</f>
        <v>#VALUE!</v>
      </c>
      <c r="L220" s="160" t="e">
        <f ca="1">IF(G220="Всього:",SUM($L$5:L219),$E$4)</f>
        <v>#VALUE!</v>
      </c>
      <c r="M220" s="160" t="e">
        <f ca="1">IF(G220="Всього:",SUM($M$5:M219),IF($E$5="UAH",J220+L220+K220,J220+K220))</f>
        <v>#VALUE!</v>
      </c>
      <c r="N220" s="160" t="e">
        <f ca="1">IF(G220="Всього:",SUM($N$4:N219),IF($E$5="UAH","",L220))</f>
        <v>#VALUE!</v>
      </c>
      <c r="O220" s="160" t="e">
        <f t="shared" ca="1" si="12"/>
        <v>#VALUE!</v>
      </c>
    </row>
    <row r="221" spans="6:15" x14ac:dyDescent="0.3">
      <c r="F221" s="160" t="e">
        <f t="shared" ca="1" si="13"/>
        <v>#VALUE!</v>
      </c>
      <c r="G221" s="160" t="e">
        <f t="shared" ca="1" si="15"/>
        <v>#VALUE!</v>
      </c>
      <c r="H221" s="160" t="str">
        <f t="shared" ca="1" si="14"/>
        <v/>
      </c>
      <c r="I221" s="160" t="e">
        <f ca="1">IF($G221="Всього:",SUM($I$4:I220),IF(AND(DAY($C$4)&gt;=15,H221=1),K221+L221,$C$32))</f>
        <v>#VALUE!</v>
      </c>
      <c r="J221" s="160" t="e">
        <f ca="1">IF($G221="Всього:",SUM($J$4:J220),IF(I221-SUM(K221:L221)&lt;0,0,I221-SUM(K221:L221)))</f>
        <v>#VALUE!</v>
      </c>
      <c r="K221" s="160" t="e">
        <f ca="1">IF(G221="Всього:",SUM($K$5:K220),IF(F221&lt;&gt;F220,(F221*O220/36000*(G221-CONCATENATE(DAY($C$4),".",MONTH(G220),".",YEAR(G220)))+(F220*O220/36000*(CONCATENATE(DAY($C$4),".",MONTH(G220),".",YEAR(G220))-G220))),F221*O220/36000*(G221-G220)))</f>
        <v>#VALUE!</v>
      </c>
      <c r="L221" s="160" t="e">
        <f ca="1">IF(G221="Всього:",SUM($L$5:L220),$E$4)</f>
        <v>#VALUE!</v>
      </c>
      <c r="M221" s="160" t="e">
        <f ca="1">IF(G221="Всього:",SUM($M$5:M220),IF($E$5="UAH",J221+L221+K221,J221+K221))</f>
        <v>#VALUE!</v>
      </c>
      <c r="N221" s="160" t="e">
        <f ca="1">IF(G221="Всього:",SUM($N$4:N220),IF($E$5="UAH","",L221))</f>
        <v>#VALUE!</v>
      </c>
      <c r="O221" s="160" t="e">
        <f t="shared" ca="1" si="12"/>
        <v>#VALUE!</v>
      </c>
    </row>
    <row r="222" spans="6:15" x14ac:dyDescent="0.3">
      <c r="F222" s="160" t="e">
        <f t="shared" ca="1" si="13"/>
        <v>#VALUE!</v>
      </c>
      <c r="G222" s="160" t="e">
        <f t="shared" ca="1" si="15"/>
        <v>#VALUE!</v>
      </c>
      <c r="H222" s="160" t="str">
        <f t="shared" ca="1" si="14"/>
        <v/>
      </c>
      <c r="I222" s="160" t="e">
        <f ca="1">IF($G222="Всього:",SUM($I$4:I221),IF(AND(DAY($C$4)&gt;=15,H222=1),K222+L222,$C$32))</f>
        <v>#VALUE!</v>
      </c>
      <c r="J222" s="160" t="e">
        <f ca="1">IF($G222="Всього:",SUM($J$4:J221),IF(I222-SUM(K222:L222)&lt;0,0,I222-SUM(K222:L222)))</f>
        <v>#VALUE!</v>
      </c>
      <c r="K222" s="160" t="e">
        <f ca="1">IF(G222="Всього:",SUM($K$5:K221),IF(F222&lt;&gt;F221,(F222*O221/36000*(G222-CONCATENATE(DAY($C$4),".",MONTH(G221),".",YEAR(G221)))+(F221*O221/36000*(CONCATENATE(DAY($C$4),".",MONTH(G221),".",YEAR(G221))-G221))),F222*O221/36000*(G222-G221)))</f>
        <v>#VALUE!</v>
      </c>
      <c r="L222" s="160" t="e">
        <f ca="1">IF(G222="Всього:",SUM($L$5:L221),$E$4)</f>
        <v>#VALUE!</v>
      </c>
      <c r="M222" s="160" t="e">
        <f ca="1">IF(G222="Всього:",SUM($M$5:M221),IF($E$5="UAH",J222+L222+K222,J222+K222))</f>
        <v>#VALUE!</v>
      </c>
      <c r="N222" s="160" t="e">
        <f ca="1">IF(G222="Всього:",SUM($N$4:N221),IF($E$5="UAH","",L222))</f>
        <v>#VALUE!</v>
      </c>
      <c r="O222" s="160" t="e">
        <f t="shared" ca="1" si="12"/>
        <v>#VALUE!</v>
      </c>
    </row>
    <row r="223" spans="6:15" x14ac:dyDescent="0.3">
      <c r="F223" s="160" t="e">
        <f t="shared" ca="1" si="13"/>
        <v>#VALUE!</v>
      </c>
      <c r="G223" s="160" t="e">
        <f t="shared" ca="1" si="15"/>
        <v>#VALUE!</v>
      </c>
      <c r="H223" s="160" t="str">
        <f t="shared" ca="1" si="14"/>
        <v/>
      </c>
      <c r="I223" s="160" t="e">
        <f ca="1">IF($G223="Всього:",SUM($I$4:I222),IF(AND(DAY($C$4)&gt;=15,H223=1),K223+L223,$C$32))</f>
        <v>#VALUE!</v>
      </c>
      <c r="J223" s="160" t="e">
        <f ca="1">IF($G223="Всього:",SUM($J$4:J222),IF(I223-SUM(K223:L223)&lt;0,0,I223-SUM(K223:L223)))</f>
        <v>#VALUE!</v>
      </c>
      <c r="K223" s="160" t="e">
        <f ca="1">IF(G223="Всього:",SUM($K$5:K222),IF(F223&lt;&gt;F222,(F223*O222/36000*(G223-CONCATENATE(DAY($C$4),".",MONTH(G222),".",YEAR(G222)))+(F222*O222/36000*(CONCATENATE(DAY($C$4),".",MONTH(G222),".",YEAR(G222))-G222))),F223*O222/36000*(G223-G222)))</f>
        <v>#VALUE!</v>
      </c>
      <c r="L223" s="160" t="e">
        <f ca="1">IF(G223="Всього:",SUM($L$5:L222),$E$4)</f>
        <v>#VALUE!</v>
      </c>
      <c r="M223" s="160" t="e">
        <f ca="1">IF(G223="Всього:",SUM($M$5:M222),IF($E$5="UAH",J223+L223+K223,J223+K223))</f>
        <v>#VALUE!</v>
      </c>
      <c r="N223" s="160" t="e">
        <f ca="1">IF(G223="Всього:",SUM($N$4:N222),IF($E$5="UAH","",L223))</f>
        <v>#VALUE!</v>
      </c>
      <c r="O223" s="160" t="e">
        <f t="shared" ca="1" si="12"/>
        <v>#VALUE!</v>
      </c>
    </row>
    <row r="224" spans="6:15" x14ac:dyDescent="0.3">
      <c r="F224" s="160" t="e">
        <f t="shared" ca="1" si="13"/>
        <v>#VALUE!</v>
      </c>
      <c r="G224" s="160" t="e">
        <f t="shared" ca="1" si="15"/>
        <v>#VALUE!</v>
      </c>
      <c r="H224" s="160" t="str">
        <f t="shared" ca="1" si="14"/>
        <v/>
      </c>
      <c r="I224" s="160" t="e">
        <f ca="1">IF($G224="Всього:",SUM($I$4:I223),IF(AND(DAY($C$4)&gt;=15,H224=1),K224+L224,$C$32))</f>
        <v>#VALUE!</v>
      </c>
      <c r="J224" s="160" t="e">
        <f ca="1">IF($G224="Всього:",SUM($J$4:J223),IF(I224-SUM(K224:L224)&lt;0,0,I224-SUM(K224:L224)))</f>
        <v>#VALUE!</v>
      </c>
      <c r="K224" s="160" t="e">
        <f ca="1">IF(G224="Всього:",SUM($K$5:K223),IF(F224&lt;&gt;F223,(F224*O223/36000*(G224-CONCATENATE(DAY($C$4),".",MONTH(G223),".",YEAR(G223)))+(F223*O223/36000*(CONCATENATE(DAY($C$4),".",MONTH(G223),".",YEAR(G223))-G223))),F224*O223/36000*(G224-G223)))</f>
        <v>#VALUE!</v>
      </c>
      <c r="L224" s="160" t="e">
        <f ca="1">IF(G224="Всього:",SUM($L$5:L223),$E$4)</f>
        <v>#VALUE!</v>
      </c>
      <c r="M224" s="160" t="e">
        <f ca="1">IF(G224="Всього:",SUM($M$5:M223),IF($E$5="UAH",J224+L224+K224,J224+K224))</f>
        <v>#VALUE!</v>
      </c>
      <c r="N224" s="160" t="e">
        <f ca="1">IF(G224="Всього:",SUM($N$4:N223),IF($E$5="UAH","",L224))</f>
        <v>#VALUE!</v>
      </c>
      <c r="O224" s="160" t="e">
        <f t="shared" ca="1" si="12"/>
        <v>#VALUE!</v>
      </c>
    </row>
    <row r="225" spans="6:15" x14ac:dyDescent="0.3">
      <c r="F225" s="160" t="e">
        <f t="shared" ca="1" si="13"/>
        <v>#VALUE!</v>
      </c>
      <c r="G225" s="160" t="e">
        <f t="shared" ca="1" si="15"/>
        <v>#VALUE!</v>
      </c>
      <c r="H225" s="160" t="str">
        <f t="shared" ca="1" si="14"/>
        <v/>
      </c>
      <c r="I225" s="160" t="e">
        <f ca="1">IF($G225="Всього:",SUM($I$4:I224),IF(AND(DAY($C$4)&gt;=15,H225=1),K225+L225,$C$32))</f>
        <v>#VALUE!</v>
      </c>
      <c r="J225" s="160" t="e">
        <f ca="1">IF($G225="Всього:",SUM($J$4:J224),IF(I225-SUM(K225:L225)&lt;0,0,I225-SUM(K225:L225)))</f>
        <v>#VALUE!</v>
      </c>
      <c r="K225" s="160" t="e">
        <f ca="1">IF(G225="Всього:",SUM($K$5:K224),IF(F225&lt;&gt;F224,(F225*O224/36000*(G225-CONCATENATE(DAY($C$4),".",MONTH(G224),".",YEAR(G224)))+(F224*O224/36000*(CONCATENATE(DAY($C$4),".",MONTH(G224),".",YEAR(G224))-G224))),F225*O224/36000*(G225-G224)))</f>
        <v>#VALUE!</v>
      </c>
      <c r="L225" s="160" t="e">
        <f ca="1">IF(G225="Всього:",SUM($L$5:L224),$E$4)</f>
        <v>#VALUE!</v>
      </c>
      <c r="M225" s="160" t="e">
        <f ca="1">IF(G225="Всього:",SUM($M$5:M224),IF($E$5="UAH",J225+L225+K225,J225+K225))</f>
        <v>#VALUE!</v>
      </c>
      <c r="N225" s="160" t="e">
        <f ca="1">IF(G225="Всього:",SUM($N$4:N224),IF($E$5="UAH","",L225))</f>
        <v>#VALUE!</v>
      </c>
      <c r="O225" s="160" t="e">
        <f t="shared" ca="1" si="12"/>
        <v>#VALUE!</v>
      </c>
    </row>
    <row r="226" spans="6:15" x14ac:dyDescent="0.3">
      <c r="F226" s="160" t="e">
        <f t="shared" ca="1" si="13"/>
        <v>#VALUE!</v>
      </c>
      <c r="G226" s="160" t="e">
        <f t="shared" ca="1" si="15"/>
        <v>#VALUE!</v>
      </c>
      <c r="H226" s="160" t="str">
        <f t="shared" ca="1" si="14"/>
        <v/>
      </c>
      <c r="I226" s="160" t="e">
        <f ca="1">IF($G226="Всього:",SUM($I$4:I225),IF(AND(DAY($C$4)&gt;=15,H226=1),K226+L226,$C$32))</f>
        <v>#VALUE!</v>
      </c>
      <c r="J226" s="160" t="e">
        <f ca="1">IF($G226="Всього:",SUM($J$4:J225),IF(I226-SUM(K226:L226)&lt;0,0,I226-SUM(K226:L226)))</f>
        <v>#VALUE!</v>
      </c>
      <c r="K226" s="160" t="e">
        <f ca="1">IF(G226="Всього:",SUM($K$5:K225),IF(F226&lt;&gt;F225,(F226*O225/36000*(G226-CONCATENATE(DAY($C$4),".",MONTH(G225),".",YEAR(G225)))+(F225*O225/36000*(CONCATENATE(DAY($C$4),".",MONTH(G225),".",YEAR(G225))-G225))),F226*O225/36000*(G226-G225)))</f>
        <v>#VALUE!</v>
      </c>
      <c r="L226" s="160" t="e">
        <f ca="1">IF(G226="Всього:",SUM($L$5:L225),$E$4)</f>
        <v>#VALUE!</v>
      </c>
      <c r="M226" s="160" t="e">
        <f ca="1">IF(G226="Всього:",SUM($M$5:M225),IF($E$5="UAH",J226+L226+K226,J226+K226))</f>
        <v>#VALUE!</v>
      </c>
      <c r="N226" s="160" t="e">
        <f ca="1">IF(G226="Всього:",SUM($N$4:N225),IF($E$5="UAH","",L226))</f>
        <v>#VALUE!</v>
      </c>
      <c r="O226" s="160" t="e">
        <f t="shared" ca="1" si="12"/>
        <v>#VALUE!</v>
      </c>
    </row>
    <row r="227" spans="6:15" x14ac:dyDescent="0.3">
      <c r="F227" s="160" t="e">
        <f t="shared" ca="1" si="13"/>
        <v>#VALUE!</v>
      </c>
      <c r="G227" s="160" t="e">
        <f t="shared" ca="1" si="15"/>
        <v>#VALUE!</v>
      </c>
      <c r="H227" s="160" t="str">
        <f t="shared" ca="1" si="14"/>
        <v/>
      </c>
      <c r="I227" s="160" t="e">
        <f ca="1">IF($G227="Всього:",SUM($I$4:I226),IF(AND(DAY($C$4)&gt;=15,H227=1),K227+L227,$C$32))</f>
        <v>#VALUE!</v>
      </c>
      <c r="J227" s="160" t="e">
        <f ca="1">IF($G227="Всього:",SUM($J$4:J226),IF(I227-SUM(K227:L227)&lt;0,0,I227-SUM(K227:L227)))</f>
        <v>#VALUE!</v>
      </c>
      <c r="K227" s="160" t="e">
        <f ca="1">IF(G227="Всього:",SUM($K$5:K226),IF(F227&lt;&gt;F226,(F227*O226/36000*(G227-CONCATENATE(DAY($C$4),".",MONTH(G226),".",YEAR(G226)))+(F226*O226/36000*(CONCATENATE(DAY($C$4),".",MONTH(G226),".",YEAR(G226))-G226))),F227*O226/36000*(G227-G226)))</f>
        <v>#VALUE!</v>
      </c>
      <c r="L227" s="160" t="e">
        <f ca="1">IF(G227="Всього:",SUM($L$5:L226),$E$4)</f>
        <v>#VALUE!</v>
      </c>
      <c r="M227" s="160" t="e">
        <f ca="1">IF(G227="Всього:",SUM($M$5:M226),IF($E$5="UAH",J227+L227+K227,J227+K227))</f>
        <v>#VALUE!</v>
      </c>
      <c r="N227" s="160" t="e">
        <f ca="1">IF(G227="Всього:",SUM($N$4:N226),IF($E$5="UAH","",L227))</f>
        <v>#VALUE!</v>
      </c>
      <c r="O227" s="160" t="e">
        <f t="shared" ca="1" si="12"/>
        <v>#VALUE!</v>
      </c>
    </row>
    <row r="228" spans="6:15" x14ac:dyDescent="0.3">
      <c r="F228" s="160" t="e">
        <f t="shared" ca="1" si="13"/>
        <v>#VALUE!</v>
      </c>
      <c r="G228" s="160" t="e">
        <f t="shared" ca="1" si="15"/>
        <v>#VALUE!</v>
      </c>
      <c r="H228" s="160" t="str">
        <f t="shared" ca="1" si="14"/>
        <v/>
      </c>
      <c r="I228" s="160" t="e">
        <f ca="1">IF($G228="Всього:",SUM($I$4:I227),IF(AND(DAY($C$4)&gt;=15,H228=1),K228+L228,$C$32))</f>
        <v>#VALUE!</v>
      </c>
      <c r="J228" s="160" t="e">
        <f ca="1">IF($G228="Всього:",SUM($J$4:J227),IF(I228-SUM(K228:L228)&lt;0,0,I228-SUM(K228:L228)))</f>
        <v>#VALUE!</v>
      </c>
      <c r="K228" s="160" t="e">
        <f ca="1">IF(G228="Всього:",SUM($K$5:K227),IF(F228&lt;&gt;F227,(F228*O227/36000*(G228-CONCATENATE(DAY($C$4),".",MONTH(G227),".",YEAR(G227)))+(F227*O227/36000*(CONCATENATE(DAY($C$4),".",MONTH(G227),".",YEAR(G227))-G227))),F228*O227/36000*(G228-G227)))</f>
        <v>#VALUE!</v>
      </c>
      <c r="L228" s="160" t="e">
        <f ca="1">IF(G228="Всього:",SUM($L$5:L227),$E$4)</f>
        <v>#VALUE!</v>
      </c>
      <c r="M228" s="160" t="e">
        <f ca="1">IF(G228="Всього:",SUM($M$5:M227),IF($E$5="UAH",J228+L228+K228,J228+K228))</f>
        <v>#VALUE!</v>
      </c>
      <c r="N228" s="160" t="e">
        <f ca="1">IF(G228="Всього:",SUM($N$4:N227),IF($E$5="UAH","",L228))</f>
        <v>#VALUE!</v>
      </c>
      <c r="O228" s="160" t="e">
        <f t="shared" ca="1" si="12"/>
        <v>#VALUE!</v>
      </c>
    </row>
    <row r="229" spans="6:15" x14ac:dyDescent="0.3">
      <c r="F229" s="160" t="e">
        <f t="shared" ca="1" si="13"/>
        <v>#VALUE!</v>
      </c>
      <c r="G229" s="160" t="e">
        <f t="shared" ca="1" si="15"/>
        <v>#VALUE!</v>
      </c>
      <c r="H229" s="160" t="str">
        <f t="shared" ca="1" si="14"/>
        <v/>
      </c>
      <c r="I229" s="160" t="e">
        <f ca="1">IF($G229="Всього:",SUM($I$4:I228),IF(AND(DAY($C$4)&gt;=15,H229=1),K229+L229,$C$32))</f>
        <v>#VALUE!</v>
      </c>
      <c r="J229" s="160" t="e">
        <f ca="1">IF($G229="Всього:",SUM($J$4:J228),IF(I229-SUM(K229:L229)&lt;0,0,I229-SUM(K229:L229)))</f>
        <v>#VALUE!</v>
      </c>
      <c r="K229" s="160" t="e">
        <f ca="1">IF(G229="Всього:",SUM($K$5:K228),IF(F229&lt;&gt;F228,(F229*O228/36000*(G229-CONCATENATE(DAY($C$4),".",MONTH(G228),".",YEAR(G228)))+(F228*O228/36000*(CONCATENATE(DAY($C$4),".",MONTH(G228),".",YEAR(G228))-G228))),F229*O228/36000*(G229-G228)))</f>
        <v>#VALUE!</v>
      </c>
      <c r="L229" s="160" t="e">
        <f ca="1">IF(G229="Всього:",SUM($L$5:L228),$E$4)</f>
        <v>#VALUE!</v>
      </c>
      <c r="M229" s="160" t="e">
        <f ca="1">IF(G229="Всього:",SUM($M$5:M228),IF($E$5="UAH",J229+L229+K229,J229+K229))</f>
        <v>#VALUE!</v>
      </c>
      <c r="N229" s="160" t="e">
        <f ca="1">IF(G229="Всього:",SUM($N$4:N228),IF($E$5="UAH","",L229))</f>
        <v>#VALUE!</v>
      </c>
      <c r="O229" s="160" t="e">
        <f t="shared" ca="1" si="12"/>
        <v>#VALUE!</v>
      </c>
    </row>
    <row r="230" spans="6:15" x14ac:dyDescent="0.3">
      <c r="F230" s="160" t="e">
        <f t="shared" ca="1" si="13"/>
        <v>#VALUE!</v>
      </c>
      <c r="G230" s="160" t="e">
        <f t="shared" ca="1" si="15"/>
        <v>#VALUE!</v>
      </c>
      <c r="H230" s="160" t="str">
        <f t="shared" ca="1" si="14"/>
        <v/>
      </c>
      <c r="I230" s="160" t="e">
        <f ca="1">IF($G230="Всього:",SUM($I$4:I229),IF(AND(DAY($C$4)&gt;=15,H230=1),K230+L230,$C$32))</f>
        <v>#VALUE!</v>
      </c>
      <c r="J230" s="160" t="e">
        <f ca="1">IF($G230="Всього:",SUM($J$4:J229),IF(I230-SUM(K230:L230)&lt;0,0,I230-SUM(K230:L230)))</f>
        <v>#VALUE!</v>
      </c>
      <c r="K230" s="160" t="e">
        <f ca="1">IF(G230="Всього:",SUM($K$5:K229),IF(F230&lt;&gt;F229,(F230*O229/36000*(G230-CONCATENATE(DAY($C$4),".",MONTH(G229),".",YEAR(G229)))+(F229*O229/36000*(CONCATENATE(DAY($C$4),".",MONTH(G229),".",YEAR(G229))-G229))),F230*O229/36000*(G230-G229)))</f>
        <v>#VALUE!</v>
      </c>
      <c r="L230" s="160" t="e">
        <f ca="1">IF(G230="Всього:",SUM($L$5:L229),$E$4)</f>
        <v>#VALUE!</v>
      </c>
      <c r="M230" s="160" t="e">
        <f ca="1">IF(G230="Всього:",SUM($M$5:M229),IF($E$5="UAH",J230+L230+K230,J230+K230))</f>
        <v>#VALUE!</v>
      </c>
      <c r="N230" s="160" t="e">
        <f ca="1">IF(G230="Всього:",SUM($N$4:N229),IF($E$5="UAH","",L230))</f>
        <v>#VALUE!</v>
      </c>
      <c r="O230" s="160" t="e">
        <f t="shared" ca="1" si="12"/>
        <v>#VALUE!</v>
      </c>
    </row>
    <row r="231" spans="6:15" x14ac:dyDescent="0.3">
      <c r="F231" s="160" t="e">
        <f t="shared" ca="1" si="13"/>
        <v>#VALUE!</v>
      </c>
      <c r="G231" s="160" t="e">
        <f t="shared" ca="1" si="15"/>
        <v>#VALUE!</v>
      </c>
      <c r="H231" s="160" t="str">
        <f t="shared" ca="1" si="14"/>
        <v/>
      </c>
      <c r="I231" s="160" t="e">
        <f ca="1">IF($G231="Всього:",SUM($I$4:I230),IF(AND(DAY($C$4)&gt;=15,H231=1),K231+L231,$C$32))</f>
        <v>#VALUE!</v>
      </c>
      <c r="J231" s="160" t="e">
        <f ca="1">IF($G231="Всього:",SUM($J$4:J230),IF(I231-SUM(K231:L231)&lt;0,0,I231-SUM(K231:L231)))</f>
        <v>#VALUE!</v>
      </c>
      <c r="K231" s="160" t="e">
        <f ca="1">IF(G231="Всього:",SUM($K$5:K230),IF(F231&lt;&gt;F230,(F231*O230/36000*(G231-CONCATENATE(DAY($C$4),".",MONTH(G230),".",YEAR(G230)))+(F230*O230/36000*(CONCATENATE(DAY($C$4),".",MONTH(G230),".",YEAR(G230))-G230))),F231*O230/36000*(G231-G230)))</f>
        <v>#VALUE!</v>
      </c>
      <c r="L231" s="160" t="e">
        <f ca="1">IF(G231="Всього:",SUM($L$5:L230),$E$4)</f>
        <v>#VALUE!</v>
      </c>
      <c r="M231" s="160" t="e">
        <f ca="1">IF(G231="Всього:",SUM($M$5:M230),IF($E$5="UAH",J231+L231+K231,J231+K231))</f>
        <v>#VALUE!</v>
      </c>
      <c r="N231" s="160" t="e">
        <f ca="1">IF(G231="Всього:",SUM($N$4:N230),IF($E$5="UAH","",L231))</f>
        <v>#VALUE!</v>
      </c>
      <c r="O231" s="160" t="e">
        <f t="shared" ca="1" si="12"/>
        <v>#VALUE!</v>
      </c>
    </row>
    <row r="232" spans="6:15" x14ac:dyDescent="0.3">
      <c r="F232" s="160" t="e">
        <f t="shared" ca="1" si="13"/>
        <v>#VALUE!</v>
      </c>
      <c r="G232" s="160" t="e">
        <f t="shared" ca="1" si="15"/>
        <v>#VALUE!</v>
      </c>
      <c r="H232" s="160" t="str">
        <f t="shared" ca="1" si="14"/>
        <v/>
      </c>
      <c r="I232" s="160" t="e">
        <f ca="1">IF($G232="Всього:",SUM($I$4:I231),IF(AND(DAY($C$4)&gt;=15,H232=1),K232+L232,$C$32))</f>
        <v>#VALUE!</v>
      </c>
      <c r="J232" s="160" t="e">
        <f ca="1">IF($G232="Всього:",SUM($J$4:J231),IF(I232-SUM(K232:L232)&lt;0,0,I232-SUM(K232:L232)))</f>
        <v>#VALUE!</v>
      </c>
      <c r="K232" s="160" t="e">
        <f ca="1">IF(G232="Всього:",SUM($K$5:K231),IF(F232&lt;&gt;F231,(F232*O231/36000*(G232-CONCATENATE(DAY($C$4),".",MONTH(G231),".",YEAR(G231)))+(F231*O231/36000*(CONCATENATE(DAY($C$4),".",MONTH(G231),".",YEAR(G231))-G231))),F232*O231/36000*(G232-G231)))</f>
        <v>#VALUE!</v>
      </c>
      <c r="L232" s="160" t="e">
        <f ca="1">IF(G232="Всього:",SUM($L$5:L231),$E$4)</f>
        <v>#VALUE!</v>
      </c>
      <c r="M232" s="160" t="e">
        <f ca="1">IF(G232="Всього:",SUM($M$5:M231),IF($E$5="UAH",J232+L232+K232,J232+K232))</f>
        <v>#VALUE!</v>
      </c>
      <c r="N232" s="160" t="e">
        <f ca="1">IF(G232="Всього:",SUM($N$4:N231),IF($E$5="UAH","",L232))</f>
        <v>#VALUE!</v>
      </c>
      <c r="O232" s="160" t="e">
        <f t="shared" ca="1" si="12"/>
        <v>#VALUE!</v>
      </c>
    </row>
    <row r="233" spans="6:15" x14ac:dyDescent="0.3">
      <c r="F233" s="160" t="e">
        <f t="shared" ca="1" si="13"/>
        <v>#VALUE!</v>
      </c>
      <c r="G233" s="160" t="e">
        <f t="shared" ca="1" si="15"/>
        <v>#VALUE!</v>
      </c>
      <c r="H233" s="160" t="str">
        <f t="shared" ca="1" si="14"/>
        <v/>
      </c>
      <c r="I233" s="160" t="e">
        <f ca="1">IF($G233="Всього:",SUM($I$4:I232),IF(AND(DAY($C$4)&gt;=15,H233=1),K233+L233,$C$32))</f>
        <v>#VALUE!</v>
      </c>
      <c r="J233" s="160" t="e">
        <f ca="1">IF($G233="Всього:",SUM($J$4:J232),IF(I233-SUM(K233:L233)&lt;0,0,I233-SUM(K233:L233)))</f>
        <v>#VALUE!</v>
      </c>
      <c r="K233" s="160" t="e">
        <f ca="1">IF(G233="Всього:",SUM($K$5:K232),IF(F233&lt;&gt;F232,(F233*O232/36000*(G233-CONCATENATE(DAY($C$4),".",MONTH(G232),".",YEAR(G232)))+(F232*O232/36000*(CONCATENATE(DAY($C$4),".",MONTH(G232),".",YEAR(G232))-G232))),F233*O232/36000*(G233-G232)))</f>
        <v>#VALUE!</v>
      </c>
      <c r="L233" s="160" t="e">
        <f ca="1">IF(G233="Всього:",SUM($L$5:L232),$E$4)</f>
        <v>#VALUE!</v>
      </c>
      <c r="M233" s="160" t="e">
        <f ca="1">IF(G233="Всього:",SUM($M$5:M232),IF($E$5="UAH",J233+L233+K233,J233+K233))</f>
        <v>#VALUE!</v>
      </c>
      <c r="N233" s="160" t="e">
        <f ca="1">IF(G233="Всього:",SUM($N$4:N232),IF($E$5="UAH","",L233))</f>
        <v>#VALUE!</v>
      </c>
      <c r="O233" s="160" t="e">
        <f t="shared" ca="1" si="12"/>
        <v>#VALUE!</v>
      </c>
    </row>
    <row r="234" spans="6:15" x14ac:dyDescent="0.3">
      <c r="F234" s="160" t="e">
        <f t="shared" ca="1" si="13"/>
        <v>#VALUE!</v>
      </c>
      <c r="G234" s="160" t="e">
        <f t="shared" ca="1" si="15"/>
        <v>#VALUE!</v>
      </c>
      <c r="H234" s="160" t="str">
        <f t="shared" ca="1" si="14"/>
        <v/>
      </c>
      <c r="I234" s="160" t="e">
        <f ca="1">IF($G234="Всього:",SUM($I$4:I233),IF(AND(DAY($C$4)&gt;=15,H234=1),K234+L234,$C$32))</f>
        <v>#VALUE!</v>
      </c>
      <c r="J234" s="160" t="e">
        <f ca="1">IF($G234="Всього:",SUM($J$4:J233),IF(I234-SUM(K234:L234)&lt;0,0,I234-SUM(K234:L234)))</f>
        <v>#VALUE!</v>
      </c>
      <c r="K234" s="160" t="e">
        <f ca="1">IF(G234="Всього:",SUM($K$5:K233),IF(F234&lt;&gt;F233,(F234*O233/36000*(G234-CONCATENATE(DAY($C$4),".",MONTH(G233),".",YEAR(G233)))+(F233*O233/36000*(CONCATENATE(DAY($C$4),".",MONTH(G233),".",YEAR(G233))-G233))),F234*O233/36000*(G234-G233)))</f>
        <v>#VALUE!</v>
      </c>
      <c r="L234" s="160" t="e">
        <f ca="1">IF(G234="Всього:",SUM($L$5:L233),$E$4)</f>
        <v>#VALUE!</v>
      </c>
      <c r="M234" s="160" t="e">
        <f ca="1">IF(G234="Всього:",SUM($M$5:M233),IF($E$5="UAH",J234+L234+K234,J234+K234))</f>
        <v>#VALUE!</v>
      </c>
      <c r="N234" s="160" t="e">
        <f ca="1">IF(G234="Всього:",SUM($N$4:N233),IF($E$5="UAH","",L234))</f>
        <v>#VALUE!</v>
      </c>
      <c r="O234" s="160" t="e">
        <f t="shared" ca="1" si="12"/>
        <v>#VALUE!</v>
      </c>
    </row>
    <row r="235" spans="6:15" x14ac:dyDescent="0.3">
      <c r="F235" s="160" t="e">
        <f t="shared" ca="1" si="13"/>
        <v>#VALUE!</v>
      </c>
      <c r="G235" s="160" t="e">
        <f t="shared" ca="1" si="15"/>
        <v>#VALUE!</v>
      </c>
      <c r="H235" s="160" t="str">
        <f t="shared" ca="1" si="14"/>
        <v/>
      </c>
      <c r="I235" s="160" t="e">
        <f ca="1">IF($G235="Всього:",SUM($I$4:I234),IF(AND(DAY($C$4)&gt;=15,H235=1),K235+L235,$C$32))</f>
        <v>#VALUE!</v>
      </c>
      <c r="J235" s="160" t="e">
        <f ca="1">IF($G235="Всього:",SUM($J$4:J234),IF(I235-SUM(K235:L235)&lt;0,0,I235-SUM(K235:L235)))</f>
        <v>#VALUE!</v>
      </c>
      <c r="K235" s="160" t="e">
        <f ca="1">IF(G235="Всього:",SUM($K$5:K234),IF(F235&lt;&gt;F234,(F235*O234/36000*(G235-CONCATENATE(DAY($C$4),".",MONTH(G234),".",YEAR(G234)))+(F234*O234/36000*(CONCATENATE(DAY($C$4),".",MONTH(G234),".",YEAR(G234))-G234))),F235*O234/36000*(G235-G234)))</f>
        <v>#VALUE!</v>
      </c>
      <c r="L235" s="160" t="e">
        <f ca="1">IF(G235="Всього:",SUM($L$5:L234),$E$4)</f>
        <v>#VALUE!</v>
      </c>
      <c r="M235" s="160" t="e">
        <f ca="1">IF(G235="Всього:",SUM($M$5:M234),IF($E$5="UAH",J235+L235+K235,J235+K235))</f>
        <v>#VALUE!</v>
      </c>
      <c r="N235" s="160" t="e">
        <f ca="1">IF(G235="Всього:",SUM($N$4:N234),IF($E$5="UAH","",L235))</f>
        <v>#VALUE!</v>
      </c>
      <c r="O235" s="160" t="e">
        <f t="shared" ca="1" si="12"/>
        <v>#VALUE!</v>
      </c>
    </row>
    <row r="236" spans="6:15" x14ac:dyDescent="0.3">
      <c r="F236" s="160" t="e">
        <f t="shared" ca="1" si="13"/>
        <v>#VALUE!</v>
      </c>
      <c r="G236" s="160" t="e">
        <f t="shared" ca="1" si="15"/>
        <v>#VALUE!</v>
      </c>
      <c r="H236" s="160" t="str">
        <f t="shared" ca="1" si="14"/>
        <v/>
      </c>
      <c r="I236" s="160" t="e">
        <f ca="1">IF($G236="Всього:",SUM($I$4:I235),IF(AND(DAY($C$4)&gt;=15,H236=1),K236+L236,$C$32))</f>
        <v>#VALUE!</v>
      </c>
      <c r="J236" s="160" t="e">
        <f ca="1">IF($G236="Всього:",SUM($J$4:J235),IF(I236-SUM(K236:L236)&lt;0,0,I236-SUM(K236:L236)))</f>
        <v>#VALUE!</v>
      </c>
      <c r="K236" s="160" t="e">
        <f ca="1">IF(G236="Всього:",SUM($K$5:K235),IF(F236&lt;&gt;F235,(F236*O235/36000*(G236-CONCATENATE(DAY($C$4),".",MONTH(G235),".",YEAR(G235)))+(F235*O235/36000*(CONCATENATE(DAY($C$4),".",MONTH(G235),".",YEAR(G235))-G235))),F236*O235/36000*(G236-G235)))</f>
        <v>#VALUE!</v>
      </c>
      <c r="L236" s="160" t="e">
        <f ca="1">IF(G236="Всього:",SUM($L$5:L235),$E$4)</f>
        <v>#VALUE!</v>
      </c>
      <c r="M236" s="160" t="e">
        <f ca="1">IF(G236="Всього:",SUM($M$5:M235),IF($E$5="UAH",J236+L236+K236,J236+K236))</f>
        <v>#VALUE!</v>
      </c>
      <c r="N236" s="160" t="e">
        <f ca="1">IF(G236="Всього:",SUM($N$4:N235),IF($E$5="UAH","",L236))</f>
        <v>#VALUE!</v>
      </c>
      <c r="O236" s="160" t="e">
        <f t="shared" ca="1" si="12"/>
        <v>#VALUE!</v>
      </c>
    </row>
    <row r="237" spans="6:15" x14ac:dyDescent="0.3">
      <c r="F237" s="160" t="e">
        <f t="shared" ca="1" si="13"/>
        <v>#VALUE!</v>
      </c>
      <c r="G237" s="160" t="e">
        <f t="shared" ca="1" si="15"/>
        <v>#VALUE!</v>
      </c>
      <c r="H237" s="160" t="str">
        <f t="shared" ca="1" si="14"/>
        <v/>
      </c>
      <c r="I237" s="160" t="e">
        <f ca="1">IF($G237="Всього:",SUM($I$4:I236),IF(AND(DAY($C$4)&gt;=15,H237=1),K237+L237,$C$32))</f>
        <v>#VALUE!</v>
      </c>
      <c r="J237" s="160" t="e">
        <f ca="1">IF($G237="Всього:",SUM($J$4:J236),IF(I237-SUM(K237:L237)&lt;0,0,I237-SUM(K237:L237)))</f>
        <v>#VALUE!</v>
      </c>
      <c r="K237" s="160" t="e">
        <f ca="1">IF(G237="Всього:",SUM($K$5:K236),IF(F237&lt;&gt;F236,(F237*O236/36000*(G237-CONCATENATE(DAY($C$4),".",MONTH(G236),".",YEAR(G236)))+(F236*O236/36000*(CONCATENATE(DAY($C$4),".",MONTH(G236),".",YEAR(G236))-G236))),F237*O236/36000*(G237-G236)))</f>
        <v>#VALUE!</v>
      </c>
      <c r="L237" s="160" t="e">
        <f ca="1">IF(G237="Всього:",SUM($L$5:L236),$E$4)</f>
        <v>#VALUE!</v>
      </c>
      <c r="M237" s="160" t="e">
        <f ca="1">IF(G237="Всього:",SUM($M$5:M236),IF($E$5="UAH",J237+L237+K237,J237+K237))</f>
        <v>#VALUE!</v>
      </c>
      <c r="N237" s="160" t="e">
        <f ca="1">IF(G237="Всього:",SUM($N$4:N236),IF($E$5="UAH","",L237))</f>
        <v>#VALUE!</v>
      </c>
      <c r="O237" s="160" t="e">
        <f t="shared" ca="1" si="12"/>
        <v>#VALUE!</v>
      </c>
    </row>
    <row r="238" spans="6:15" x14ac:dyDescent="0.3">
      <c r="F238" s="160" t="e">
        <f t="shared" ca="1" si="13"/>
        <v>#VALUE!</v>
      </c>
      <c r="G238" s="160" t="e">
        <f t="shared" ca="1" si="15"/>
        <v>#VALUE!</v>
      </c>
      <c r="H238" s="160" t="str">
        <f t="shared" ca="1" si="14"/>
        <v/>
      </c>
      <c r="I238" s="160" t="e">
        <f ca="1">IF($G238="Всього:",SUM($I$4:I237),IF(AND(DAY($C$4)&gt;=15,H238=1),K238+L238,$C$32))</f>
        <v>#VALUE!</v>
      </c>
      <c r="J238" s="160" t="e">
        <f ca="1">IF($G238="Всього:",SUM($J$4:J237),IF(I238-SUM(K238:L238)&lt;0,0,I238-SUM(K238:L238)))</f>
        <v>#VALUE!</v>
      </c>
      <c r="K238" s="160" t="e">
        <f ca="1">IF(G238="Всього:",SUM($K$5:K237),IF(F238&lt;&gt;F237,(F238*O237/36000*(G238-CONCATENATE(DAY($C$4),".",MONTH(G237),".",YEAR(G237)))+(F237*O237/36000*(CONCATENATE(DAY($C$4),".",MONTH(G237),".",YEAR(G237))-G237))),F238*O237/36000*(G238-G237)))</f>
        <v>#VALUE!</v>
      </c>
      <c r="L238" s="160" t="e">
        <f ca="1">IF(G238="Всього:",SUM($L$5:L237),$E$4)</f>
        <v>#VALUE!</v>
      </c>
      <c r="M238" s="160" t="e">
        <f ca="1">IF(G238="Всього:",SUM($M$5:M237),IF($E$5="UAH",J238+L238+K238,J238+K238))</f>
        <v>#VALUE!</v>
      </c>
      <c r="N238" s="160" t="e">
        <f ca="1">IF(G238="Всього:",SUM($N$4:N237),IF($E$5="UAH","",L238))</f>
        <v>#VALUE!</v>
      </c>
      <c r="O238" s="160" t="e">
        <f t="shared" ca="1" si="12"/>
        <v>#VALUE!</v>
      </c>
    </row>
    <row r="239" spans="6:15" x14ac:dyDescent="0.3">
      <c r="F239" s="160" t="e">
        <f t="shared" ca="1" si="13"/>
        <v>#VALUE!</v>
      </c>
      <c r="G239" s="160" t="e">
        <f t="shared" ca="1" si="15"/>
        <v>#VALUE!</v>
      </c>
      <c r="H239" s="160" t="str">
        <f t="shared" ca="1" si="14"/>
        <v/>
      </c>
      <c r="I239" s="160" t="e">
        <f ca="1">IF($G239="Всього:",SUM($I$4:I238),IF(AND(DAY($C$4)&gt;=15,H239=1),K239+L239,$C$32))</f>
        <v>#VALUE!</v>
      </c>
      <c r="J239" s="160" t="e">
        <f ca="1">IF($G239="Всього:",SUM($J$4:J238),IF(I239-SUM(K239:L239)&lt;0,0,I239-SUM(K239:L239)))</f>
        <v>#VALUE!</v>
      </c>
      <c r="K239" s="160" t="e">
        <f ca="1">IF(G239="Всього:",SUM($K$5:K238),IF(F239&lt;&gt;F238,(F239*O238/36000*(G239-CONCATENATE(DAY($C$4),".",MONTH(G238),".",YEAR(G238)))+(F238*O238/36000*(CONCATENATE(DAY($C$4),".",MONTH(G238),".",YEAR(G238))-G238))),F239*O238/36000*(G239-G238)))</f>
        <v>#VALUE!</v>
      </c>
      <c r="L239" s="160" t="e">
        <f ca="1">IF(G239="Всього:",SUM($L$5:L238),$E$4)</f>
        <v>#VALUE!</v>
      </c>
      <c r="M239" s="160" t="e">
        <f ca="1">IF(G239="Всього:",SUM($M$5:M238),IF($E$5="UAH",J239+L239+K239,J239+K239))</f>
        <v>#VALUE!</v>
      </c>
      <c r="N239" s="160" t="e">
        <f ca="1">IF(G239="Всього:",SUM($N$4:N238),IF($E$5="UAH","",L239))</f>
        <v>#VALUE!</v>
      </c>
      <c r="O239" s="160" t="e">
        <f t="shared" ca="1" si="12"/>
        <v>#VALUE!</v>
      </c>
    </row>
    <row r="240" spans="6:15" x14ac:dyDescent="0.3">
      <c r="F240" s="160" t="e">
        <f t="shared" ca="1" si="13"/>
        <v>#VALUE!</v>
      </c>
      <c r="G240" s="160" t="e">
        <f t="shared" ca="1" si="15"/>
        <v>#VALUE!</v>
      </c>
      <c r="H240" s="160" t="str">
        <f t="shared" ca="1" si="14"/>
        <v/>
      </c>
      <c r="I240" s="160" t="e">
        <f ca="1">IF($G240="Всього:",SUM($I$4:I239),IF(AND(DAY($C$4)&gt;=15,H240=1),K240+L240,$C$32))</f>
        <v>#VALUE!</v>
      </c>
      <c r="J240" s="160" t="e">
        <f ca="1">IF($G240="Всього:",SUM($J$4:J239),IF(I240-SUM(K240:L240)&lt;0,0,I240-SUM(K240:L240)))</f>
        <v>#VALUE!</v>
      </c>
      <c r="K240" s="160" t="e">
        <f ca="1">IF(G240="Всього:",SUM($K$5:K239),IF(F240&lt;&gt;F239,(F240*O239/36000*(G240-CONCATENATE(DAY($C$4),".",MONTH(G239),".",YEAR(G239)))+(F239*O239/36000*(CONCATENATE(DAY($C$4),".",MONTH(G239),".",YEAR(G239))-G239))),F240*O239/36000*(G240-G239)))</f>
        <v>#VALUE!</v>
      </c>
      <c r="L240" s="160" t="e">
        <f ca="1">IF(G240="Всього:",SUM($L$5:L239),$E$4)</f>
        <v>#VALUE!</v>
      </c>
      <c r="M240" s="160" t="e">
        <f ca="1">IF(G240="Всього:",SUM($M$5:M239),IF($E$5="UAH",J240+L240+K240,J240+K240))</f>
        <v>#VALUE!</v>
      </c>
      <c r="N240" s="160" t="e">
        <f ca="1">IF(G240="Всього:",SUM($N$4:N239),IF($E$5="UAH","",L240))</f>
        <v>#VALUE!</v>
      </c>
      <c r="O240" s="160" t="e">
        <f t="shared" ca="1" si="12"/>
        <v>#VALUE!</v>
      </c>
    </row>
    <row r="241" spans="6:15" x14ac:dyDescent="0.3">
      <c r="F241" s="160" t="e">
        <f t="shared" ca="1" si="13"/>
        <v>#VALUE!</v>
      </c>
      <c r="G241" s="160" t="e">
        <f t="shared" ca="1" si="15"/>
        <v>#VALUE!</v>
      </c>
      <c r="H241" s="160" t="str">
        <f t="shared" ca="1" si="14"/>
        <v/>
      </c>
      <c r="I241" s="160" t="e">
        <f ca="1">IF($G241="Всього:",SUM($I$4:I240),IF(AND(DAY($C$4)&gt;=15,H241=1),K241+L241,$C$32))</f>
        <v>#VALUE!</v>
      </c>
      <c r="J241" s="160" t="e">
        <f ca="1">IF($G241="Всього:",SUM($J$4:J240),IF(I241-SUM(K241:L241)&lt;0,0,I241-SUM(K241:L241)))</f>
        <v>#VALUE!</v>
      </c>
      <c r="K241" s="160" t="e">
        <f ca="1">IF(G241="Всього:",SUM($K$5:K240),IF(F241&lt;&gt;F240,(F241*O240/36000*(G241-CONCATENATE(DAY($C$4),".",MONTH(G240),".",YEAR(G240)))+(F240*O240/36000*(CONCATENATE(DAY($C$4),".",MONTH(G240),".",YEAR(G240))-G240))),F241*O240/36000*(G241-G240)))</f>
        <v>#VALUE!</v>
      </c>
      <c r="L241" s="160" t="e">
        <f ca="1">IF(G241="Всього:",SUM($L$5:L240),$E$4)</f>
        <v>#VALUE!</v>
      </c>
      <c r="M241" s="160" t="e">
        <f ca="1">IF(G241="Всього:",SUM($M$5:M240),IF($E$5="UAH",J241+L241+K241,J241+K241))</f>
        <v>#VALUE!</v>
      </c>
      <c r="N241" s="160" t="e">
        <f ca="1">IF(G241="Всього:",SUM($N$4:N240),IF($E$5="UAH","",L241))</f>
        <v>#VALUE!</v>
      </c>
      <c r="O241" s="160" t="e">
        <f t="shared" ca="1" si="12"/>
        <v>#VALUE!</v>
      </c>
    </row>
    <row r="242" spans="6:15" x14ac:dyDescent="0.3">
      <c r="F242" s="160" t="e">
        <f t="shared" ca="1" si="13"/>
        <v>#VALUE!</v>
      </c>
      <c r="G242" s="160" t="e">
        <f t="shared" ca="1" si="15"/>
        <v>#VALUE!</v>
      </c>
      <c r="H242" s="160" t="str">
        <f t="shared" ca="1" si="14"/>
        <v/>
      </c>
      <c r="I242" s="160" t="e">
        <f ca="1">IF($G242="Всього:",SUM($I$4:I241),IF(AND(DAY($C$4)&gt;=15,H242=1),K242+L242,$C$32))</f>
        <v>#VALUE!</v>
      </c>
      <c r="J242" s="160" t="e">
        <f ca="1">IF($G242="Всього:",SUM($J$4:J241),IF(I242-SUM(K242:L242)&lt;0,0,I242-SUM(K242:L242)))</f>
        <v>#VALUE!</v>
      </c>
      <c r="K242" s="160" t="e">
        <f ca="1">IF(G242="Всього:",SUM($K$5:K241),IF(F242&lt;&gt;F241,(F242*O241/36000*(G242-CONCATENATE(DAY($C$4),".",MONTH(G241),".",YEAR(G241)))+(F241*O241/36000*(CONCATENATE(DAY($C$4),".",MONTH(G241),".",YEAR(G241))-G241))),F242*O241/36000*(G242-G241)))</f>
        <v>#VALUE!</v>
      </c>
      <c r="L242" s="160" t="e">
        <f ca="1">IF(G242="Всього:",SUM($L$5:L241),$E$4)</f>
        <v>#VALUE!</v>
      </c>
      <c r="M242" s="160" t="e">
        <f ca="1">IF(G242="Всього:",SUM($M$5:M241),IF($E$5="UAH",J242+L242+K242,J242+K242))</f>
        <v>#VALUE!</v>
      </c>
      <c r="N242" s="160" t="e">
        <f ca="1">IF(G242="Всього:",SUM($N$4:N241),IF($E$5="UAH","",L242))</f>
        <v>#VALUE!</v>
      </c>
      <c r="O242" s="160" t="e">
        <f t="shared" ca="1" si="12"/>
        <v>#VALUE!</v>
      </c>
    </row>
    <row r="243" spans="6:15" x14ac:dyDescent="0.3">
      <c r="F243" s="160" t="e">
        <f t="shared" ca="1" si="13"/>
        <v>#VALUE!</v>
      </c>
      <c r="G243" s="160" t="e">
        <f t="shared" ca="1" si="15"/>
        <v>#VALUE!</v>
      </c>
      <c r="H243" s="160" t="str">
        <f t="shared" ca="1" si="14"/>
        <v/>
      </c>
      <c r="I243" s="160" t="e">
        <f ca="1">IF($G243="Всього:",SUM($I$4:I242),IF(AND(DAY($C$4)&gt;=15,H243=1),K243+L243,$C$32))</f>
        <v>#VALUE!</v>
      </c>
      <c r="J243" s="160" t="e">
        <f ca="1">IF($G243="Всього:",SUM($J$4:J242),IF(I243-SUM(K243:L243)&lt;0,0,I243-SUM(K243:L243)))</f>
        <v>#VALUE!</v>
      </c>
      <c r="K243" s="160" t="e">
        <f ca="1">IF(G243="Всього:",SUM($K$5:K242),IF(F243&lt;&gt;F242,(F243*O242/36000*(G243-CONCATENATE(DAY($C$4),".",MONTH(G242),".",YEAR(G242)))+(F242*O242/36000*(CONCATENATE(DAY($C$4),".",MONTH(G242),".",YEAR(G242))-G242))),F243*O242/36000*(G243-G242)))</f>
        <v>#VALUE!</v>
      </c>
      <c r="L243" s="160" t="e">
        <f ca="1">IF(G243="Всього:",SUM($L$5:L242),$E$4)</f>
        <v>#VALUE!</v>
      </c>
      <c r="M243" s="160" t="e">
        <f ca="1">IF(G243="Всього:",SUM($M$5:M242),IF($E$5="UAH",J243+L243+K243,J243+K243))</f>
        <v>#VALUE!</v>
      </c>
      <c r="N243" s="160" t="e">
        <f ca="1">IF(G243="Всього:",SUM($N$4:N242),IF($E$5="UAH","",L243))</f>
        <v>#VALUE!</v>
      </c>
      <c r="O243" s="160" t="e">
        <f t="shared" ca="1" si="12"/>
        <v>#VALUE!</v>
      </c>
    </row>
    <row r="244" spans="6:15" x14ac:dyDescent="0.3">
      <c r="F244" s="160" t="e">
        <f t="shared" ca="1" si="13"/>
        <v>#VALUE!</v>
      </c>
      <c r="G244" s="160" t="e">
        <f t="shared" ca="1" si="15"/>
        <v>#VALUE!</v>
      </c>
      <c r="H244" s="160" t="str">
        <f t="shared" ca="1" si="14"/>
        <v/>
      </c>
      <c r="I244" s="160" t="e">
        <f ca="1">IF($G244="Всього:",SUM($I$4:I243),IF(AND(DAY($C$4)&gt;=15,H244=1),K244+L244,$C$32))</f>
        <v>#VALUE!</v>
      </c>
      <c r="J244" s="160" t="e">
        <f ca="1">IF($G244="Всього:",SUM($J$4:J243),IF(I244-SUM(K244:L244)&lt;0,0,I244-SUM(K244:L244)))</f>
        <v>#VALUE!</v>
      </c>
      <c r="K244" s="160" t="e">
        <f ca="1">IF(G244="Всього:",SUM($K$5:K243),IF(F244&lt;&gt;F243,(F244*O243/36000*(G244-CONCATENATE(DAY($C$4),".",MONTH(G243),".",YEAR(G243)))+(F243*O243/36000*(CONCATENATE(DAY($C$4),".",MONTH(G243),".",YEAR(G243))-G243))),F244*O243/36000*(G244-G243)))</f>
        <v>#VALUE!</v>
      </c>
      <c r="L244" s="160" t="e">
        <f ca="1">IF(G244="Всього:",SUM($L$5:L243),$E$4)</f>
        <v>#VALUE!</v>
      </c>
      <c r="M244" s="160" t="e">
        <f ca="1">IF(G244="Всього:",SUM($M$5:M243),IF($E$5="UAH",J244+L244+K244,J244+K244))</f>
        <v>#VALUE!</v>
      </c>
      <c r="N244" s="160" t="e">
        <f ca="1">IF(G244="Всього:",SUM($N$4:N243),IF($E$5="UAH","",L244))</f>
        <v>#VALUE!</v>
      </c>
      <c r="O244" s="160" t="e">
        <f t="shared" ca="1" si="12"/>
        <v>#VALUE!</v>
      </c>
    </row>
    <row r="245" spans="6:15" x14ac:dyDescent="0.3">
      <c r="F245" s="160" t="e">
        <f t="shared" ca="1" si="13"/>
        <v>#VALUE!</v>
      </c>
      <c r="G245" s="160" t="e">
        <f t="shared" ca="1" si="15"/>
        <v>#VALUE!</v>
      </c>
      <c r="H245" s="160" t="str">
        <f t="shared" ca="1" si="14"/>
        <v/>
      </c>
      <c r="I245" s="160" t="e">
        <f ca="1">IF($G245="Всього:",SUM($I$4:I244),IF(AND(DAY($C$4)&gt;=15,H245=1),K245+L245,$C$32))</f>
        <v>#VALUE!</v>
      </c>
      <c r="J245" s="160" t="e">
        <f ca="1">IF($G245="Всього:",SUM($J$4:J244),IF(I245-SUM(K245:L245)&lt;0,0,I245-SUM(K245:L245)))</f>
        <v>#VALUE!</v>
      </c>
      <c r="K245" s="160" t="e">
        <f ca="1">IF(G245="Всього:",SUM($K$5:K244),IF(F245&lt;&gt;F244,(F245*O244/36000*(G245-CONCATENATE(DAY($C$4),".",MONTH(G244),".",YEAR(G244)))+(F244*O244/36000*(CONCATENATE(DAY($C$4),".",MONTH(G244),".",YEAR(G244))-G244))),F245*O244/36000*(G245-G244)))</f>
        <v>#VALUE!</v>
      </c>
      <c r="L245" s="160" t="e">
        <f ca="1">IF(G245="Всього:",SUM($L$5:L244),$E$4)</f>
        <v>#VALUE!</v>
      </c>
      <c r="M245" s="160" t="e">
        <f ca="1">IF(G245="Всього:",SUM($M$5:M244),IF($E$5="UAH",J245+L245+K245,J245+K245))</f>
        <v>#VALUE!</v>
      </c>
      <c r="N245" s="160" t="e">
        <f ca="1">IF(G245="Всього:",SUM($N$4:N244),IF($E$5="UAH","",L245))</f>
        <v>#VALUE!</v>
      </c>
      <c r="O245" s="160" t="e">
        <f t="shared" ca="1" si="12"/>
        <v>#VALUE!</v>
      </c>
    </row>
    <row r="246" spans="6:15" x14ac:dyDescent="0.3">
      <c r="F246" s="160" t="e">
        <f t="shared" ca="1" si="13"/>
        <v>#VALUE!</v>
      </c>
      <c r="G246" s="160" t="e">
        <f t="shared" ca="1" si="15"/>
        <v>#VALUE!</v>
      </c>
      <c r="H246" s="160" t="str">
        <f t="shared" ca="1" si="14"/>
        <v/>
      </c>
      <c r="I246" s="160" t="e">
        <f ca="1">IF($G246="Всього:",SUM($I$4:I245),IF(AND(DAY($C$4)&gt;=15,H246=1),K246+L246,$C$32))</f>
        <v>#VALUE!</v>
      </c>
      <c r="J246" s="160" t="e">
        <f ca="1">IF($G246="Всього:",SUM($J$4:J245),IF(I246-SUM(K246:L246)&lt;0,0,I246-SUM(K246:L246)))</f>
        <v>#VALUE!</v>
      </c>
      <c r="K246" s="160" t="e">
        <f ca="1">IF(G246="Всього:",SUM($K$5:K245),IF(F246&lt;&gt;F245,(F246*O245/36000*(G246-CONCATENATE(DAY($C$4),".",MONTH(G245),".",YEAR(G245)))+(F245*O245/36000*(CONCATENATE(DAY($C$4),".",MONTH(G245),".",YEAR(G245))-G245))),F246*O245/36000*(G246-G245)))</f>
        <v>#VALUE!</v>
      </c>
      <c r="L246" s="160" t="e">
        <f ca="1">IF(G246="Всього:",SUM($L$5:L245),$E$4)</f>
        <v>#VALUE!</v>
      </c>
      <c r="M246" s="160" t="e">
        <f ca="1">IF(G246="Всього:",SUM($M$5:M245),IF($E$5="UAH",J246+L246+K246,J246+K246))</f>
        <v>#VALUE!</v>
      </c>
      <c r="N246" s="160" t="e">
        <f ca="1">IF(G246="Всього:",SUM($N$4:N245),IF($E$5="UAH","",L246))</f>
        <v>#VALUE!</v>
      </c>
      <c r="O246" s="160" t="e">
        <f t="shared" ca="1" si="12"/>
        <v>#VALUE!</v>
      </c>
    </row>
    <row r="247" spans="6:15" x14ac:dyDescent="0.3">
      <c r="F247" s="160" t="e">
        <f t="shared" ca="1" si="13"/>
        <v>#VALUE!</v>
      </c>
      <c r="G247" s="160" t="e">
        <f t="shared" ca="1" si="15"/>
        <v>#VALUE!</v>
      </c>
      <c r="H247" s="160" t="str">
        <f t="shared" ca="1" si="14"/>
        <v/>
      </c>
      <c r="I247" s="160" t="e">
        <f ca="1">IF($G247="Всього:",SUM($I$4:I246),IF(AND(DAY($C$4)&gt;=15,H247=1),K247+L247,$C$32))</f>
        <v>#VALUE!</v>
      </c>
      <c r="J247" s="160" t="e">
        <f ca="1">IF($G247="Всього:",SUM($J$4:J246),IF(I247-SUM(K247:L247)&lt;0,0,I247-SUM(K247:L247)))</f>
        <v>#VALUE!</v>
      </c>
      <c r="K247" s="160" t="e">
        <f ca="1">IF(G247="Всього:",SUM($K$5:K246),IF(F247&lt;&gt;F246,(F247*O246/36000*(G247-CONCATENATE(DAY($C$4),".",MONTH(G246),".",YEAR(G246)))+(F246*O246/36000*(CONCATENATE(DAY($C$4),".",MONTH(G246),".",YEAR(G246))-G246))),F247*O246/36000*(G247-G246)))</f>
        <v>#VALUE!</v>
      </c>
      <c r="L247" s="160" t="e">
        <f ca="1">IF(G247="Всього:",SUM($L$5:L246),$E$4)</f>
        <v>#VALUE!</v>
      </c>
      <c r="M247" s="160" t="e">
        <f ca="1">IF(G247="Всього:",SUM($M$5:M246),IF($E$5="UAH",J247+L247+K247,J247+K247))</f>
        <v>#VALUE!</v>
      </c>
      <c r="N247" s="160" t="e">
        <f ca="1">IF(G247="Всього:",SUM($N$4:N246),IF($E$5="UAH","",L247))</f>
        <v>#VALUE!</v>
      </c>
      <c r="O247" s="160" t="e">
        <f t="shared" ca="1" si="12"/>
        <v>#VALUE!</v>
      </c>
    </row>
    <row r="248" spans="6:15" x14ac:dyDescent="0.3">
      <c r="F248" s="160" t="e">
        <f>IF(G248="Всього:","",'Платоспроможність боржника'!$H$6)</f>
        <v>#VALUE!</v>
      </c>
      <c r="G248" s="160" t="e">
        <v>#VALUE!</v>
      </c>
      <c r="H248" s="160" t="str">
        <f t="shared" ref="H248" ca="1" si="16">IF(H247&gt;$E$3,"",H247+1)</f>
        <v/>
      </c>
      <c r="I248" s="160" t="e">
        <f>IF($G248="Всього:",SUM($I$4:I247),IF(AND(DAY($C$4)&gt;=15,H248=1),K248+L248,$C$32))</f>
        <v>#VALUE!</v>
      </c>
      <c r="J248" s="160" t="e">
        <f>IF($G248="Всього:",SUM($J$4:J247),I248-SUM(K248:L248))</f>
        <v>#VALUE!</v>
      </c>
      <c r="K248" s="160" t="e">
        <f>IF(G248="Всього:",SUM($K$5:K247),F248*O247/360*(G248-G247))</f>
        <v>#VALUE!</v>
      </c>
      <c r="L248" s="160" t="e">
        <f>IF(G248="Всього:",SUM($L$5:L247),$E$4)</f>
        <v>#VALUE!</v>
      </c>
      <c r="M248" s="160" t="e">
        <f>IF(G248="Всього:",SUM($M$5:M247),IF($E$5="UAH",J248+L248+K248,J248+K248))</f>
        <v>#VALUE!</v>
      </c>
      <c r="N248" s="160" t="e">
        <f>IF(G248="Всього:",SUM($N$4:N247),IF($E$5="UAH","",L248))</f>
        <v>#VALUE!</v>
      </c>
      <c r="O248" s="160" t="e">
        <f t="shared" ca="1" si="12"/>
        <v>#VALUE!</v>
      </c>
    </row>
  </sheetData>
  <phoneticPr fontId="6" type="noConversion"/>
  <conditionalFormatting sqref="C112">
    <cfRule type="containsText" dxfId="61" priority="1" operator="containsText" text="Поручитель неплатоспроможний">
      <formula>NOT(ISERROR(SEARCH("Поручитель неплатоспроможний",C112)))</formula>
    </cfRule>
    <cfRule type="containsText" dxfId="60" priority="2" operator="containsText" text="Поручитель платоспроможний">
      <formula>NOT(ISERROR(SEARCH("Поручитель платоспроможний",C112)))</formula>
    </cfRule>
  </conditionalFormatting>
  <conditionalFormatting sqref="D1">
    <cfRule type="expression" dxfId="59" priority="3">
      <formula>IF(#REF!="Так",FALSE,TRUE)</formula>
    </cfRule>
  </conditionalFormatting>
  <pageMargins left="0.75" right="0.75" top="1" bottom="1" header="0.5" footer="0.5"/>
  <pageSetup paperSize="9" scale="75" fitToHeight="10" orientation="landscape" r:id="rId1"/>
  <headerFooter alignWithMargins="0">
    <oddHeader>&amp;R&amp;"Calibri"&amp;10&amp;KFF0000 КОНФІДЕНЦІЙНА ІНФОРМАЦІЯ&amp;1#_x000D_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proba_perebudova_3">
                <anchor moveWithCells="1">
                  <from>
                    <xdr:col>5</xdr:col>
                    <xdr:colOff>99060</xdr:colOff>
                    <xdr:row>0</xdr:row>
                    <xdr:rowOff>45720</xdr:rowOff>
                  </from>
                  <to>
                    <xdr:col>79</xdr:col>
                    <xdr:colOff>99060</xdr:colOff>
                    <xdr:row>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5BC28-C913-44B6-861E-211393515DD5}">
  <sheetPr codeName="Лист4">
    <pageSetUpPr fitToPage="1"/>
  </sheetPr>
  <dimension ref="A1:AJ776"/>
  <sheetViews>
    <sheetView showGridLines="0" zoomScale="70" zoomScaleNormal="70" workbookViewId="0">
      <selection activeCell="K6" sqref="K6"/>
    </sheetView>
  </sheetViews>
  <sheetFormatPr defaultRowHeight="14.4" x14ac:dyDescent="0.3"/>
  <cols>
    <col min="1" max="1" width="28" style="11" customWidth="1"/>
    <col min="2" max="2" width="16.44140625" style="11" customWidth="1"/>
    <col min="3" max="3" width="23.88671875" style="11" customWidth="1"/>
    <col min="4" max="4" width="28" style="11" customWidth="1"/>
    <col min="5" max="5" width="13.5546875" style="11" customWidth="1"/>
    <col min="6" max="6" width="14.6640625" style="11" customWidth="1"/>
    <col min="7" max="7" width="17.6640625" style="11" customWidth="1"/>
    <col min="8" max="8" width="8" style="30" customWidth="1"/>
    <col min="9" max="9" width="15.44140625" style="11" customWidth="1"/>
    <col min="10" max="10" width="19.6640625" style="11" customWidth="1"/>
    <col min="11" max="11" width="15.44140625" style="11" customWidth="1"/>
    <col min="12" max="12" width="12.6640625" style="11" customWidth="1"/>
    <col min="13" max="13" width="12.21875" style="11" customWidth="1"/>
    <col min="14" max="14" width="13.109375" style="11" customWidth="1"/>
    <col min="15" max="15" width="16" style="11" customWidth="1"/>
    <col min="16" max="16" width="13.109375" customWidth="1"/>
    <col min="17" max="17" width="13.88671875" style="11" customWidth="1"/>
    <col min="18" max="19" width="10.88671875" style="11" customWidth="1"/>
    <col min="20" max="20" width="8.88671875" style="11" customWidth="1"/>
    <col min="21" max="21" width="12.21875" style="11" customWidth="1"/>
    <col min="22" max="22" width="8.88671875" style="11" customWidth="1"/>
    <col min="23" max="23" width="32.44140625" style="11" customWidth="1"/>
    <col min="24" max="24" width="8.88671875" style="11" customWidth="1"/>
    <col min="25" max="25" width="14.44140625" style="11" customWidth="1"/>
    <col min="26" max="26" width="8.88671875" style="11" customWidth="1"/>
    <col min="27" max="27" width="12.44140625" style="11" customWidth="1"/>
    <col min="28" max="28" width="10.88671875" style="11" customWidth="1"/>
    <col min="29" max="29" width="12.88671875" style="11" customWidth="1"/>
    <col min="30" max="78" width="8.88671875" style="11" customWidth="1"/>
    <col min="79" max="16384" width="8.88671875" style="11"/>
  </cols>
  <sheetData>
    <row r="1" spans="1:29" s="8" customFormat="1" ht="31.5" customHeight="1" x14ac:dyDescent="0.3">
      <c r="A1" s="12" t="s">
        <v>312</v>
      </c>
      <c r="B1" s="4">
        <f>((E1*POWER(1+(E2/12),E3)*(E2/12)))/(POWER(1+(E2/12),E3)-1)</f>
        <v>541250</v>
      </c>
      <c r="C1" s="5">
        <f>PMT(E2/12,E3,-E1)</f>
        <v>541250</v>
      </c>
      <c r="D1" s="6" t="s">
        <v>313</v>
      </c>
      <c r="E1" s="7">
        <f>'Калькулятор '!N2</f>
        <v>500000</v>
      </c>
      <c r="G1" s="9"/>
      <c r="H1" s="150" t="s">
        <v>314</v>
      </c>
      <c r="I1" s="150"/>
      <c r="J1" s="10">
        <f ca="1">TODAY()</f>
        <v>45840</v>
      </c>
      <c r="O1" s="35" t="s">
        <v>363</v>
      </c>
    </row>
    <row r="2" spans="1:29" s="8" customFormat="1" ht="16.5" customHeight="1" x14ac:dyDescent="0.25">
      <c r="A2" s="12" t="s">
        <v>315</v>
      </c>
      <c r="B2" s="4">
        <f>E1*(E2/12)</f>
        <v>541250</v>
      </c>
      <c r="C2" s="5">
        <f>IPMT(E2/12,1,E3,-(E1))</f>
        <v>541250</v>
      </c>
      <c r="D2" s="6" t="s">
        <v>316</v>
      </c>
      <c r="E2" s="49">
        <f>'Калькулятор '!E14</f>
        <v>12.99</v>
      </c>
      <c r="F2" s="13" t="s">
        <v>317</v>
      </c>
      <c r="G2" s="152" t="s">
        <v>353</v>
      </c>
      <c r="H2" s="155" t="s">
        <v>318</v>
      </c>
      <c r="I2" s="156"/>
      <c r="J2" s="156"/>
      <c r="K2" s="156"/>
      <c r="L2" s="156"/>
      <c r="M2" s="156"/>
      <c r="N2" s="156"/>
      <c r="O2" s="157"/>
      <c r="S2" s="8">
        <v>12</v>
      </c>
      <c r="W2" s="12" t="s">
        <v>411</v>
      </c>
      <c r="X2" s="12"/>
      <c r="Y2" s="26">
        <f ca="1">IF(E3=S2,J17,IF(E3=S3,J29,IF(E3=S4,J41,IF(E3=S5,J53,0))))+Y3+IF(E3=S6,J65,IF(E3=S7,J77,IF(E3=S8,J89,0)))</f>
        <v>2668225.1946739461</v>
      </c>
      <c r="AA2" s="29"/>
      <c r="AB2" s="29">
        <f ca="1">R3+Y7+Y6+Y4</f>
        <v>-306661.33553001669</v>
      </c>
      <c r="AC2" s="29">
        <f>IF(E3=S2,AVERAGE(O4:O15),IF(E3=S3,AVERAGE(O4:O27),IF(E3=S4,AVERAGE(O4:O39),IF(E3=S5,AVERAGE(O4:O51),IF(E3=S6,AVERAGE(O4:O63),0)))))</f>
        <v>0</v>
      </c>
    </row>
    <row r="3" spans="1:29" s="8" customFormat="1" ht="38.25" customHeight="1" x14ac:dyDescent="0.25">
      <c r="A3" s="12" t="s">
        <v>319</v>
      </c>
      <c r="B3" s="4">
        <f>B1-B2</f>
        <v>0</v>
      </c>
      <c r="C3" s="5">
        <f>PPMT(E2/12,1,E3,-E1)</f>
        <v>6.2413305446062121E-18</v>
      </c>
      <c r="D3" s="6" t="s">
        <v>320</v>
      </c>
      <c r="E3" s="14">
        <f>'Калькулятор '!E12</f>
        <v>72</v>
      </c>
      <c r="F3" s="151"/>
      <c r="G3" s="153"/>
      <c r="H3" s="13" t="s">
        <v>321</v>
      </c>
      <c r="I3" s="13" t="s">
        <v>322</v>
      </c>
      <c r="J3" s="15" t="s">
        <v>323</v>
      </c>
      <c r="K3" s="13" t="s">
        <v>324</v>
      </c>
      <c r="L3" s="13" t="s">
        <v>325</v>
      </c>
      <c r="M3" s="15" t="s">
        <v>326</v>
      </c>
      <c r="N3" s="149"/>
      <c r="O3" s="13" t="s">
        <v>327</v>
      </c>
      <c r="R3" s="8">
        <f>IF(E3=S2,Y7,IF(E3=S3,Y7+R17,IF(E3=S4,Y7+(SUM(R17:R29)),IF(E3=S5,Y7+(SUM(R17:R41)),IF(E3=S6,Y7+(SUM(R17:R53)),IF(E3=S7,Y7+(SUM(R17:R65)),IF(E3=S8,Y7+(SUM(R17:R77)),0)))))))</f>
        <v>253570.33200000002</v>
      </c>
      <c r="S3" s="8">
        <v>24</v>
      </c>
      <c r="W3" s="12" t="s">
        <v>410</v>
      </c>
      <c r="X3" s="12"/>
      <c r="Y3" s="26">
        <f ca="1">SUM(Y4:Y8)+Y12-Y7+R3</f>
        <v>-324928.00219668332</v>
      </c>
      <c r="AA3" s="29"/>
      <c r="AB3" s="8">
        <f ca="1">IF('Калькулятор '!V23&lt;20,1,IF(AC3=Y10,0,1))</f>
        <v>1</v>
      </c>
      <c r="AC3" s="40">
        <v>0.38880982995033264</v>
      </c>
    </row>
    <row r="4" spans="1:29" s="8" customFormat="1" ht="13.5" customHeight="1" x14ac:dyDescent="0.25">
      <c r="A4" s="12" t="s">
        <v>328</v>
      </c>
      <c r="B4" s="12"/>
      <c r="C4" s="33">
        <f ca="1">TODAY()</f>
        <v>45840</v>
      </c>
      <c r="D4" s="6" t="s">
        <v>329</v>
      </c>
      <c r="E4" s="12">
        <f>'Платоспроможність боржника'!H4/100*E1</f>
        <v>0</v>
      </c>
      <c r="F4" s="17" t="s">
        <v>330</v>
      </c>
      <c r="G4" s="154"/>
      <c r="H4" s="18">
        <v>0</v>
      </c>
      <c r="I4" s="19" t="str">
        <f>IF($E$5="EUR","Євро",IF($E$5="USD","дол. США","грн."))</f>
        <v>грн.</v>
      </c>
      <c r="J4" s="19" t="str">
        <f>IF($E$5="EUR","Євро",IF($E$5="USD","дол. США","грн."))</f>
        <v>грн.</v>
      </c>
      <c r="K4" s="17" t="str">
        <f>IF($E$5="EUR","Євро",IF($E$5="USD","дол. США","грн."))</f>
        <v>грн.</v>
      </c>
      <c r="L4" s="17" t="s">
        <v>331</v>
      </c>
      <c r="M4" s="20" t="str">
        <f>IF($E$5="EUR","Євро",IF($E$5="USD","дол. США","грн."))</f>
        <v>грн.</v>
      </c>
      <c r="N4" s="20" t="s">
        <v>331</v>
      </c>
      <c r="O4" s="21">
        <f>E1</f>
        <v>500000</v>
      </c>
      <c r="P4" s="33">
        <f ca="1">C4</f>
        <v>45840</v>
      </c>
      <c r="Q4" s="8">
        <f>IFERROR(-E1+(Y6+Y7+Y5+Y8+Y12),"")</f>
        <v>-410116.66666666669</v>
      </c>
      <c r="S4" s="8">
        <v>36</v>
      </c>
      <c r="W4" s="12" t="s">
        <v>409</v>
      </c>
      <c r="X4" s="12"/>
      <c r="Y4" s="26">
        <f ca="1">IF(E3=S2,K17,IF(E3=S3,K29,IF(E3=S4,K41,IF(E3=S5,K53,0))))+IF(E3=S6,K65,IF(E3=S7,K77,IF(E3=S8,K89,0)))</f>
        <v>-616781.66753001674</v>
      </c>
      <c r="AA4" s="29"/>
      <c r="AC4" s="40"/>
    </row>
    <row r="5" spans="1:29" s="8" customFormat="1" ht="13.2" x14ac:dyDescent="0.25">
      <c r="A5" s="22" t="s">
        <v>332</v>
      </c>
      <c r="B5" s="12">
        <v>1</v>
      </c>
      <c r="C5" s="12">
        <v>1</v>
      </c>
      <c r="D5" s="6" t="s">
        <v>333</v>
      </c>
      <c r="E5" s="12" t="s">
        <v>338</v>
      </c>
      <c r="F5" s="34">
        <f ca="1">IF(G5="Всього:","",IF(AND(G5&gt;$B$9,G5&lt;=$B$10),$C$16,IF(AND(G5&gt;$B$9,G5&lt;=$B$11),$D$16,IF(AND(G5&gt;$B$10,G5&lt;=$B$14),$E$16,$B$16))))</f>
        <v>12.99</v>
      </c>
      <c r="G5" s="23">
        <f ca="1">IF(AND(DAY(C4)&lt;=15,$B$7&gt;DAY(C4)),DATE(YEAR(C4),MONTH(C4),IF($B$7&lt;&gt;"",DAY(IF($B$7&gt;DAY(EOMONTH(C4,0)),EOMONTH(C4,0),$B$7)),DAY(1))),DATE(YEAR(C4),MONTH(C4)+1,IF($B$7&lt;&gt;"",DAY(IF($B$7&gt;DAY(EOMONTH(C4,1)),EOMONTH(C4,1),$B$7)),DAY(1))))</f>
        <v>45871</v>
      </c>
      <c r="H5" s="24">
        <f>IF(H4&gt;$E$8,"",H4+1)</f>
        <v>1</v>
      </c>
      <c r="I5" s="25">
        <f ca="1">IF($G5="Всього:",SUM($I$4:I4),MAX($C$32,K5))</f>
        <v>33005</v>
      </c>
      <c r="J5" s="25">
        <f ca="1">IF($G5="Всього:",SUM($J$4:J4),IF(I5-SUM(K5:L5)&lt;0,0,I5-SUM(K5:L5)))</f>
        <v>27412.083333333332</v>
      </c>
      <c r="K5" s="25">
        <f ca="1">$E$1*F5*(G5-$C$4)/36000</f>
        <v>5592.916666666667</v>
      </c>
      <c r="L5" s="25">
        <f>$E$4</f>
        <v>0</v>
      </c>
      <c r="M5" s="26">
        <f ca="1">IF($E$5="UAH",J5+L5+K5,J5+K5)</f>
        <v>33005</v>
      </c>
      <c r="N5" s="27" t="str">
        <f>IF($E$5="UAH","",L5)</f>
        <v/>
      </c>
      <c r="O5" s="28">
        <f t="shared" ref="O5:O68" ca="1" si="0">O4-J5</f>
        <v>472587.91666666669</v>
      </c>
      <c r="P5" s="33">
        <f t="shared" ref="P5:P68" ca="1" si="1">G5</f>
        <v>45871</v>
      </c>
      <c r="Q5" s="8">
        <f ca="1">IF(R5="",I5,IFERROR(I5+R5,0))</f>
        <v>33005</v>
      </c>
      <c r="S5" s="8">
        <v>48</v>
      </c>
      <c r="W5" s="12" t="s">
        <v>403</v>
      </c>
      <c r="X5" s="12"/>
      <c r="Y5" s="12">
        <f>Калькулятор!N40</f>
        <v>0</v>
      </c>
    </row>
    <row r="6" spans="1:29" s="8" customFormat="1" ht="13.2" x14ac:dyDescent="0.25">
      <c r="A6" s="12" t="s">
        <v>334</v>
      </c>
      <c r="B6" s="12"/>
      <c r="C6" s="26">
        <f>IF(E5="EUR",C1*E7,IF(E5="USD",C1*E6,C1))</f>
        <v>541250</v>
      </c>
      <c r="D6" s="6"/>
      <c r="E6" s="12"/>
      <c r="F6" s="34">
        <f t="shared" ref="F6:F69" ca="1" si="2">IF(G6="Всього:","",IF(AND(G6&gt;$B$9,G6&lt;=$B$10),$C$16,IF(AND(G6&gt;$B$9,G6&lt;=$B$11),$D$16,IF(AND(G6&gt;$B$10,G6&lt;=$B$14),$E$16,$B$16))))</f>
        <v>12.99</v>
      </c>
      <c r="G6" s="23">
        <f ca="1">IF(H5=$E$3,"Всього:",IF($E$3=H6,$B$14,DATE(YEAR(G5),MONTH(G5)+1,IF($B$7&lt;&gt;"",DAY(IF($B$7&gt;DAY(EOMONTH(G5,1)),EOMONTH(G5,1),$B$7)),DAY(1)))))</f>
        <v>45902</v>
      </c>
      <c r="H6" s="24">
        <f t="shared" ref="H6:H69" si="3">IF(H5&gt;$E$8,"",H5+1)</f>
        <v>2</v>
      </c>
      <c r="I6" s="25">
        <f ca="1">IF($G6="Всього:",SUM($I$4:I5),MAX($C$32,K6))</f>
        <v>33005</v>
      </c>
      <c r="J6" s="25">
        <f ca="1">IF($G6="Всього:",SUM($J$4:J5),IF(I6-SUM(K6:L6)&lt;0,0,I6-SUM(K6:L6)))</f>
        <v>27718.710328819445</v>
      </c>
      <c r="K6" s="25">
        <f ca="1">IF(G6="Всього:",SUM($K$5:K5),F6*O5/36000*(G6-G5))</f>
        <v>5286.2896711805561</v>
      </c>
      <c r="L6" s="25">
        <f ca="1">IF(G6="Всього:",SUM($L$5:L5),$E$4)</f>
        <v>0</v>
      </c>
      <c r="M6" s="25">
        <f ca="1">IF(G6="Всього:",SUM($M$5:M5),IF($E$5="UAH",J6+L6+K6,J6+K6))</f>
        <v>33005</v>
      </c>
      <c r="N6" s="27" t="str">
        <f ca="1">IF(G6="Всього:",SUM($N$4:N5),IF($E$5="UAH","",L6))</f>
        <v/>
      </c>
      <c r="O6" s="25">
        <f t="shared" ca="1" si="0"/>
        <v>444869.20633784722</v>
      </c>
      <c r="P6" s="33">
        <f t="shared" ca="1" si="1"/>
        <v>45902</v>
      </c>
      <c r="Q6" s="8">
        <f t="shared" ref="Q6:Q69" ca="1" si="4">IF(R7="",I6,IFERROR(I6+R7,0))</f>
        <v>33005</v>
      </c>
      <c r="S6" s="8">
        <v>60</v>
      </c>
      <c r="W6" s="12" t="s">
        <v>404</v>
      </c>
      <c r="X6" s="12"/>
      <c r="Y6" s="12">
        <f>Z6*E1</f>
        <v>4950</v>
      </c>
      <c r="Z6" s="60">
        <f>Калькулятор!G9</f>
        <v>9.9000000000000008E-3</v>
      </c>
      <c r="AA6" s="12"/>
    </row>
    <row r="7" spans="1:29" s="8" customFormat="1" ht="13.2" x14ac:dyDescent="0.25">
      <c r="A7" s="12" t="s">
        <v>341</v>
      </c>
      <c r="B7" s="12">
        <f ca="1">DAY(C4)</f>
        <v>2</v>
      </c>
      <c r="C7" s="12"/>
      <c r="D7" s="6"/>
      <c r="E7" s="12"/>
      <c r="F7" s="34">
        <f t="shared" ca="1" si="2"/>
        <v>12.99</v>
      </c>
      <c r="G7" s="23">
        <f t="shared" ref="G7:G70" ca="1" si="5">IF(H6=$E$3,"Всього:",IF($E$3=H7,$B$14,DATE(YEAR(G6),MONTH(G6)+1,IF($B$7&lt;&gt;"",DAY(IF($B$7&gt;DAY(EOMONTH(G6,1)),EOMONTH(G6,1),$B$7)),DAY(1)))))</f>
        <v>45932</v>
      </c>
      <c r="H7" s="24">
        <f t="shared" si="3"/>
        <v>3</v>
      </c>
      <c r="I7" s="25">
        <f ca="1">IF($G7="Всього:",SUM($I$4:I6),MAX($C$32,K7))</f>
        <v>33005</v>
      </c>
      <c r="J7" s="25">
        <f ca="1">IF($G7="Всього:",SUM($J$4:J6),IF(I7-SUM(K7:L7)&lt;0,0,I7-SUM(K7:L7)))</f>
        <v>28189.290841392805</v>
      </c>
      <c r="K7" s="25">
        <f ca="1">IF(G7="Всього:",SUM($K$5:K6),F7*O6/36000*(G7-G6))</f>
        <v>4815.7091586071956</v>
      </c>
      <c r="L7" s="25">
        <f ca="1">IF(G7="Всього:",SUM($L$5:L6),$E$4)</f>
        <v>0</v>
      </c>
      <c r="M7" s="25">
        <f ca="1">IF(G7="Всього:",SUM($M$5:M6),IF($E$5="UAH",J7+L7+K7,J7+K7))</f>
        <v>33005</v>
      </c>
      <c r="N7" s="27" t="str">
        <f ca="1">IF(G7="Всього:",SUM($N$4:N6),IF($E$5="UAH","",L7))</f>
        <v/>
      </c>
      <c r="O7" s="25">
        <f t="shared" ca="1" si="0"/>
        <v>416679.9154964544</v>
      </c>
      <c r="P7" s="33">
        <f t="shared" ca="1" si="1"/>
        <v>45932</v>
      </c>
      <c r="Q7" s="8">
        <f t="shared" ca="1" si="4"/>
        <v>33005</v>
      </c>
      <c r="S7" s="8">
        <v>72</v>
      </c>
      <c r="W7" s="12" t="s">
        <v>405</v>
      </c>
      <c r="X7" s="12"/>
      <c r="Y7" s="12">
        <f>Z7*AA7</f>
        <v>51600</v>
      </c>
      <c r="Z7" s="60">
        <f>Калькулятор!G15</f>
        <v>5.16E-2</v>
      </c>
      <c r="AA7" s="26">
        <f>'Калькулятор '!E4</f>
        <v>1000000</v>
      </c>
    </row>
    <row r="8" spans="1:29" s="8" customFormat="1" ht="12.75" customHeight="1" x14ac:dyDescent="0.25">
      <c r="A8" s="12" t="s">
        <v>354</v>
      </c>
      <c r="B8" s="16">
        <f ca="1">C4</f>
        <v>45840</v>
      </c>
      <c r="D8" s="6" t="s">
        <v>343</v>
      </c>
      <c r="E8" s="8">
        <f>E3</f>
        <v>72</v>
      </c>
      <c r="F8" s="34">
        <f t="shared" ca="1" si="2"/>
        <v>12.99</v>
      </c>
      <c r="G8" s="23">
        <f t="shared" ca="1" si="5"/>
        <v>45963</v>
      </c>
      <c r="H8" s="24">
        <f t="shared" si="3"/>
        <v>4</v>
      </c>
      <c r="I8" s="25">
        <f ca="1">IF($G8="Всього:",SUM($I$4:I7),MAX($C$32,K8))</f>
        <v>33005</v>
      </c>
      <c r="J8" s="25">
        <f ca="1">IF($G8="Всього:",SUM($J$4:J7),IF(I8-SUM(K8:L8)&lt;0,0,I8-SUM(K8:L8)))</f>
        <v>28344.087911909242</v>
      </c>
      <c r="K8" s="25">
        <f ca="1">IF(G8="Всього:",SUM($K$5:K7),F8*O7/36000*(G8-G7))</f>
        <v>4660.9120880907567</v>
      </c>
      <c r="L8" s="25">
        <f ca="1">IF(G8="Всього:",SUM($L$5:L7),$E$4)</f>
        <v>0</v>
      </c>
      <c r="M8" s="25">
        <f ca="1">IF(G8="Всього:",SUM($M$5:M7),IF($E$5="UAH",J8+L8+K8,J8+K8))</f>
        <v>33005</v>
      </c>
      <c r="N8" s="27" t="str">
        <f ca="1">IF(G8="Всього:",SUM($N$4:N7),IF($E$5="UAH","",L8))</f>
        <v/>
      </c>
      <c r="O8" s="25">
        <f t="shared" ca="1" si="0"/>
        <v>388335.82758454513</v>
      </c>
      <c r="P8" s="33">
        <f t="shared" ca="1" si="1"/>
        <v>45963</v>
      </c>
      <c r="Q8" s="8">
        <f t="shared" ca="1" si="4"/>
        <v>33005</v>
      </c>
      <c r="S8" s="8">
        <v>84</v>
      </c>
      <c r="W8" s="12" t="s">
        <v>406</v>
      </c>
      <c r="X8" s="12"/>
      <c r="Y8" s="12">
        <f>IF('Калькулятор '!E6="Ні",'Калькулятор (реал. ставка)'!C18,0)</f>
        <v>33333.333333333328</v>
      </c>
      <c r="Z8" s="12">
        <v>250</v>
      </c>
      <c r="AA8" s="12">
        <v>3028</v>
      </c>
    </row>
    <row r="9" spans="1:29" s="8" customFormat="1" ht="13.5" customHeight="1" x14ac:dyDescent="0.25">
      <c r="A9" s="12" t="s">
        <v>355</v>
      </c>
      <c r="B9" s="16">
        <f ca="1">IF('Платоспроможність боржника'!H7="",B14,EDATE($C$4,'Платоспроможність боржника'!$H$7))</f>
        <v>48030</v>
      </c>
      <c r="F9" s="34">
        <f t="shared" ca="1" si="2"/>
        <v>12.99</v>
      </c>
      <c r="G9" s="23">
        <f t="shared" ca="1" si="5"/>
        <v>45993</v>
      </c>
      <c r="H9" s="24">
        <f t="shared" si="3"/>
        <v>5</v>
      </c>
      <c r="I9" s="25">
        <f ca="1">IF($G9="Всього:",SUM($I$4:I8),MAX($C$32,K9))</f>
        <v>33005</v>
      </c>
      <c r="J9" s="25">
        <f ca="1">IF($G9="Всього:",SUM($J$4:J8),IF(I9-SUM(K9:L9)&lt;0,0,I9-SUM(K9:L9)))</f>
        <v>28801.264666397299</v>
      </c>
      <c r="K9" s="25">
        <f ca="1">IF(G9="Всього:",SUM($K$5:K8),F9*O8/36000*(G9-G8))</f>
        <v>4203.7353336027008</v>
      </c>
      <c r="L9" s="25">
        <f ca="1">IF(G9="Всього:",SUM($L$5:L8),$E$4)</f>
        <v>0</v>
      </c>
      <c r="M9" s="25">
        <f ca="1">IF(G9="Всього:",SUM($M$5:M8),IF($E$5="UAH",J9+L9+K9,J9+K9))</f>
        <v>33005</v>
      </c>
      <c r="N9" s="27" t="str">
        <f ca="1">IF(G9="Всього:",SUM($N$4:N8),IF($E$5="UAH","",L9))</f>
        <v/>
      </c>
      <c r="O9" s="25">
        <f t="shared" ca="1" si="0"/>
        <v>359534.56291814783</v>
      </c>
      <c r="P9" s="33">
        <f t="shared" ca="1" si="1"/>
        <v>45993</v>
      </c>
      <c r="Q9" s="8">
        <f t="shared" ca="1" si="4"/>
        <v>33005</v>
      </c>
      <c r="W9" s="12" t="s">
        <v>407</v>
      </c>
      <c r="X9" s="12"/>
      <c r="Y9" s="12">
        <f>Калькулятор!N46</f>
        <v>33333.333333333328</v>
      </c>
    </row>
    <row r="10" spans="1:29" s="8" customFormat="1" ht="13.2" x14ac:dyDescent="0.25">
      <c r="A10" s="12" t="s">
        <v>356</v>
      </c>
      <c r="B10" s="16">
        <f ca="1">IF('Платоспроможність боржника'!I7="",B14,EDATE($C$4,'Платоспроможність боржника'!$H$7+'Платоспроможність боржника'!$I$7))</f>
        <v>48030</v>
      </c>
      <c r="F10" s="34">
        <f t="shared" ca="1" si="2"/>
        <v>12.99</v>
      </c>
      <c r="G10" s="23">
        <f t="shared" ca="1" si="5"/>
        <v>46024</v>
      </c>
      <c r="H10" s="24">
        <f t="shared" si="3"/>
        <v>6</v>
      </c>
      <c r="I10" s="25">
        <f ca="1">IF($G10="Всього:",SUM($I$4:I9),MAX($C$32,K10))</f>
        <v>33005</v>
      </c>
      <c r="J10" s="25">
        <f ca="1">IF($G10="Всього:",SUM($J$4:J9),IF(I10-SUM(K10:L10)&lt;0,0,I10-SUM(K10:L10)))</f>
        <v>28983.306301624751</v>
      </c>
      <c r="K10" s="25">
        <f ca="1">IF(G10="Всього:",SUM($K$5:K9),F10*O9/36000*(G10-G9))</f>
        <v>4021.6936983752485</v>
      </c>
      <c r="L10" s="25">
        <f ca="1">IF(G10="Всього:",SUM($L$5:L9),$E$4)</f>
        <v>0</v>
      </c>
      <c r="M10" s="25">
        <f ca="1">IF(G10="Всього:",SUM($M$5:M9),IF($E$5="UAH",J10+L10+K10,J10+K10))</f>
        <v>33005</v>
      </c>
      <c r="N10" s="27" t="str">
        <f ca="1">IF(G10="Всього:",SUM($N$4:N9),IF($E$5="UAH","",L10))</f>
        <v/>
      </c>
      <c r="O10" s="25">
        <f t="shared" ca="1" si="0"/>
        <v>330551.25661652308</v>
      </c>
      <c r="P10" s="33">
        <f t="shared" ca="1" si="1"/>
        <v>46024</v>
      </c>
      <c r="Q10" s="8">
        <f t="shared" ca="1" si="4"/>
        <v>33005</v>
      </c>
      <c r="W10" s="12" t="s">
        <v>408</v>
      </c>
      <c r="X10" s="12"/>
      <c r="Y10" s="39">
        <f ca="1">IF(E3=S2,XIRR($Q$4:$Q$16,$P$4:$P$16),IF(E3=S3,XIRR($Q$4:$Q$28,$P$4:$P$28),IF(E3=S4,XIRR($Q$4:$Q$40,$P$4:$P$40),IF(E3=S5,XIRR($Q$4:$Q$52,$P$4:$P$52),IF(E3=S6,XIRR($Q$4:$Q$64,$P$4:$P$64),IF(E3=S7,XIRR($Q$4:$Q$76,$P$4:$P$76),IF(E3=S8,XIRR($Q$4:$Q$88,$P$4:$P$88))))))))</f>
        <v>1.6861409783363344</v>
      </c>
    </row>
    <row r="11" spans="1:29" s="8" customFormat="1" ht="13.2" x14ac:dyDescent="0.25">
      <c r="A11" s="12" t="s">
        <v>357</v>
      </c>
      <c r="B11" s="16">
        <f ca="1">IF('Платоспроможність боржника'!J7="",B14,EDATE($C$4,'Платоспроможність боржника'!$H$7+'Платоспроможність боржника'!$I$7+'Платоспроможність боржника'!$J$7))</f>
        <v>48030</v>
      </c>
      <c r="F11" s="34">
        <f t="shared" ca="1" si="2"/>
        <v>12.99</v>
      </c>
      <c r="G11" s="23">
        <f t="shared" ca="1" si="5"/>
        <v>46055</v>
      </c>
      <c r="H11" s="24">
        <f t="shared" si="3"/>
        <v>7</v>
      </c>
      <c r="I11" s="25">
        <f ca="1">IF($G11="Всього:",SUM($I$4:I10),MAX($C$32,K11))</f>
        <v>33005</v>
      </c>
      <c r="J11" s="25">
        <f ca="1">IF($G11="Всього:",SUM($J$4:J10),IF(I11-SUM(K11:L11)&lt;0,0,I11-SUM(K11:L11)))</f>
        <v>29307.508735363677</v>
      </c>
      <c r="K11" s="25">
        <f ca="1">IF(G11="Всього:",SUM($K$5:K10),F11*O10/36000*(G11-G10))</f>
        <v>3697.4912646363246</v>
      </c>
      <c r="L11" s="25">
        <f ca="1">IF(G11="Всього:",SUM($L$5:L10),$E$4)</f>
        <v>0</v>
      </c>
      <c r="M11" s="25">
        <f ca="1">IF(G11="Всього:",SUM($M$5:M10),IF($E$5="UAH",J11+L11+K11,J11+K11))</f>
        <v>33005</v>
      </c>
      <c r="N11" s="27" t="str">
        <f ca="1">IF(G11="Всього:",SUM($N$4:N10),IF($E$5="UAH","",L11))</f>
        <v/>
      </c>
      <c r="O11" s="25">
        <f t="shared" ca="1" si="0"/>
        <v>301243.74788115942</v>
      </c>
      <c r="P11" s="33">
        <f t="shared" ca="1" si="1"/>
        <v>46055</v>
      </c>
      <c r="Q11" s="8">
        <f t="shared" ca="1" si="4"/>
        <v>33005</v>
      </c>
      <c r="R11" s="33"/>
      <c r="W11" s="12" t="s">
        <v>476</v>
      </c>
      <c r="X11" s="12"/>
      <c r="Y11" s="39" t="e">
        <f ca="1">AB2/AC2/E3*12</f>
        <v>#DIV/0!</v>
      </c>
    </row>
    <row r="12" spans="1:29" s="8" customFormat="1" ht="13.2" x14ac:dyDescent="0.25">
      <c r="F12" s="34">
        <f t="shared" ca="1" si="2"/>
        <v>12.99</v>
      </c>
      <c r="G12" s="23">
        <f t="shared" ca="1" si="5"/>
        <v>46083</v>
      </c>
      <c r="H12" s="24">
        <f t="shared" si="3"/>
        <v>8</v>
      </c>
      <c r="I12" s="25">
        <f ca="1">IF($G12="Всього:",SUM($I$4:I11),MAX($C$32,K12))</f>
        <v>33005</v>
      </c>
      <c r="J12" s="25">
        <f ca="1">IF($G12="Всього:",SUM($J$4:J11),IF(I12-SUM(K12:L12)&lt;0,0,I12-SUM(K12:L12)))</f>
        <v>29961.43400057402</v>
      </c>
      <c r="K12" s="25">
        <f ca="1">IF(G12="Всього:",SUM($K$5:K11),F12*O11/36000*(G12-G11))</f>
        <v>3043.5659994259809</v>
      </c>
      <c r="L12" s="25">
        <f ca="1">IF(G12="Всього:",SUM($L$5:L11),$E$4)</f>
        <v>0</v>
      </c>
      <c r="M12" s="25">
        <f ca="1">IF(G12="Всього:",SUM($M$5:M11),IF($E$5="UAH",J12+L12+K12,J12+K12))</f>
        <v>33005</v>
      </c>
      <c r="N12" s="27" t="str">
        <f ca="1">IF(G12="Всього:",SUM($N$4:N11),IF($E$5="UAH","",L12))</f>
        <v/>
      </c>
      <c r="O12" s="25">
        <f t="shared" ca="1" si="0"/>
        <v>271282.31388058543</v>
      </c>
      <c r="P12" s="33">
        <f t="shared" ca="1" si="1"/>
        <v>46083</v>
      </c>
      <c r="Q12" s="8">
        <f t="shared" ca="1" si="4"/>
        <v>33005</v>
      </c>
      <c r="R12" s="33"/>
      <c r="W12" s="12" t="s">
        <v>471</v>
      </c>
      <c r="X12" s="12"/>
      <c r="Y12" s="12">
        <f>Калькулятор!N43+Калькулятор!N37</f>
        <v>0</v>
      </c>
    </row>
    <row r="13" spans="1:29" s="8" customFormat="1" ht="13.2" x14ac:dyDescent="0.25">
      <c r="F13" s="34">
        <f t="shared" ca="1" si="2"/>
        <v>12.99</v>
      </c>
      <c r="G13" s="23">
        <f t="shared" ca="1" si="5"/>
        <v>46114</v>
      </c>
      <c r="H13" s="24">
        <f t="shared" si="3"/>
        <v>9</v>
      </c>
      <c r="I13" s="25">
        <f ca="1">IF($G13="Всього:",SUM($I$4:I12),MAX($C$32,K13))</f>
        <v>33005</v>
      </c>
      <c r="J13" s="25">
        <f ca="1">IF($G13="Всього:",SUM($J$4:J12),IF(I13-SUM(K13:L13)&lt;0,0,I13-SUM(K13:L13)))</f>
        <v>29970.481250650751</v>
      </c>
      <c r="K13" s="25">
        <f ca="1">IF(G13="Всього:",SUM($K$5:K12),F13*O12/36000*(G13-G12))</f>
        <v>3034.518749349249</v>
      </c>
      <c r="L13" s="25">
        <f ca="1">IF(G13="Всього:",SUM($L$5:L12),$E$4)</f>
        <v>0</v>
      </c>
      <c r="M13" s="25">
        <f ca="1">IF(G13="Всього:",SUM($M$5:M12),IF($E$5="UAH",J13+L13+K13,J13+K13))</f>
        <v>33005</v>
      </c>
      <c r="N13" s="27" t="str">
        <f ca="1">IF(G13="Всього:",SUM($N$4:N12),IF($E$5="UAH","",L13))</f>
        <v/>
      </c>
      <c r="O13" s="25">
        <f t="shared" ca="1" si="0"/>
        <v>241311.83262993468</v>
      </c>
      <c r="P13" s="33">
        <f t="shared" ca="1" si="1"/>
        <v>46114</v>
      </c>
      <c r="Q13" s="8">
        <f t="shared" ca="1" si="4"/>
        <v>33005</v>
      </c>
    </row>
    <row r="14" spans="1:29" s="8" customFormat="1" ht="13.2" x14ac:dyDescent="0.25">
      <c r="A14" s="12" t="s">
        <v>335</v>
      </c>
      <c r="B14" s="23">
        <f ca="1">EDATE($C$4,$E$3)-1</f>
        <v>48030</v>
      </c>
      <c r="F14" s="34">
        <f t="shared" ca="1" si="2"/>
        <v>12.99</v>
      </c>
      <c r="G14" s="23">
        <f t="shared" ca="1" si="5"/>
        <v>46144</v>
      </c>
      <c r="H14" s="24">
        <f t="shared" si="3"/>
        <v>10</v>
      </c>
      <c r="I14" s="25">
        <f ca="1">IF($G14="Всього:",SUM($I$4:I13),MAX($C$32,K14))</f>
        <v>33005</v>
      </c>
      <c r="J14" s="25">
        <f ca="1">IF($G14="Всього:",SUM($J$4:J13),IF(I14-SUM(K14:L14)&lt;0,0,I14-SUM(K14:L14)))</f>
        <v>30392.799411780958</v>
      </c>
      <c r="K14" s="25">
        <f ca="1">IF(G14="Всього:",SUM($K$5:K13),F14*O13/36000*(G14-G13))</f>
        <v>2612.2005882190429</v>
      </c>
      <c r="L14" s="25">
        <f ca="1">IF(G14="Всього:",SUM($L$5:L13),$E$4)</f>
        <v>0</v>
      </c>
      <c r="M14" s="25">
        <f ca="1">IF(G14="Всього:",SUM($M$5:M13),IF($E$5="UAH",J14+L14+K14,J14+K14))</f>
        <v>33005</v>
      </c>
      <c r="N14" s="27" t="str">
        <f ca="1">IF(G14="Всього:",SUM($N$4:N13),IF($E$5="UAH","",L14))</f>
        <v/>
      </c>
      <c r="O14" s="25">
        <f t="shared" ca="1" si="0"/>
        <v>210919.03321815372</v>
      </c>
      <c r="P14" s="33">
        <f t="shared" ca="1" si="1"/>
        <v>46144</v>
      </c>
      <c r="Q14" s="8">
        <f t="shared" ca="1" si="4"/>
        <v>33005</v>
      </c>
      <c r="T14" s="8">
        <v>315373.34000000003</v>
      </c>
      <c r="U14" s="8">
        <f>T14+Q4</f>
        <v>-94743.32666666666</v>
      </c>
      <c r="X14" s="8">
        <v>2500000</v>
      </c>
    </row>
    <row r="15" spans="1:29" s="8" customFormat="1" x14ac:dyDescent="0.3">
      <c r="A15"/>
      <c r="B15"/>
      <c r="F15" s="34">
        <f t="shared" ca="1" si="2"/>
        <v>12.99</v>
      </c>
      <c r="G15" s="23">
        <f t="shared" ca="1" si="5"/>
        <v>46175</v>
      </c>
      <c r="H15" s="24">
        <f t="shared" si="3"/>
        <v>11</v>
      </c>
      <c r="I15" s="25">
        <f ca="1">IF($G15="Всього:",SUM($I$4:I14),MAX($C$32,K15))</f>
        <v>33005</v>
      </c>
      <c r="J15" s="25">
        <f ca="1">IF($G15="Всього:",SUM($J$4:J14),IF(I15-SUM(K15:L15)&lt;0,0,I15-SUM(K15:L15)))</f>
        <v>30645.694847593935</v>
      </c>
      <c r="K15" s="25">
        <f ca="1">IF(G15="Всього:",SUM($K$5:K14),F15*O14/36000*(G15-G14))</f>
        <v>2359.3051524060647</v>
      </c>
      <c r="L15" s="25">
        <f ca="1">IF(G15="Всього:",SUM($L$5:L14),$E$4)</f>
        <v>0</v>
      </c>
      <c r="M15" s="25">
        <f ca="1">IF(G15="Всього:",SUM($M$5:M14),IF($E$5="UAH",J15+L15+K15,J15+K15))</f>
        <v>33005</v>
      </c>
      <c r="N15" s="27" t="str">
        <f ca="1">IF(G15="Всього:",SUM($N$4:N14),IF($E$5="UAH","",L15))</f>
        <v/>
      </c>
      <c r="O15" s="25">
        <f t="shared" ca="1" si="0"/>
        <v>180273.3383705598</v>
      </c>
      <c r="P15" s="33">
        <f t="shared" ca="1" si="1"/>
        <v>46175</v>
      </c>
      <c r="Q15" s="8">
        <f t="shared" ca="1" si="4"/>
        <v>33005</v>
      </c>
      <c r="U15" s="8">
        <f>400000-Y8-W13-Y6-Y5</f>
        <v>361716.66666666669</v>
      </c>
      <c r="X15" s="12"/>
      <c r="Y15" s="12">
        <v>12</v>
      </c>
      <c r="Z15" s="12">
        <v>24</v>
      </c>
      <c r="AA15" s="12">
        <v>36</v>
      </c>
      <c r="AB15" s="12">
        <v>48</v>
      </c>
      <c r="AC15" s="12">
        <v>60</v>
      </c>
    </row>
    <row r="16" spans="1:29" s="8" customFormat="1" x14ac:dyDescent="0.3">
      <c r="A16" s="1" t="s">
        <v>339</v>
      </c>
      <c r="B16" s="2">
        <f>IF(AND('Платоспроможність боржника'!H8="Змінна",'Платоспроможність боржника'!$H$5&lt;=24),'Платоспроможність боржника'!H6+0.5,IF(AND('Платоспроможність боржника'!H8="Змінна",'Платоспроможність боржника'!$H$5&gt;24,'Платоспроможність боржника'!$H$5&lt;=60),'Платоспроможність боржника'!H6+1,IF(AND('Платоспроможність боржника'!H8="Змінна",'Платоспроможність боржника'!$H$5&gt;60),'Платоспроможність боржника'!H6+2.5,'Платоспроможність боржника'!H6)))</f>
        <v>12.99</v>
      </c>
      <c r="C16" s="2">
        <f>IF(AND('Платоспроможність боржника'!I8="Змінна",'Платоспроможність боржника'!$H$5&lt;=24),'Платоспроможність боржника'!I6+0.5,IF(AND('Платоспроможність боржника'!I8="Змінна",'Платоспроможність боржника'!$H$5&gt;24,'Платоспроможність боржника'!$H$5&lt;=60),'Платоспроможність боржника'!I6+1,IF(AND('Платоспроможність боржника'!I8="Змінна",'Платоспроможність боржника'!$H$5&gt;60),'Платоспроможність боржника'!I6+2.5,'Платоспроможність боржника'!I6)))</f>
        <v>0</v>
      </c>
      <c r="D16" s="2">
        <f>IF(AND('Платоспроможність боржника'!J8="Змінна",'Платоспроможність боржника'!$H$5&lt;=24),'Платоспроможність боржника'!J6+0.5,IF(AND('Платоспроможність боржника'!J8="Змінна",'Платоспроможність боржника'!$H$5&gt;24,'Платоспроможність боржника'!$H$5&lt;=60),'Платоспроможність боржника'!J6+1,IF(AND('Платоспроможність боржника'!J8="Змінна",'Платоспроможність боржника'!$H$5&gt;60),'Платоспроможність боржника'!J6+2.5,'Платоспроможність боржника'!J6)))</f>
        <v>0</v>
      </c>
      <c r="E16" s="2">
        <f>IF(AND('Платоспроможність боржника'!K8="Змінна",'Платоспроможність боржника'!$H$5&lt;=24),'Платоспроможність боржника'!K6+0.5,IF(AND('Платоспроможність боржника'!K8="Змінна",'Платоспроможність боржника'!$H$5&gt;24,'Платоспроможність боржника'!$H$5&lt;=60),'Платоспроможність боржника'!K6+1,IF(AND('Платоспроможність боржника'!K8="Змінна",'Платоспроможність боржника'!$H$5&gt;60),'Платоспроможність боржника'!K6+2.5,'Платоспроможність боржника'!K6)))</f>
        <v>0</v>
      </c>
      <c r="F16" s="34">
        <f t="shared" ca="1" si="2"/>
        <v>12.99</v>
      </c>
      <c r="G16" s="23">
        <f t="shared" ca="1" si="5"/>
        <v>46205</v>
      </c>
      <c r="H16" s="24">
        <f t="shared" si="3"/>
        <v>12</v>
      </c>
      <c r="I16" s="25">
        <f ca="1">IF($G16="Всього:",SUM($I$4:I15),MAX($C$32,K16))</f>
        <v>33005</v>
      </c>
      <c r="J16" s="25">
        <f ca="1">IF($G16="Всього:",SUM($J$4:J15),IF(I16-SUM(K16:L16)&lt;0,0,I16-SUM(K16:L16)))</f>
        <v>31053.54111213869</v>
      </c>
      <c r="K16" s="25">
        <f ca="1">IF(G16="Всього:",SUM($K$5:K15),F16*O15/36000*(G16-G15))</f>
        <v>1951.4588878613099</v>
      </c>
      <c r="L16" s="25">
        <f ca="1">IF(G16="Всього:",SUM($L$5:L15),$E$4)</f>
        <v>0</v>
      </c>
      <c r="M16" s="25">
        <f ca="1">IF(G16="Всього:",SUM($M$5:M15),IF($E$5="UAH",J16+L16+K16,J16+K16))</f>
        <v>33005</v>
      </c>
      <c r="N16" s="27" t="str">
        <f ca="1">IF(G16="Всього:",SUM($N$4:N15),IF($E$5="UAH","",L16))</f>
        <v/>
      </c>
      <c r="O16" s="25">
        <f t="shared" ca="1" si="0"/>
        <v>149219.79725842111</v>
      </c>
      <c r="P16" s="33">
        <f t="shared" ca="1" si="1"/>
        <v>46205</v>
      </c>
      <c r="Q16" s="8">
        <f t="shared" ca="1" si="4"/>
        <v>82325</v>
      </c>
      <c r="X16" s="38">
        <v>0.3</v>
      </c>
      <c r="Y16" s="39">
        <v>0.5031669795513154</v>
      </c>
      <c r="Z16" s="39">
        <v>0.41802856326103222</v>
      </c>
      <c r="AA16" s="39">
        <v>0.38184147477149966</v>
      </c>
      <c r="AB16" s="39">
        <v>0.36427369713783264</v>
      </c>
      <c r="AC16" s="39">
        <v>0.34234673380851743</v>
      </c>
    </row>
    <row r="17" spans="1:36" s="8" customFormat="1" ht="13.2" x14ac:dyDescent="0.25">
      <c r="A17" s="11"/>
      <c r="B17" s="11"/>
      <c r="D17" s="33"/>
      <c r="F17" s="34">
        <f t="shared" ca="1" si="2"/>
        <v>12.99</v>
      </c>
      <c r="G17" s="23">
        <f t="shared" ca="1" si="5"/>
        <v>46236</v>
      </c>
      <c r="H17" s="24">
        <f t="shared" si="3"/>
        <v>13</v>
      </c>
      <c r="I17" s="25">
        <f ca="1">IF($G17="Всього:",SUM($I$4:I16),MAX($C$32,K17))</f>
        <v>33005</v>
      </c>
      <c r="J17" s="25">
        <f ca="1">IF($G17="Всього:",SUM($J$4:J16),IF(I17-SUM(K17:L17)&lt;0,0,I17-SUM(K17:L17)))</f>
        <v>31335.852217833512</v>
      </c>
      <c r="K17" s="25">
        <f ca="1">IF(G17="Всього:",SUM($K$5:K16),F17*O16/36000*(G17-G16))</f>
        <v>1669.1477821664889</v>
      </c>
      <c r="L17" s="25">
        <f ca="1">IF(G17="Всього:",SUM($L$5:L16),$E$4)</f>
        <v>0</v>
      </c>
      <c r="M17" s="25">
        <f ca="1">IF(G17="Всього:",SUM($M$5:M16),IF($E$5="UAH",J17+L17+K17,J17+K17))</f>
        <v>33005</v>
      </c>
      <c r="N17" s="27" t="str">
        <f ca="1">IF(G17="Всього:",SUM($N$4:N16),IF($E$5="UAH","",L17))</f>
        <v/>
      </c>
      <c r="O17" s="25">
        <f t="shared" ca="1" si="0"/>
        <v>117883.9450405876</v>
      </c>
      <c r="P17" s="33">
        <f t="shared" ca="1" si="1"/>
        <v>46236</v>
      </c>
      <c r="Q17" s="8">
        <f t="shared" ca="1" si="4"/>
        <v>33005</v>
      </c>
      <c r="R17" s="8">
        <f>IF(E8&gt;H17,$AA$7*0.9*5.48%,"")</f>
        <v>49320</v>
      </c>
      <c r="X17" s="38">
        <v>0.4</v>
      </c>
      <c r="Y17" s="39">
        <v>0.58652825951576248</v>
      </c>
      <c r="Z17" s="39">
        <v>0.47590692639350884</v>
      </c>
      <c r="AA17" s="39">
        <v>0.4290104568004609</v>
      </c>
      <c r="AB17" s="39">
        <v>0.40521309971809383</v>
      </c>
      <c r="AC17" s="39">
        <v>0.37881106734275816</v>
      </c>
    </row>
    <row r="18" spans="1:36" s="8" customFormat="1" ht="13.2" x14ac:dyDescent="0.25">
      <c r="A18" s="59" t="s">
        <v>468</v>
      </c>
      <c r="B18" s="12">
        <v>0</v>
      </c>
      <c r="C18" s="8" t="s">
        <v>469</v>
      </c>
      <c r="D18" s="33"/>
      <c r="F18" s="34">
        <f t="shared" ca="1" si="2"/>
        <v>12.99</v>
      </c>
      <c r="G18" s="23">
        <f t="shared" ca="1" si="5"/>
        <v>46267</v>
      </c>
      <c r="H18" s="24">
        <f t="shared" si="3"/>
        <v>14</v>
      </c>
      <c r="I18" s="25">
        <f ca="1">IF($G18="Всього:",SUM($I$4:I17),MAX($C$32,K18))</f>
        <v>33005</v>
      </c>
      <c r="J18" s="25">
        <f ca="1">IF($G18="Всього:",SUM($J$4:J17),IF(I18-SUM(K18:L18)&lt;0,0,I18-SUM(K18:L18)))</f>
        <v>31686.36983810016</v>
      </c>
      <c r="K18" s="25">
        <f ca="1">IF(G18="Всього:",SUM($K$5:K17),F18*O17/36000*(G18-G17))</f>
        <v>1318.6301618998395</v>
      </c>
      <c r="L18" s="25">
        <f ca="1">IF(G18="Всього:",SUM($L$5:L17),$E$4)</f>
        <v>0</v>
      </c>
      <c r="M18" s="25">
        <f ca="1">IF(G18="Всього:",SUM($M$5:M17),IF($E$5="UAH",J18+L18+K18,J18+K18))</f>
        <v>33005</v>
      </c>
      <c r="N18" s="27" t="str">
        <f ca="1">IF(G18="Всього:",SUM($N$4:N17),IF($E$5="UAH","",L18))</f>
        <v/>
      </c>
      <c r="O18" s="25">
        <f t="shared" ca="1" si="0"/>
        <v>86197.575202487438</v>
      </c>
      <c r="P18" s="33">
        <f t="shared" ca="1" si="1"/>
        <v>46267</v>
      </c>
      <c r="Q18" s="8">
        <f t="shared" ca="1" si="4"/>
        <v>33005</v>
      </c>
      <c r="X18" s="38">
        <v>0.5</v>
      </c>
      <c r="Y18" s="39">
        <v>0.68025726675987241</v>
      </c>
      <c r="Z18" s="39">
        <v>0.5324063837528229</v>
      </c>
      <c r="AA18" s="39">
        <v>0.47051922678947455</v>
      </c>
      <c r="AB18" s="39">
        <v>0.4450954377651215</v>
      </c>
      <c r="AC18" s="39">
        <v>0.41931223273277296</v>
      </c>
      <c r="AE18" s="12"/>
      <c r="AF18" s="12">
        <v>12</v>
      </c>
      <c r="AG18" s="12">
        <v>24</v>
      </c>
      <c r="AH18" s="12">
        <v>36</v>
      </c>
      <c r="AI18" s="12">
        <v>48</v>
      </c>
      <c r="AJ18" s="12">
        <v>60</v>
      </c>
    </row>
    <row r="19" spans="1:36" s="8" customFormat="1" ht="13.2" x14ac:dyDescent="0.25">
      <c r="A19" s="59" t="s">
        <v>467</v>
      </c>
      <c r="B19" s="59">
        <v>0</v>
      </c>
      <c r="C19" s="11"/>
      <c r="D19" s="11"/>
      <c r="E19" s="11"/>
      <c r="F19" s="34">
        <f t="shared" ca="1" si="2"/>
        <v>12.99</v>
      </c>
      <c r="G19" s="23">
        <f t="shared" ca="1" si="5"/>
        <v>46297</v>
      </c>
      <c r="H19" s="24">
        <f t="shared" si="3"/>
        <v>15</v>
      </c>
      <c r="I19" s="25">
        <f ca="1">IF($G19="Всього:",SUM($I$4:I18),MAX($C$32,K19))</f>
        <v>33005</v>
      </c>
      <c r="J19" s="25">
        <f ca="1">IF($G19="Всього:",SUM($J$4:J18),IF(I19-SUM(K19:L19)&lt;0,0,I19-SUM(K19:L19)))</f>
        <v>32071.911248433073</v>
      </c>
      <c r="K19" s="25">
        <f ca="1">IF(G19="Всього:",SUM($K$5:K18),F19*O18/36000*(G19-G18))</f>
        <v>933.08875156692659</v>
      </c>
      <c r="L19" s="25">
        <f ca="1">IF(G19="Всього:",SUM($L$5:L18),$E$4)</f>
        <v>0</v>
      </c>
      <c r="M19" s="25">
        <f ca="1">IF(G19="Всього:",SUM($M$5:M18),IF($E$5="UAH",J19+L19+K19,J19+K19))</f>
        <v>33005</v>
      </c>
      <c r="N19" s="27" t="str">
        <f ca="1">IF(G19="Всього:",SUM($N$4:N18),IF($E$5="UAH","",L19))</f>
        <v/>
      </c>
      <c r="O19" s="25">
        <f t="shared" ca="1" si="0"/>
        <v>54125.663954054369</v>
      </c>
      <c r="P19" s="33">
        <f t="shared" ca="1" si="1"/>
        <v>46297</v>
      </c>
      <c r="Q19" s="8">
        <f t="shared" ca="1" si="4"/>
        <v>33005</v>
      </c>
      <c r="X19" s="38">
        <v>0.6</v>
      </c>
      <c r="Y19" s="39">
        <v>0.90652958154678331</v>
      </c>
      <c r="Z19" s="39">
        <v>0.67983477711677565</v>
      </c>
      <c r="AA19" s="39">
        <v>0.58729538321495067</v>
      </c>
      <c r="AB19" s="39">
        <v>0.54553504586219803</v>
      </c>
      <c r="AC19" s="39">
        <v>0.50855534672737124</v>
      </c>
      <c r="AE19" s="38">
        <v>0.3</v>
      </c>
      <c r="AF19" s="39">
        <f>Y16-Y23</f>
        <v>7.8902566432953403E-2</v>
      </c>
      <c r="AG19" s="39">
        <f t="shared" ref="AG19:AJ23" si="6">Z16-Z23</f>
        <v>0.41802856326103222</v>
      </c>
      <c r="AH19" s="39">
        <f t="shared" si="6"/>
        <v>0.38184147477149966</v>
      </c>
      <c r="AI19" s="39">
        <f t="shared" si="6"/>
        <v>0.36427369713783264</v>
      </c>
      <c r="AJ19" s="39">
        <f t="shared" si="6"/>
        <v>0.34234673380851743</v>
      </c>
    </row>
    <row r="20" spans="1:36" s="8" customFormat="1" ht="13.2" x14ac:dyDescent="0.25">
      <c r="A20" s="11"/>
      <c r="B20" s="11"/>
      <c r="C20" s="11"/>
      <c r="D20" s="11"/>
      <c r="E20" s="11"/>
      <c r="F20" s="34">
        <f t="shared" ca="1" si="2"/>
        <v>12.99</v>
      </c>
      <c r="G20" s="23">
        <f t="shared" ca="1" si="5"/>
        <v>46328</v>
      </c>
      <c r="H20" s="24">
        <f t="shared" si="3"/>
        <v>16</v>
      </c>
      <c r="I20" s="25">
        <f ca="1">IF($G20="Всього:",SUM($I$4:I19),MAX($C$32,K20))</f>
        <v>33005</v>
      </c>
      <c r="J20" s="25">
        <f ca="1">IF($G20="Всього:",SUM($J$4:J19),IF(I20-SUM(K20:L20)&lt;0,0,I20-SUM(K20:L20)))</f>
        <v>32399.559343953941</v>
      </c>
      <c r="K20" s="25">
        <f ca="1">IF(G20="Всього:",SUM($K$5:K19),F20*O19/36000*(G20-G19))</f>
        <v>605.44065604605987</v>
      </c>
      <c r="L20" s="25">
        <f ca="1">IF(G20="Всього:",SUM($L$5:L19),$E$4)</f>
        <v>0</v>
      </c>
      <c r="M20" s="25">
        <f ca="1">IF(G20="Всього:",SUM($M$5:M19),IF($E$5="UAH",J20+L20+K20,J20+K20))</f>
        <v>33005</v>
      </c>
      <c r="N20" s="27" t="str">
        <f ca="1">IF(G20="Всього:",SUM($N$4:N19),IF($E$5="UAH","",L20))</f>
        <v/>
      </c>
      <c r="O20" s="25">
        <f t="shared" ca="1" si="0"/>
        <v>21726.104610100429</v>
      </c>
      <c r="P20" s="33">
        <f t="shared" ca="1" si="1"/>
        <v>46328</v>
      </c>
      <c r="Q20" s="8">
        <f t="shared" ca="1" si="4"/>
        <v>33005</v>
      </c>
      <c r="S20" s="8">
        <v>1000000</v>
      </c>
      <c r="T20" s="37">
        <v>0.6</v>
      </c>
      <c r="U20" s="36">
        <v>1.3134657263755802</v>
      </c>
      <c r="X20" s="39">
        <v>0.7</v>
      </c>
      <c r="Y20" s="39">
        <v>1.4162575364112855</v>
      </c>
      <c r="Z20" s="39">
        <v>0.98824604749679579</v>
      </c>
      <c r="AA20" s="39">
        <v>0.82415474653244014</v>
      </c>
      <c r="AB20" s="39">
        <v>0.74648195505142212</v>
      </c>
      <c r="AC20" s="39">
        <v>0.68604734539985657</v>
      </c>
      <c r="AE20" s="38">
        <v>0.4</v>
      </c>
      <c r="AF20" s="39">
        <f t="shared" ref="AF20:AF23" si="7">Y17-Y24</f>
        <v>0.58652825951576248</v>
      </c>
      <c r="AG20" s="39">
        <f t="shared" si="6"/>
        <v>0.47590692639350884</v>
      </c>
      <c r="AH20" s="39">
        <f t="shared" si="6"/>
        <v>0.4290104568004609</v>
      </c>
      <c r="AI20" s="39">
        <f t="shared" si="6"/>
        <v>0.40521309971809383</v>
      </c>
      <c r="AJ20" s="39">
        <f t="shared" si="6"/>
        <v>0.37881106734275816</v>
      </c>
    </row>
    <row r="21" spans="1:36" s="8" customFormat="1" ht="13.2" x14ac:dyDescent="0.25">
      <c r="A21" s="11"/>
      <c r="B21" s="11"/>
      <c r="C21" s="11"/>
      <c r="D21" s="11"/>
      <c r="E21" s="11"/>
      <c r="F21" s="34">
        <f t="shared" ca="1" si="2"/>
        <v>12.99</v>
      </c>
      <c r="G21" s="23">
        <f t="shared" ca="1" si="5"/>
        <v>46358</v>
      </c>
      <c r="H21" s="24">
        <f t="shared" si="3"/>
        <v>17</v>
      </c>
      <c r="I21" s="25">
        <f ca="1">IF($G21="Всього:",SUM($I$4:I20),MAX($C$32,K21))</f>
        <v>33005</v>
      </c>
      <c r="J21" s="25">
        <f ca="1">IF($G21="Всього:",SUM($J$4:J20),IF(I21-SUM(K21:L21)&lt;0,0,I21-SUM(K21:L21)))</f>
        <v>32769.814917595664</v>
      </c>
      <c r="K21" s="25">
        <f ca="1">IF(G21="Всього:",SUM($K$5:K20),F21*O20/36000*(G21-G20))</f>
        <v>235.18508240433715</v>
      </c>
      <c r="L21" s="25">
        <f ca="1">IF(G21="Всього:",SUM($L$5:L20),$E$4)</f>
        <v>0</v>
      </c>
      <c r="M21" s="25">
        <f ca="1">IF(G21="Всього:",SUM($M$5:M20),IF($E$5="UAH",J21+L21+K21,J21+K21))</f>
        <v>33005</v>
      </c>
      <c r="N21" s="27" t="str">
        <f ca="1">IF(G21="Всього:",SUM($N$4:N20),IF($E$5="UAH","",L21))</f>
        <v/>
      </c>
      <c r="O21" s="25">
        <f t="shared" ca="1" si="0"/>
        <v>-11043.710307495236</v>
      </c>
      <c r="P21" s="33">
        <f t="shared" ca="1" si="1"/>
        <v>46358</v>
      </c>
      <c r="Q21" s="8">
        <f t="shared" ca="1" si="4"/>
        <v>33005</v>
      </c>
      <c r="S21" s="8">
        <v>1000000</v>
      </c>
      <c r="T21" s="37">
        <v>0.7</v>
      </c>
      <c r="U21" s="36">
        <v>2.0895696401596076</v>
      </c>
      <c r="X21" s="8">
        <v>100000</v>
      </c>
      <c r="AE21" s="38">
        <v>0.5</v>
      </c>
      <c r="AF21" s="39">
        <f t="shared" si="7"/>
        <v>0.68025726675987241</v>
      </c>
      <c r="AG21" s="39">
        <f t="shared" si="6"/>
        <v>0.5324063837528229</v>
      </c>
      <c r="AH21" s="39">
        <f t="shared" si="6"/>
        <v>0.47051922678947455</v>
      </c>
      <c r="AI21" s="39">
        <f t="shared" si="6"/>
        <v>0.4450954377651215</v>
      </c>
      <c r="AJ21" s="39">
        <f t="shared" si="6"/>
        <v>0.41931223273277296</v>
      </c>
    </row>
    <row r="22" spans="1:36" s="8" customFormat="1" ht="13.2" x14ac:dyDescent="0.25">
      <c r="A22" s="11"/>
      <c r="B22" s="11"/>
      <c r="C22" s="11"/>
      <c r="D22" s="11"/>
      <c r="E22" s="11"/>
      <c r="F22" s="34">
        <f t="shared" ca="1" si="2"/>
        <v>12.99</v>
      </c>
      <c r="G22" s="23">
        <f t="shared" ca="1" si="5"/>
        <v>46389</v>
      </c>
      <c r="H22" s="24">
        <f t="shared" si="3"/>
        <v>18</v>
      </c>
      <c r="I22" s="25">
        <f ca="1">IF($G22="Всього:",SUM($I$4:I21),MAX($C$32,K22))</f>
        <v>33005</v>
      </c>
      <c r="J22" s="25">
        <f ca="1">IF($G22="Всього:",SUM($J$4:J21),IF(I22-SUM(K22:L22)&lt;0,0,I22-SUM(K22:L22)))</f>
        <v>33128.533102881258</v>
      </c>
      <c r="K22" s="25">
        <f ca="1">IF(G22="Всього:",SUM($K$5:K21),F22*O21/36000*(G22-G21))</f>
        <v>-123.53310288125711</v>
      </c>
      <c r="L22" s="25">
        <f ca="1">IF(G22="Всього:",SUM($L$5:L21),$E$4)</f>
        <v>0</v>
      </c>
      <c r="M22" s="25">
        <f ca="1">IF(G22="Всього:",SUM($M$5:M21),IF($E$5="UAH",J22+L22+K22,J22+K22))</f>
        <v>33005</v>
      </c>
      <c r="N22" s="27" t="str">
        <f ca="1">IF(G22="Всього:",SUM($N$4:N21),IF($E$5="UAH","",L22))</f>
        <v/>
      </c>
      <c r="O22" s="25">
        <f t="shared" ca="1" si="0"/>
        <v>-44172.243410376497</v>
      </c>
      <c r="P22" s="33">
        <f t="shared" ca="1" si="1"/>
        <v>46389</v>
      </c>
      <c r="Q22" s="8">
        <f t="shared" ca="1" si="4"/>
        <v>33005</v>
      </c>
      <c r="S22" s="8">
        <v>800000</v>
      </c>
      <c r="T22" s="37">
        <v>0.6</v>
      </c>
      <c r="U22" s="36">
        <v>1.1979806542396547</v>
      </c>
      <c r="X22" s="12"/>
      <c r="Y22" s="12">
        <v>12</v>
      </c>
      <c r="Z22" s="12">
        <v>24</v>
      </c>
      <c r="AA22" s="12">
        <v>36</v>
      </c>
      <c r="AB22" s="12">
        <v>48</v>
      </c>
      <c r="AC22" s="12">
        <v>60</v>
      </c>
      <c r="AE22" s="38">
        <v>0.6</v>
      </c>
      <c r="AF22" s="39">
        <f t="shared" si="7"/>
        <v>0.90652958154678331</v>
      </c>
      <c r="AG22" s="39">
        <f t="shared" si="6"/>
        <v>0.67983477711677565</v>
      </c>
      <c r="AH22" s="39">
        <f t="shared" si="6"/>
        <v>0.58729538321495067</v>
      </c>
      <c r="AI22" s="39">
        <f t="shared" si="6"/>
        <v>0.54553504586219803</v>
      </c>
      <c r="AJ22" s="39">
        <f t="shared" si="6"/>
        <v>0.50855534672737124</v>
      </c>
    </row>
    <row r="23" spans="1:36" s="8" customFormat="1" ht="13.2" x14ac:dyDescent="0.25">
      <c r="A23" s="11"/>
      <c r="B23" s="11"/>
      <c r="C23" s="11"/>
      <c r="D23" s="11"/>
      <c r="E23" s="11"/>
      <c r="F23" s="34">
        <f t="shared" ca="1" si="2"/>
        <v>12.99</v>
      </c>
      <c r="G23" s="23">
        <f t="shared" ca="1" si="5"/>
        <v>46420</v>
      </c>
      <c r="H23" s="24">
        <f t="shared" si="3"/>
        <v>19</v>
      </c>
      <c r="I23" s="25">
        <f ca="1">IF($G23="Всього:",SUM($I$4:I22),MAX($C$32,K23))</f>
        <v>33005</v>
      </c>
      <c r="J23" s="25">
        <f ca="1">IF($G23="Всього:",SUM($J$4:J22),IF(I23-SUM(K23:L23)&lt;0,0,I23-SUM(K23:L23)))</f>
        <v>33499.103352747901</v>
      </c>
      <c r="K23" s="25">
        <f ca="1">IF(G23="Всього:",SUM($K$5:K22),F23*O22/36000*(G23-G22))</f>
        <v>-494.10335274790305</v>
      </c>
      <c r="L23" s="25">
        <f ca="1">IF(G23="Всього:",SUM($L$5:L22),$E$4)</f>
        <v>0</v>
      </c>
      <c r="M23" s="25">
        <f ca="1">IF(G23="Всього:",SUM($M$5:M22),IF($E$5="UAH",J23+L23+K23,J23+K23))</f>
        <v>33005</v>
      </c>
      <c r="N23" s="27" t="str">
        <f ca="1">IF(G23="Всього:",SUM($N$4:N22),IF($E$5="UAH","",L23))</f>
        <v/>
      </c>
      <c r="O23" s="25">
        <f t="shared" ca="1" si="0"/>
        <v>-77671.346763124398</v>
      </c>
      <c r="P23" s="33">
        <f t="shared" ca="1" si="1"/>
        <v>46420</v>
      </c>
      <c r="Q23" s="8">
        <f t="shared" ca="1" si="4"/>
        <v>33005</v>
      </c>
      <c r="S23" s="8">
        <v>800000</v>
      </c>
      <c r="T23" s="37">
        <v>0.7</v>
      </c>
      <c r="U23" s="36">
        <v>1.8118246674537661</v>
      </c>
      <c r="X23" s="38">
        <v>0.3</v>
      </c>
      <c r="Y23" s="39">
        <v>0.42426441311836199</v>
      </c>
      <c r="Z23" s="39"/>
      <c r="AA23" s="39"/>
      <c r="AB23" s="39"/>
      <c r="AC23" s="39"/>
      <c r="AE23" s="39">
        <v>0.7</v>
      </c>
      <c r="AF23" s="39">
        <f t="shared" si="7"/>
        <v>0.37253518104553218</v>
      </c>
      <c r="AG23" s="39">
        <f t="shared" si="6"/>
        <v>0.98824604749679579</v>
      </c>
      <c r="AH23" s="39">
        <f t="shared" si="6"/>
        <v>0.82415474653244014</v>
      </c>
      <c r="AI23" s="39">
        <f t="shared" si="6"/>
        <v>0.74648195505142212</v>
      </c>
      <c r="AJ23" s="39">
        <f t="shared" si="6"/>
        <v>0.68604734539985657</v>
      </c>
    </row>
    <row r="24" spans="1:36" s="8" customFormat="1" ht="13.2" x14ac:dyDescent="0.25">
      <c r="A24" s="11"/>
      <c r="B24" s="11"/>
      <c r="C24" s="11"/>
      <c r="D24" s="11"/>
      <c r="E24" s="11"/>
      <c r="F24" s="34">
        <f t="shared" ca="1" si="2"/>
        <v>12.99</v>
      </c>
      <c r="G24" s="23">
        <f t="shared" ca="1" si="5"/>
        <v>46448</v>
      </c>
      <c r="H24" s="24">
        <f t="shared" si="3"/>
        <v>20</v>
      </c>
      <c r="I24" s="25">
        <f ca="1">IF($G24="Всього:",SUM($I$4:I23),MAX($C$32,K24))</f>
        <v>33005</v>
      </c>
      <c r="J24" s="25">
        <f ca="1">IF($G24="Всього:",SUM($J$4:J23),IF(I24-SUM(K24:L24)&lt;0,0,I24-SUM(K24:L24)))</f>
        <v>33789.739506796766</v>
      </c>
      <c r="K24" s="25">
        <f ca="1">IF(G24="Всього:",SUM($K$5:K23),F24*O23/36000*(G24-G23))</f>
        <v>-784.73950679676682</v>
      </c>
      <c r="L24" s="25">
        <f ca="1">IF(G24="Всього:",SUM($L$5:L23),$E$4)</f>
        <v>0</v>
      </c>
      <c r="M24" s="25">
        <f ca="1">IF(G24="Всього:",SUM($M$5:M23),IF($E$5="UAH",J24+L24+K24,J24+K24))</f>
        <v>33005</v>
      </c>
      <c r="N24" s="27" t="str">
        <f ca="1">IF(G24="Всього:",SUM($N$4:N23),IF($E$5="UAH","",L24))</f>
        <v/>
      </c>
      <c r="O24" s="25">
        <f t="shared" ca="1" si="0"/>
        <v>-111461.08626992116</v>
      </c>
      <c r="P24" s="33">
        <f t="shared" ca="1" si="1"/>
        <v>46448</v>
      </c>
      <c r="Q24" s="8">
        <f t="shared" ca="1" si="4"/>
        <v>33005</v>
      </c>
      <c r="S24" s="32"/>
      <c r="X24" s="38">
        <v>0.4</v>
      </c>
      <c r="Y24" s="39"/>
      <c r="Z24" s="39"/>
      <c r="AA24" s="39"/>
      <c r="AB24" s="39"/>
      <c r="AC24" s="39"/>
    </row>
    <row r="25" spans="1:36" s="8" customFormat="1" ht="13.2" x14ac:dyDescent="0.25">
      <c r="A25" s="11"/>
      <c r="B25" s="11"/>
      <c r="C25" s="11"/>
      <c r="D25" s="11"/>
      <c r="E25" s="11"/>
      <c r="F25" s="34">
        <f t="shared" ca="1" si="2"/>
        <v>12.99</v>
      </c>
      <c r="G25" s="23">
        <f t="shared" ca="1" si="5"/>
        <v>46479</v>
      </c>
      <c r="H25" s="24">
        <f t="shared" si="3"/>
        <v>21</v>
      </c>
      <c r="I25" s="25">
        <f ca="1">IF($G25="Всього:",SUM($I$4:I24),MAX($C$32,K25))</f>
        <v>33005</v>
      </c>
      <c r="J25" s="25">
        <f ca="1">IF($G25="Всього:",SUM($J$4:J24),IF(I25-SUM(K25:L25)&lt;0,0,I25-SUM(K25:L25)))</f>
        <v>34251.785134167629</v>
      </c>
      <c r="K25" s="25">
        <f ca="1">IF(G25="Всього:",SUM($K$5:K24),F25*O24/36000*(G25-G24))</f>
        <v>-1246.7851341676264</v>
      </c>
      <c r="L25" s="25">
        <f ca="1">IF(G25="Всього:",SUM($L$5:L24),$E$4)</f>
        <v>0</v>
      </c>
      <c r="M25" s="25">
        <f ca="1">IF(G25="Всього:",SUM($M$5:M24),IF($E$5="UAH",J25+L25+K25,J25+K25))</f>
        <v>33005</v>
      </c>
      <c r="N25" s="27" t="str">
        <f ca="1">IF(G25="Всього:",SUM($N$4:N24),IF($E$5="UAH","",L25))</f>
        <v/>
      </c>
      <c r="O25" s="25">
        <f t="shared" ca="1" si="0"/>
        <v>-145712.8714040888</v>
      </c>
      <c r="P25" s="33">
        <f t="shared" ca="1" si="1"/>
        <v>46479</v>
      </c>
      <c r="Q25" s="8">
        <f t="shared" ca="1" si="4"/>
        <v>33005</v>
      </c>
      <c r="X25" s="38">
        <v>0.5</v>
      </c>
      <c r="Y25" s="39"/>
      <c r="Z25" s="39"/>
      <c r="AA25" s="39"/>
      <c r="AB25" s="39"/>
      <c r="AC25" s="39"/>
    </row>
    <row r="26" spans="1:36" s="8" customFormat="1" ht="13.2" x14ac:dyDescent="0.25">
      <c r="A26" s="11"/>
      <c r="B26" s="11"/>
      <c r="C26" s="11"/>
      <c r="D26" s="11"/>
      <c r="E26" s="11"/>
      <c r="F26" s="34">
        <f t="shared" ca="1" si="2"/>
        <v>12.99</v>
      </c>
      <c r="G26" s="23">
        <f t="shared" ca="1" si="5"/>
        <v>46509</v>
      </c>
      <c r="H26" s="24">
        <f t="shared" si="3"/>
        <v>22</v>
      </c>
      <c r="I26" s="25">
        <f ca="1">IF($G26="Всього:",SUM($I$4:I25),MAX($C$32,K26))</f>
        <v>33005</v>
      </c>
      <c r="J26" s="25">
        <f ca="1">IF($G26="Всього:",SUM($J$4:J25),IF(I26-SUM(K26:L26)&lt;0,0,I26-SUM(K26:L26)))</f>
        <v>34582.341832949263</v>
      </c>
      <c r="K26" s="25">
        <f ca="1">IF(G26="Всього:",SUM($K$5:K25),F26*O25/36000*(G26-G25))</f>
        <v>-1577.3418329492613</v>
      </c>
      <c r="L26" s="25">
        <f ca="1">IF(G26="Всього:",SUM($L$5:L25),$E$4)</f>
        <v>0</v>
      </c>
      <c r="M26" s="25">
        <f ca="1">IF(G26="Всього:",SUM($M$5:M25),IF($E$5="UAH",J26+L26+K26,J26+K26))</f>
        <v>33005</v>
      </c>
      <c r="N26" s="27" t="str">
        <f ca="1">IF(G26="Всього:",SUM($N$4:N25),IF($E$5="UAH","",L26))</f>
        <v/>
      </c>
      <c r="O26" s="25">
        <f t="shared" ca="1" si="0"/>
        <v>-180295.21323703806</v>
      </c>
      <c r="P26" s="33">
        <f t="shared" ca="1" si="1"/>
        <v>46509</v>
      </c>
      <c r="Q26" s="8">
        <f t="shared" ca="1" si="4"/>
        <v>33005</v>
      </c>
      <c r="X26" s="38">
        <v>0.6</v>
      </c>
      <c r="Y26" s="39"/>
      <c r="Z26" s="39"/>
      <c r="AA26" s="39"/>
      <c r="AB26" s="39"/>
      <c r="AC26" s="39"/>
    </row>
    <row r="27" spans="1:36" s="8" customFormat="1" ht="13.2" x14ac:dyDescent="0.25">
      <c r="A27" s="11"/>
      <c r="B27" s="11"/>
      <c r="C27" s="11"/>
      <c r="D27" s="11"/>
      <c r="E27" s="11"/>
      <c r="F27" s="34">
        <f t="shared" ca="1" si="2"/>
        <v>12.99</v>
      </c>
      <c r="G27" s="23">
        <f t="shared" ca="1" si="5"/>
        <v>46540</v>
      </c>
      <c r="H27" s="24">
        <f t="shared" si="3"/>
        <v>23</v>
      </c>
      <c r="I27" s="25">
        <f ca="1">IF($G27="Всього:",SUM($I$4:I26),MAX($C$32,K27))</f>
        <v>33005</v>
      </c>
      <c r="J27" s="25">
        <f ca="1">IF($G27="Всього:",SUM($J$4:J26),IF(I27-SUM(K27:L27)&lt;0,0,I27-SUM(K27:L27)))</f>
        <v>35021.7522060673</v>
      </c>
      <c r="K27" s="25">
        <f ca="1">IF(G27="Всього:",SUM($K$5:K26),F27*O26/36000*(G27-G26))</f>
        <v>-2016.7522060673018</v>
      </c>
      <c r="L27" s="25">
        <f ca="1">IF(G27="Всього:",SUM($L$5:L26),$E$4)</f>
        <v>0</v>
      </c>
      <c r="M27" s="25">
        <f ca="1">IF(G27="Всього:",SUM($M$5:M26),IF($E$5="UAH",J27+L27+K27,J27+K27))</f>
        <v>33005</v>
      </c>
      <c r="N27" s="27" t="str">
        <f ca="1">IF(G27="Всього:",SUM($N$4:N26),IF($E$5="UAH","",L27))</f>
        <v/>
      </c>
      <c r="O27" s="25">
        <f t="shared" ca="1" si="0"/>
        <v>-215316.96544310535</v>
      </c>
      <c r="P27" s="33">
        <f t="shared" ca="1" si="1"/>
        <v>46540</v>
      </c>
      <c r="Q27" s="8">
        <f t="shared" ca="1" si="4"/>
        <v>33005</v>
      </c>
      <c r="X27" s="39">
        <v>0.7</v>
      </c>
      <c r="Y27" s="39">
        <v>1.0437223553657533</v>
      </c>
      <c r="Z27" s="39"/>
      <c r="AA27" s="39"/>
      <c r="AB27" s="39"/>
      <c r="AC27" s="39"/>
      <c r="AG27" s="40"/>
    </row>
    <row r="28" spans="1:36" s="8" customFormat="1" ht="13.2" x14ac:dyDescent="0.25">
      <c r="F28" s="34">
        <f t="shared" ca="1" si="2"/>
        <v>12.99</v>
      </c>
      <c r="G28" s="23">
        <f ca="1">IF(H27=$E$3,"Всього:",IF($E$3=H28,$B$14,DATE(YEAR(G27),MONTH(G27)+1,IF($B$7&lt;&gt;"",DAY(IF($B$7&gt;DAY(EOMONTH(G27,1)),EOMONTH(G27,1),$B$7)),DAY(1)))))</f>
        <v>46570</v>
      </c>
      <c r="H28" s="24">
        <f t="shared" si="3"/>
        <v>24</v>
      </c>
      <c r="I28" s="25">
        <v>33016.529340613146</v>
      </c>
      <c r="J28" s="25">
        <f ca="1">IF($G28="Всього:",SUM($J$4:J27),IF(I28-SUM(K28:L28)&lt;0,0,I28-SUM(K28:L28)))</f>
        <v>35347.335491534759</v>
      </c>
      <c r="K28" s="25">
        <f ca="1">IF(G28="Всього:",SUM($K$5:K27),F28*O27/36000*(G28-G27))</f>
        <v>-2330.8061509216154</v>
      </c>
      <c r="L28" s="25">
        <f ca="1">IF(G28="Всього:",SUM($L$5:L27),$E$4)</f>
        <v>0</v>
      </c>
      <c r="M28" s="25">
        <f ca="1">IF(G28="Всього:",SUM($M$5:M27),IF($E$5="UAH",J28+L28+K28,J28+K28))</f>
        <v>33016.529340613146</v>
      </c>
      <c r="N28" s="27" t="str">
        <f ca="1">IF(G28="Всього:",SUM($N$4:N27),IF($E$5="UAH","",L28))</f>
        <v/>
      </c>
      <c r="O28" s="25">
        <f t="shared" ca="1" si="0"/>
        <v>-250664.30093464011</v>
      </c>
      <c r="P28" s="33">
        <f t="shared" ca="1" si="1"/>
        <v>46570</v>
      </c>
      <c r="Q28" s="8">
        <f t="shared" si="4"/>
        <v>77404.529340613139</v>
      </c>
      <c r="Y28" s="39">
        <v>0.63834061026573197</v>
      </c>
    </row>
    <row r="29" spans="1:36" s="8" customFormat="1" ht="13.2" x14ac:dyDescent="0.25">
      <c r="F29" s="34">
        <f t="shared" ca="1" si="2"/>
        <v>12.99</v>
      </c>
      <c r="G29" s="23">
        <f t="shared" ca="1" si="5"/>
        <v>46601</v>
      </c>
      <c r="H29" s="24">
        <f>IF(H28&gt;$E$8,"",H28+1)</f>
        <v>25</v>
      </c>
      <c r="I29" s="25">
        <f ca="1">IF($G29="Всього:",SUM($I$4:I28),MAX($C$32,K29))</f>
        <v>33005</v>
      </c>
      <c r="J29" s="25">
        <f ca="1">IF($G29="Всього:",SUM($J$4:J28),IF(I29-SUM(K29:L29)&lt;0,0,I29-SUM(K29:L29)))</f>
        <v>35808.889092871395</v>
      </c>
      <c r="K29" s="25">
        <f ca="1">IF(G29="Всього:",SUM($K$5:K28),F29*O28/36000*(G29-G28))</f>
        <v>-2803.8890928713954</v>
      </c>
      <c r="L29" s="25">
        <f ca="1">IF(G29="Всього:",SUM($L$5:L28),$E$4)</f>
        <v>0</v>
      </c>
      <c r="M29" s="25">
        <f ca="1">IF(G29="Всього:",SUM($M$5:M28),IF($E$5="UAH",J29+L29+K29,J29+K29))</f>
        <v>33005</v>
      </c>
      <c r="N29" s="27" t="str">
        <f ca="1">IF(G29="Всього:",SUM($N$4:N28),IF($E$5="UAH","",L29))</f>
        <v/>
      </c>
      <c r="O29" s="25">
        <f t="shared" ca="1" si="0"/>
        <v>-286473.1900275115</v>
      </c>
      <c r="P29" s="33">
        <f t="shared" ca="1" si="1"/>
        <v>46601</v>
      </c>
      <c r="Q29" s="8">
        <f t="shared" ca="1" si="4"/>
        <v>33005</v>
      </c>
      <c r="R29" s="8">
        <f>IF(E8&gt;H28,$AA$7*0.9*0.9*5.48%,"")</f>
        <v>44388</v>
      </c>
    </row>
    <row r="30" spans="1:36" s="8" customFormat="1" ht="13.2" x14ac:dyDescent="0.25">
      <c r="F30" s="34">
        <f t="shared" ca="1" si="2"/>
        <v>12.99</v>
      </c>
      <c r="G30" s="23">
        <f t="shared" ca="1" si="5"/>
        <v>46632</v>
      </c>
      <c r="H30" s="24">
        <f t="shared" si="3"/>
        <v>26</v>
      </c>
      <c r="I30" s="25">
        <f ca="1">IF($G30="Всього:",SUM($I$4:I29),MAX($C$32,K30))</f>
        <v>33005</v>
      </c>
      <c r="J30" s="25">
        <f ca="1">IF($G30="Всього:",SUM($J$4:J29),IF(I30-SUM(K30:L30)&lt;0,0,I30-SUM(K30:L30)))</f>
        <v>36209.44135811607</v>
      </c>
      <c r="K30" s="25">
        <f ca="1">IF(G30="Всього:",SUM($K$5:K29),F30*O29/36000*(G30-G29))</f>
        <v>-3204.4413581160725</v>
      </c>
      <c r="L30" s="25">
        <f ca="1">IF(G30="Всього:",SUM($L$5:L29),$E$4)</f>
        <v>0</v>
      </c>
      <c r="M30" s="25">
        <f ca="1">IF(G30="Всього:",SUM($M$5:M29),IF($E$5="UAH",J30+L30+K30,J30+K30))</f>
        <v>33005</v>
      </c>
      <c r="N30" s="27" t="str">
        <f ca="1">IF(G30="Всього:",SUM($N$4:N29),IF($E$5="UAH","",L30))</f>
        <v/>
      </c>
      <c r="O30" s="25">
        <f t="shared" ca="1" si="0"/>
        <v>-322682.63138562755</v>
      </c>
      <c r="P30" s="33">
        <f t="shared" ca="1" si="1"/>
        <v>46632</v>
      </c>
      <c r="Q30" s="8">
        <f t="shared" ca="1" si="4"/>
        <v>33005</v>
      </c>
    </row>
    <row r="31" spans="1:36" s="8" customFormat="1" ht="13.2" x14ac:dyDescent="0.25">
      <c r="F31" s="34">
        <f t="shared" ca="1" si="2"/>
        <v>12.99</v>
      </c>
      <c r="G31" s="23">
        <f t="shared" ca="1" si="5"/>
        <v>46662</v>
      </c>
      <c r="H31" s="24">
        <f t="shared" si="3"/>
        <v>27</v>
      </c>
      <c r="I31" s="25">
        <f ca="1">IF($G31="Всього:",SUM($I$4:I30),MAX($C$32,K31))</f>
        <v>33005</v>
      </c>
      <c r="J31" s="25">
        <f ca="1">IF($G31="Всього:",SUM($J$4:J30),IF(I31-SUM(K31:L31)&lt;0,0,I31-SUM(K31:L31)))</f>
        <v>36498.039484749417</v>
      </c>
      <c r="K31" s="25">
        <f ca="1">IF(G31="Всього:",SUM($K$5:K30),F31*O30/36000*(G31-G30))</f>
        <v>-3493.0394847494185</v>
      </c>
      <c r="L31" s="25">
        <f ca="1">IF(G31="Всього:",SUM($L$5:L30),$E$4)</f>
        <v>0</v>
      </c>
      <c r="M31" s="25">
        <f ca="1">IF(G31="Всього:",SUM($M$5:M30),IF($E$5="UAH",J31+L31+K31,J31+K31))</f>
        <v>33005</v>
      </c>
      <c r="N31" s="27" t="str">
        <f ca="1">IF(G31="Всього:",SUM($N$4:N30),IF($E$5="UAH","",L31))</f>
        <v/>
      </c>
      <c r="O31" s="25">
        <f t="shared" ca="1" si="0"/>
        <v>-359180.67087037698</v>
      </c>
      <c r="P31" s="33">
        <f t="shared" ca="1" si="1"/>
        <v>46662</v>
      </c>
      <c r="Q31" s="8">
        <f t="shared" ca="1" si="4"/>
        <v>33005</v>
      </c>
    </row>
    <row r="32" spans="1:36" s="8" customFormat="1" ht="13.2" x14ac:dyDescent="0.25">
      <c r="A32" s="12" t="s">
        <v>336</v>
      </c>
      <c r="B32" s="26">
        <v>33005.426630397633</v>
      </c>
      <c r="C32" s="12">
        <v>33005</v>
      </c>
      <c r="D32" s="8" t="s">
        <v>345</v>
      </c>
      <c r="F32" s="34">
        <f t="shared" ca="1" si="2"/>
        <v>12.99</v>
      </c>
      <c r="G32" s="23">
        <f t="shared" ca="1" si="5"/>
        <v>46693</v>
      </c>
      <c r="H32" s="24">
        <f t="shared" si="3"/>
        <v>28</v>
      </c>
      <c r="I32" s="25">
        <f ca="1">IF($G32="Всього:",SUM($I$4:I31),MAX($C$32,K32))</f>
        <v>33005</v>
      </c>
      <c r="J32" s="25">
        <f ca="1">IF($G32="Всього:",SUM($J$4:J31),IF(I32-SUM(K32:L32)&lt;0,0,I32-SUM(K32:L32)))</f>
        <v>37022.735120910889</v>
      </c>
      <c r="K32" s="25">
        <f ca="1">IF(G32="Всього:",SUM($K$5:K31),F32*O31/36000*(G32-G31))</f>
        <v>-4017.7351209108915</v>
      </c>
      <c r="L32" s="25">
        <f ca="1">IF(G32="Всього:",SUM($L$5:L31),$E$4)</f>
        <v>0</v>
      </c>
      <c r="M32" s="25">
        <f ca="1">IF(G32="Всього:",SUM($M$5:M31),IF($E$5="UAH",J32+L32+K32,J32+K32))</f>
        <v>33005</v>
      </c>
      <c r="N32" s="27" t="str">
        <f ca="1">IF(G32="Всього:",SUM($N$4:N31),IF($E$5="UAH","",L32))</f>
        <v/>
      </c>
      <c r="O32" s="25">
        <f t="shared" ca="1" si="0"/>
        <v>-396203.4059912879</v>
      </c>
      <c r="P32" s="33">
        <f t="shared" ca="1" si="1"/>
        <v>46693</v>
      </c>
      <c r="Q32" s="8">
        <f t="shared" ca="1" si="4"/>
        <v>33005</v>
      </c>
    </row>
    <row r="33" spans="1:18" s="8" customFormat="1" ht="13.2" x14ac:dyDescent="0.25">
      <c r="A33" s="12" t="s">
        <v>337</v>
      </c>
      <c r="B33" s="26">
        <v>33005.427061178612</v>
      </c>
      <c r="C33" s="12">
        <v>33016.529340613146</v>
      </c>
      <c r="D33" s="8" t="s">
        <v>359</v>
      </c>
      <c r="F33" s="34">
        <f t="shared" ca="1" si="2"/>
        <v>12.99</v>
      </c>
      <c r="G33" s="23">
        <f t="shared" ca="1" si="5"/>
        <v>46723</v>
      </c>
      <c r="H33" s="24">
        <f t="shared" si="3"/>
        <v>29</v>
      </c>
      <c r="I33" s="25">
        <f ca="1">IF($G33="Всього:",SUM($I$4:I32),MAX($C$32,K33))</f>
        <v>33005</v>
      </c>
      <c r="J33" s="25">
        <f ca="1">IF($G33="Всього:",SUM($J$4:J32),IF(I33-SUM(K33:L33)&lt;0,0,I33-SUM(K33:L33)))</f>
        <v>37293.90186985569</v>
      </c>
      <c r="K33" s="25">
        <f ca="1">IF(G33="Всього:",SUM($K$5:K32),F33*O32/36000*(G33-G32))</f>
        <v>-4288.901869855692</v>
      </c>
      <c r="L33" s="25">
        <f ca="1">IF(G33="Всього:",SUM($L$5:L32),$E$4)</f>
        <v>0</v>
      </c>
      <c r="M33" s="25">
        <f ca="1">IF(G33="Всього:",SUM($M$5:M32),IF($E$5="UAH",J33+L33+K33,J33+K33))</f>
        <v>33005</v>
      </c>
      <c r="N33" s="27" t="str">
        <f ca="1">IF(G33="Всього:",SUM($N$4:N32),IF($E$5="UAH","",L33))</f>
        <v/>
      </c>
      <c r="O33" s="25">
        <f t="shared" ca="1" si="0"/>
        <v>-433497.30786114361</v>
      </c>
      <c r="P33" s="33">
        <f t="shared" ca="1" si="1"/>
        <v>46723</v>
      </c>
      <c r="Q33" s="8">
        <f t="shared" ca="1" si="4"/>
        <v>33005</v>
      </c>
    </row>
    <row r="34" spans="1:18" s="8" customFormat="1" ht="13.2" x14ac:dyDescent="0.25">
      <c r="A34" s="12" t="s">
        <v>344</v>
      </c>
      <c r="B34" s="12">
        <v>33016.529340613146</v>
      </c>
      <c r="C34" s="12"/>
      <c r="F34" s="34">
        <f t="shared" ca="1" si="2"/>
        <v>12.99</v>
      </c>
      <c r="G34" s="23">
        <f t="shared" ca="1" si="5"/>
        <v>46754</v>
      </c>
      <c r="H34" s="24">
        <f t="shared" si="3"/>
        <v>30</v>
      </c>
      <c r="I34" s="25">
        <f ca="1">IF($G34="Всього:",SUM($I$4:I33),MAX($C$32,K34))</f>
        <v>33005</v>
      </c>
      <c r="J34" s="25">
        <f ca="1">IF($G34="Всього:",SUM($J$4:J33),IF(I34-SUM(K34:L34)&lt;0,0,I34-SUM(K34:L34)))</f>
        <v>37854.028636183444</v>
      </c>
      <c r="K34" s="25">
        <f ca="1">IF(G34="Всього:",SUM($K$5:K33),F34*O33/36000*(G34-G33))</f>
        <v>-4849.0286361834424</v>
      </c>
      <c r="L34" s="25">
        <f ca="1">IF(G34="Всього:",SUM($L$5:L33),$E$4)</f>
        <v>0</v>
      </c>
      <c r="M34" s="25">
        <f ca="1">IF(G34="Всього:",SUM($M$5:M33),IF($E$5="UAH",J34+L34+K34,J34+K34))</f>
        <v>33005</v>
      </c>
      <c r="N34" s="27" t="str">
        <f ca="1">IF(G34="Всього:",SUM($N$4:N33),IF($E$5="UAH","",L34))</f>
        <v/>
      </c>
      <c r="O34" s="25">
        <f t="shared" ca="1" si="0"/>
        <v>-471351.33649732708</v>
      </c>
      <c r="P34" s="33">
        <f t="shared" ca="1" si="1"/>
        <v>46754</v>
      </c>
      <c r="Q34" s="8">
        <f t="shared" ca="1" si="4"/>
        <v>33005</v>
      </c>
    </row>
    <row r="35" spans="1:18" s="8" customFormat="1" ht="13.2" x14ac:dyDescent="0.25">
      <c r="F35" s="34">
        <f t="shared" ca="1" si="2"/>
        <v>12.99</v>
      </c>
      <c r="G35" s="23">
        <f t="shared" ca="1" si="5"/>
        <v>46785</v>
      </c>
      <c r="H35" s="24">
        <f t="shared" si="3"/>
        <v>31</v>
      </c>
      <c r="I35" s="25">
        <f ca="1">IF($G35="Всього:",SUM($I$4:I34),MAX($C$32,K35))</f>
        <v>33005</v>
      </c>
      <c r="J35" s="25">
        <f ca="1">IF($G35="Всього:",SUM($J$4:J34),IF(I35-SUM(K35:L35)&lt;0,0,I35-SUM(K35:L35)))</f>
        <v>38277.457491503017</v>
      </c>
      <c r="K35" s="25">
        <f ca="1">IF(G35="Всього:",SUM($K$5:K34),F35*O34/36000*(G35-G34))</f>
        <v>-5272.457491503018</v>
      </c>
      <c r="L35" s="25">
        <f ca="1">IF(G35="Всього:",SUM($L$5:L34),$E$4)</f>
        <v>0</v>
      </c>
      <c r="M35" s="25">
        <f ca="1">IF(G35="Всього:",SUM($M$5:M34),IF($E$5="UAH",J35+L35+K35,J35+K35))</f>
        <v>33005</v>
      </c>
      <c r="N35" s="27" t="str">
        <f ca="1">IF(G35="Всього:",SUM($N$4:N34),IF($E$5="UAH","",L35))</f>
        <v/>
      </c>
      <c r="O35" s="25">
        <f t="shared" ca="1" si="0"/>
        <v>-509628.79398883012</v>
      </c>
      <c r="P35" s="33">
        <f t="shared" ca="1" si="1"/>
        <v>46785</v>
      </c>
      <c r="Q35" s="8">
        <f t="shared" ca="1" si="4"/>
        <v>33005</v>
      </c>
    </row>
    <row r="36" spans="1:18" s="8" customFormat="1" ht="13.2" x14ac:dyDescent="0.25">
      <c r="B36" s="29"/>
      <c r="F36" s="34">
        <f t="shared" ca="1" si="2"/>
        <v>12.99</v>
      </c>
      <c r="G36" s="23">
        <f t="shared" ca="1" si="5"/>
        <v>46814</v>
      </c>
      <c r="H36" s="24">
        <f t="shared" si="3"/>
        <v>32</v>
      </c>
      <c r="I36" s="25">
        <f ca="1">IF($G36="Всього:",SUM($I$4:I35),MAX($C$32,K36))</f>
        <v>33005</v>
      </c>
      <c r="J36" s="25">
        <f ca="1">IF($G36="Всього:",SUM($J$4:J35),IF(I36-SUM(K36:L36)&lt;0,0,I36-SUM(K36:L36)))</f>
        <v>38337.840638431451</v>
      </c>
      <c r="K36" s="25">
        <f ca="1">IF(G36="Всього:",SUM($K$5:K35),F36*O35/36000*(G36-G35))</f>
        <v>-5332.8406384314494</v>
      </c>
      <c r="L36" s="25">
        <f ca="1">IF(G36="Всього:",SUM($L$5:L35),$E$4)</f>
        <v>0</v>
      </c>
      <c r="M36" s="25">
        <f ca="1">IF(G36="Всього:",SUM($M$5:M35),IF($E$5="UAH",J36+L36+K36,J36+K36))</f>
        <v>33005</v>
      </c>
      <c r="N36" s="27" t="str">
        <f ca="1">IF(G36="Всього:",SUM($N$4:N35),IF($E$5="UAH","",L36))</f>
        <v/>
      </c>
      <c r="O36" s="25">
        <f t="shared" ca="1" si="0"/>
        <v>-547966.63462726155</v>
      </c>
      <c r="P36" s="33">
        <f t="shared" ca="1" si="1"/>
        <v>46814</v>
      </c>
      <c r="Q36" s="8">
        <f t="shared" ca="1" si="4"/>
        <v>33005</v>
      </c>
    </row>
    <row r="37" spans="1:18" s="8" customFormat="1" ht="13.2" x14ac:dyDescent="0.25">
      <c r="F37" s="34">
        <f t="shared" ca="1" si="2"/>
        <v>12.99</v>
      </c>
      <c r="G37" s="23">
        <f t="shared" ca="1" si="5"/>
        <v>46845</v>
      </c>
      <c r="H37" s="24">
        <f t="shared" si="3"/>
        <v>33</v>
      </c>
      <c r="I37" s="25">
        <f ca="1">IF($G37="Всього:",SUM($I$4:I36),MAX($C$32,K37))</f>
        <v>33005</v>
      </c>
      <c r="J37" s="25">
        <f ca="1">IF($G37="Всього:",SUM($J$4:J36),IF(I37-SUM(K37:L37)&lt;0,0,I37-SUM(K37:L37)))</f>
        <v>39134.463447168113</v>
      </c>
      <c r="K37" s="25">
        <f ca="1">IF(G37="Всього:",SUM($K$5:K36),F37*O36/36000*(G37-G36))</f>
        <v>-6129.4634471681102</v>
      </c>
      <c r="L37" s="25">
        <f ca="1">IF(G37="Всього:",SUM($L$5:L36),$E$4)</f>
        <v>0</v>
      </c>
      <c r="M37" s="25">
        <f ca="1">IF(G37="Всього:",SUM($M$5:M36),IF($E$5="UAH",J37+L37+K37,J37+K37))</f>
        <v>33005</v>
      </c>
      <c r="N37" s="27" t="str">
        <f ca="1">IF(G37="Всього:",SUM($N$4:N36),IF($E$5="UAH","",L37))</f>
        <v/>
      </c>
      <c r="O37" s="25">
        <f t="shared" ca="1" si="0"/>
        <v>-587101.09807442967</v>
      </c>
      <c r="P37" s="33">
        <f t="shared" ca="1" si="1"/>
        <v>46845</v>
      </c>
      <c r="Q37" s="8">
        <f t="shared" ca="1" si="4"/>
        <v>33005</v>
      </c>
    </row>
    <row r="38" spans="1:18" s="8" customFormat="1" ht="13.2" x14ac:dyDescent="0.25">
      <c r="F38" s="34">
        <f t="shared" ca="1" si="2"/>
        <v>12.99</v>
      </c>
      <c r="G38" s="23">
        <f t="shared" ca="1" si="5"/>
        <v>46875</v>
      </c>
      <c r="H38" s="24">
        <f t="shared" si="3"/>
        <v>34</v>
      </c>
      <c r="I38" s="25">
        <f ca="1">IF($G38="Всього:",SUM($I$4:I37),MAX($C$32,K38))</f>
        <v>33005</v>
      </c>
      <c r="J38" s="25">
        <f ca="1">IF($G38="Всього:",SUM($J$4:J37),IF(I38-SUM(K38:L38)&lt;0,0,I38-SUM(K38:L38)))</f>
        <v>39360.369386655701</v>
      </c>
      <c r="K38" s="25">
        <f ca="1">IF(G38="Всього:",SUM($K$5:K37),F38*O37/36000*(G38-G37))</f>
        <v>-6355.3693866557014</v>
      </c>
      <c r="L38" s="25">
        <f ca="1">IF(G38="Всього:",SUM($L$5:L37),$E$4)</f>
        <v>0</v>
      </c>
      <c r="M38" s="25">
        <f ca="1">IF(G38="Всього:",SUM($M$5:M37),IF($E$5="UAH",J38+L38+K38,J38+K38))</f>
        <v>33005</v>
      </c>
      <c r="N38" s="27" t="str">
        <f ca="1">IF(G38="Всього:",SUM($N$4:N37),IF($E$5="UAH","",L38))</f>
        <v/>
      </c>
      <c r="O38" s="25">
        <f t="shared" ca="1" si="0"/>
        <v>-626461.46746108541</v>
      </c>
      <c r="P38" s="33">
        <f t="shared" ca="1" si="1"/>
        <v>46875</v>
      </c>
      <c r="Q38" s="8">
        <f t="shared" ca="1" si="4"/>
        <v>33005</v>
      </c>
    </row>
    <row r="39" spans="1:18" s="8" customFormat="1" ht="13.2" x14ac:dyDescent="0.25">
      <c r="F39" s="34">
        <f t="shared" ca="1" si="2"/>
        <v>12.99</v>
      </c>
      <c r="G39" s="23">
        <f t="shared" ca="1" si="5"/>
        <v>46906</v>
      </c>
      <c r="H39" s="24">
        <f t="shared" si="3"/>
        <v>35</v>
      </c>
      <c r="I39" s="25">
        <f ca="1">IF($G39="Всього:",SUM($I$4:I38),MAX($C$32,K39))</f>
        <v>33005</v>
      </c>
      <c r="J39" s="25">
        <f ca="1">IF($G39="Всього:",SUM($J$4:J38),IF(I39-SUM(K39:L39)&lt;0,0,I39-SUM(K39:L39)))</f>
        <v>40012.493564775126</v>
      </c>
      <c r="K39" s="25">
        <f ca="1">IF(G39="Всього:",SUM($K$5:K38),F39*O38/36000*(G39-G38))</f>
        <v>-7007.4935647751245</v>
      </c>
      <c r="L39" s="25">
        <f ca="1">IF(G39="Всього:",SUM($L$5:L38),$E$4)</f>
        <v>0</v>
      </c>
      <c r="M39" s="25">
        <f ca="1">IF(G39="Всього:",SUM($M$5:M38),IF($E$5="UAH",J39+L39+K39,J39+K39))</f>
        <v>33005</v>
      </c>
      <c r="N39" s="27" t="str">
        <f ca="1">IF(G39="Всього:",SUM($N$4:N38),IF($E$5="UAH","",L39))</f>
        <v/>
      </c>
      <c r="O39" s="25">
        <f t="shared" ca="1" si="0"/>
        <v>-666473.96102586051</v>
      </c>
      <c r="P39" s="33">
        <f t="shared" ca="1" si="1"/>
        <v>46906</v>
      </c>
      <c r="Q39" s="8">
        <f t="shared" ca="1" si="4"/>
        <v>33005</v>
      </c>
    </row>
    <row r="40" spans="1:18" s="8" customFormat="1" ht="13.2" x14ac:dyDescent="0.25">
      <c r="F40" s="34">
        <f t="shared" ca="1" si="2"/>
        <v>12.99</v>
      </c>
      <c r="G40" s="23">
        <f t="shared" ca="1" si="5"/>
        <v>46936</v>
      </c>
      <c r="H40" s="24">
        <f t="shared" si="3"/>
        <v>36</v>
      </c>
      <c r="I40" s="25">
        <f ca="1">IF($G40="Всього:",SUM($I$4:I39),MAX($C$32,K40))</f>
        <v>33005</v>
      </c>
      <c r="J40" s="25">
        <f ca="1">IF($G40="Всього:",SUM($J$4:J39),IF(I40-SUM(K40:L40)&lt;0,0,I40-SUM(K40:L40)))</f>
        <v>40219.580628104937</v>
      </c>
      <c r="K40" s="25">
        <f ca="1">IF(G40="Всього:",SUM($K$5:K39),F40*O39/36000*(G40-G39))</f>
        <v>-7214.5806281049399</v>
      </c>
      <c r="L40" s="25">
        <f ca="1">IF(G40="Всього:",SUM($L$5:L39),$E$4)</f>
        <v>0</v>
      </c>
      <c r="M40" s="25">
        <f ca="1">IF(G40="Всього:",SUM($M$5:M39),IF($E$5="UAH",J40+L40+K40,J40+K40))</f>
        <v>33005</v>
      </c>
      <c r="N40" s="27" t="str">
        <f ca="1">IF(G40="Всього:",SUM($N$4:N39),IF($E$5="UAH","",L40))</f>
        <v/>
      </c>
      <c r="O40" s="25">
        <f t="shared" ca="1" si="0"/>
        <v>-706693.54165396548</v>
      </c>
      <c r="P40" s="33">
        <f t="shared" ca="1" si="1"/>
        <v>46936</v>
      </c>
      <c r="Q40" s="8">
        <f t="shared" ca="1" si="4"/>
        <v>72954.200000000012</v>
      </c>
    </row>
    <row r="41" spans="1:18" s="8" customFormat="1" ht="13.2" x14ac:dyDescent="0.25">
      <c r="F41" s="34">
        <f t="shared" ca="1" si="2"/>
        <v>12.99</v>
      </c>
      <c r="G41" s="23">
        <f t="shared" ca="1" si="5"/>
        <v>46967</v>
      </c>
      <c r="H41" s="24">
        <f t="shared" si="3"/>
        <v>37</v>
      </c>
      <c r="I41" s="25">
        <f ca="1">IF($G41="Всього:",SUM($I$4:I40),MAX($C$32,K41))</f>
        <v>33005</v>
      </c>
      <c r="J41" s="25">
        <f ca="1">IF($G41="Всього:",SUM($J$4:J40),IF(I41-SUM(K41:L41)&lt;0,0,I41-SUM(K41:L41)))</f>
        <v>40909.956174684317</v>
      </c>
      <c r="K41" s="25">
        <f ca="1">IF(G41="Всього:",SUM($K$5:K40),F41*O40/36000*(G41-G40))</f>
        <v>-7904.9561746843156</v>
      </c>
      <c r="L41" s="25">
        <f ca="1">IF(G41="Всього:",SUM($L$5:L40),$E$4)</f>
        <v>0</v>
      </c>
      <c r="M41" s="25">
        <f ca="1">IF(G41="Всього:",SUM($M$5:M40),IF($E$5="UAH",J41+L41+K41,J41+K41))</f>
        <v>33005</v>
      </c>
      <c r="N41" s="27" t="str">
        <f ca="1">IF(G41="Всього:",SUM($N$4:N40),IF($E$5="UAH","",L41))</f>
        <v/>
      </c>
      <c r="O41" s="25">
        <f t="shared" ca="1" si="0"/>
        <v>-747603.49782864982</v>
      </c>
      <c r="P41" s="33">
        <f t="shared" ca="1" si="1"/>
        <v>46967</v>
      </c>
      <c r="Q41" s="8">
        <f t="shared" ca="1" si="4"/>
        <v>33005</v>
      </c>
      <c r="R41" s="8">
        <f>IF(E8&gt;H41,$AA$7*0.9*0.9*0.9*5.48%,"")</f>
        <v>39949.200000000004</v>
      </c>
    </row>
    <row r="42" spans="1:18" s="8" customFormat="1" ht="13.2" x14ac:dyDescent="0.25">
      <c r="F42" s="34">
        <f t="shared" ca="1" si="2"/>
        <v>12.99</v>
      </c>
      <c r="G42" s="23">
        <f t="shared" ca="1" si="5"/>
        <v>46998</v>
      </c>
      <c r="H42" s="24">
        <f t="shared" si="3"/>
        <v>38</v>
      </c>
      <c r="I42" s="25">
        <f ca="1">IF($G42="Всього:",SUM($I$4:I41),MAX($C$32,K42))</f>
        <v>33005</v>
      </c>
      <c r="J42" s="25">
        <f ca="1">IF($G42="Всього:",SUM($J$4:J41),IF(I42-SUM(K42:L42)&lt;0,0,I42-SUM(K42:L42)))</f>
        <v>41367.568126128303</v>
      </c>
      <c r="K42" s="25">
        <f ca="1">IF(G42="Всього:",SUM($K$5:K41),F42*O41/36000*(G42-G41))</f>
        <v>-8362.5681261283062</v>
      </c>
      <c r="L42" s="25">
        <f ca="1">IF(G42="Всього:",SUM($L$5:L41),$E$4)</f>
        <v>0</v>
      </c>
      <c r="M42" s="25">
        <f ca="1">IF(G42="Всього:",SUM($M$5:M41),IF($E$5="UAH",J42+L42+K42,J42+K42))</f>
        <v>33005</v>
      </c>
      <c r="N42" s="27" t="str">
        <f ca="1">IF(G42="Всього:",SUM($N$4:N41),IF($E$5="UAH","",L42))</f>
        <v/>
      </c>
      <c r="O42" s="25">
        <f t="shared" ca="1" si="0"/>
        <v>-788971.06595477811</v>
      </c>
      <c r="P42" s="33">
        <f t="shared" ca="1" si="1"/>
        <v>46998</v>
      </c>
      <c r="Q42" s="8">
        <f t="shared" ca="1" si="4"/>
        <v>33005</v>
      </c>
    </row>
    <row r="43" spans="1:18" s="8" customFormat="1" ht="13.2" x14ac:dyDescent="0.25">
      <c r="F43" s="34">
        <f t="shared" ca="1" si="2"/>
        <v>12.99</v>
      </c>
      <c r="G43" s="23">
        <f t="shared" ca="1" si="5"/>
        <v>47028</v>
      </c>
      <c r="H43" s="24">
        <f t="shared" si="3"/>
        <v>39</v>
      </c>
      <c r="I43" s="25">
        <f ca="1">IF($G43="Всього:",SUM($I$4:I42),MAX($C$32,K43))</f>
        <v>33005</v>
      </c>
      <c r="J43" s="25">
        <f ca="1">IF($G43="Всього:",SUM($J$4:J42),IF(I43-SUM(K43:L43)&lt;0,0,I43-SUM(K43:L43)))</f>
        <v>41545.611788960472</v>
      </c>
      <c r="K43" s="25">
        <f ca="1">IF(G43="Всього:",SUM($K$5:K42),F43*O42/36000*(G43-G42))</f>
        <v>-8540.6117889604739</v>
      </c>
      <c r="L43" s="25">
        <f ca="1">IF(G43="Всього:",SUM($L$5:L42),$E$4)</f>
        <v>0</v>
      </c>
      <c r="M43" s="25">
        <f ca="1">IF(G43="Всього:",SUM($M$5:M42),IF($E$5="UAH",J43+L43+K43,J43+K43))</f>
        <v>33005</v>
      </c>
      <c r="N43" s="27" t="str">
        <f ca="1">IF(G43="Всього:",SUM($N$4:N42),IF($E$5="UAH","",L43))</f>
        <v/>
      </c>
      <c r="O43" s="25">
        <f t="shared" ca="1" si="0"/>
        <v>-830516.67774373863</v>
      </c>
      <c r="P43" s="33">
        <f t="shared" ca="1" si="1"/>
        <v>47028</v>
      </c>
      <c r="Q43" s="8">
        <f t="shared" ca="1" si="4"/>
        <v>33005</v>
      </c>
    </row>
    <row r="44" spans="1:18" s="8" customFormat="1" ht="13.2" x14ac:dyDescent="0.25">
      <c r="F44" s="34">
        <f t="shared" ca="1" si="2"/>
        <v>12.99</v>
      </c>
      <c r="G44" s="23">
        <f t="shared" ca="1" si="5"/>
        <v>47059</v>
      </c>
      <c r="H44" s="24">
        <f t="shared" si="3"/>
        <v>40</v>
      </c>
      <c r="I44" s="25">
        <f ca="1">IF($G44="Всього:",SUM($I$4:I43),MAX($C$32,K44))</f>
        <v>33005</v>
      </c>
      <c r="J44" s="25">
        <f ca="1">IF($G44="Всього:",SUM($J$4:J43),IF(I44-SUM(K44:L44)&lt;0,0,I44-SUM(K44:L44)))</f>
        <v>42295.021137795171</v>
      </c>
      <c r="K44" s="25">
        <f ca="1">IF(G44="Всього:",SUM($K$5:K43),F44*O43/36000*(G44-G43))</f>
        <v>-9290.0211377951709</v>
      </c>
      <c r="L44" s="25">
        <f ca="1">IF(G44="Всього:",SUM($L$5:L43),$E$4)</f>
        <v>0</v>
      </c>
      <c r="M44" s="25">
        <f ca="1">IF(G44="Всього:",SUM($M$5:M43),IF($E$5="UAH",J44+L44+K44,J44+K44))</f>
        <v>33005</v>
      </c>
      <c r="N44" s="27" t="str">
        <f ca="1">IF(G44="Всього:",SUM($N$4:N43),IF($E$5="UAH","",L44))</f>
        <v/>
      </c>
      <c r="O44" s="25">
        <f t="shared" ca="1" si="0"/>
        <v>-872811.69888153381</v>
      </c>
      <c r="P44" s="33">
        <f t="shared" ca="1" si="1"/>
        <v>47059</v>
      </c>
      <c r="Q44" s="8">
        <f t="shared" ca="1" si="4"/>
        <v>33005</v>
      </c>
    </row>
    <row r="45" spans="1:18" s="8" customFormat="1" ht="13.2" x14ac:dyDescent="0.25">
      <c r="F45" s="34">
        <f t="shared" ca="1" si="2"/>
        <v>12.99</v>
      </c>
      <c r="G45" s="23">
        <f t="shared" ca="1" si="5"/>
        <v>47089</v>
      </c>
      <c r="H45" s="24">
        <f t="shared" si="3"/>
        <v>41</v>
      </c>
      <c r="I45" s="25">
        <f ca="1">IF($G45="Всього:",SUM($I$4:I44),MAX($C$32,K45))</f>
        <v>33005</v>
      </c>
      <c r="J45" s="25">
        <f ca="1">IF($G45="Всього:",SUM($J$4:J44),IF(I45-SUM(K45:L45)&lt;0,0,I45-SUM(K45:L45)))</f>
        <v>42453.186640392603</v>
      </c>
      <c r="K45" s="25">
        <f ca="1">IF(G45="Всього:",SUM($K$5:K44),F45*O44/36000*(G45-G44))</f>
        <v>-9448.1866403926051</v>
      </c>
      <c r="L45" s="25">
        <f ca="1">IF(G45="Всього:",SUM($L$5:L44),$E$4)</f>
        <v>0</v>
      </c>
      <c r="M45" s="25">
        <f ca="1">IF(G45="Всього:",SUM($M$5:M44),IF($E$5="UAH",J45+L45+K45,J45+K45))</f>
        <v>33005</v>
      </c>
      <c r="N45" s="27" t="str">
        <f ca="1">IF(G45="Всього:",SUM($N$4:N44),IF($E$5="UAH","",L45))</f>
        <v/>
      </c>
      <c r="O45" s="25">
        <f t="shared" ca="1" si="0"/>
        <v>-915264.88552192645</v>
      </c>
      <c r="P45" s="33">
        <f t="shared" ca="1" si="1"/>
        <v>47089</v>
      </c>
      <c r="Q45" s="8">
        <f t="shared" ca="1" si="4"/>
        <v>33005</v>
      </c>
    </row>
    <row r="46" spans="1:18" s="8" customFormat="1" ht="13.2" x14ac:dyDescent="0.25">
      <c r="F46" s="34">
        <f t="shared" ca="1" si="2"/>
        <v>12.99</v>
      </c>
      <c r="G46" s="23">
        <f t="shared" ca="1" si="5"/>
        <v>47120</v>
      </c>
      <c r="H46" s="24">
        <f t="shared" si="3"/>
        <v>42</v>
      </c>
      <c r="I46" s="25">
        <f ca="1">IF($G46="Всього:",SUM($I$4:I45),MAX($C$32,K46))</f>
        <v>33005</v>
      </c>
      <c r="J46" s="25">
        <f ca="1">IF($G46="Всього:",SUM($J$4:J45),IF(I46-SUM(K46:L46)&lt;0,0,I46-SUM(K46:L46)))</f>
        <v>43243.000465300684</v>
      </c>
      <c r="K46" s="25">
        <f ca="1">IF(G46="Всього:",SUM($K$5:K45),F46*O45/36000*(G46-G45))</f>
        <v>-10238.000465300682</v>
      </c>
      <c r="L46" s="25">
        <f ca="1">IF(G46="Всього:",SUM($L$5:L45),$E$4)</f>
        <v>0</v>
      </c>
      <c r="M46" s="25">
        <f ca="1">IF(G46="Всього:",SUM($M$5:M45),IF($E$5="UAH",J46+L46+K46,J46+K46))</f>
        <v>33005</v>
      </c>
      <c r="N46" s="27" t="str">
        <f ca="1">IF(G46="Всього:",SUM($N$4:N45),IF($E$5="UAH","",L46))</f>
        <v/>
      </c>
      <c r="O46" s="25">
        <f t="shared" ca="1" si="0"/>
        <v>-958507.88598722708</v>
      </c>
      <c r="P46" s="33">
        <f t="shared" ca="1" si="1"/>
        <v>47120</v>
      </c>
      <c r="Q46" s="8">
        <f t="shared" ca="1" si="4"/>
        <v>33005</v>
      </c>
    </row>
    <row r="47" spans="1:18" s="8" customFormat="1" ht="13.2" x14ac:dyDescent="0.25">
      <c r="F47" s="34">
        <f t="shared" ca="1" si="2"/>
        <v>12.99</v>
      </c>
      <c r="G47" s="23">
        <f t="shared" ca="1" si="5"/>
        <v>47151</v>
      </c>
      <c r="H47" s="24">
        <f t="shared" si="3"/>
        <v>43</v>
      </c>
      <c r="I47" s="25">
        <f ca="1">IF($G47="Всього:",SUM($I$4:I46),MAX($C$32,K47))</f>
        <v>33005</v>
      </c>
      <c r="J47" s="25">
        <f ca="1">IF($G47="Всього:",SUM($J$4:J46),IF(I47-SUM(K47:L47)&lt;0,0,I47-SUM(K47:L47)))</f>
        <v>43726.709461338789</v>
      </c>
      <c r="K47" s="25">
        <f ca="1">IF(G47="Всього:",SUM($K$5:K46),F47*O46/36000*(G47-G46))</f>
        <v>-10721.709461338791</v>
      </c>
      <c r="L47" s="25">
        <f ca="1">IF(G47="Всього:",SUM($L$5:L46),$E$4)</f>
        <v>0</v>
      </c>
      <c r="M47" s="25">
        <f ca="1">IF(G47="Всього:",SUM($M$5:M46),IF($E$5="UAH",J47+L47+K47,J47+K47))</f>
        <v>33005</v>
      </c>
      <c r="N47" s="27" t="str">
        <f ca="1">IF(G47="Всього:",SUM($N$4:N46),IF($E$5="UAH","",L47))</f>
        <v/>
      </c>
      <c r="O47" s="25">
        <f t="shared" ca="1" si="0"/>
        <v>-1002234.5954485659</v>
      </c>
      <c r="P47" s="33">
        <f t="shared" ca="1" si="1"/>
        <v>47151</v>
      </c>
      <c r="Q47" s="8">
        <f t="shared" ca="1" si="4"/>
        <v>33005</v>
      </c>
    </row>
    <row r="48" spans="1:18" s="8" customFormat="1" ht="13.2" x14ac:dyDescent="0.25">
      <c r="F48" s="34">
        <f t="shared" ca="1" si="2"/>
        <v>12.99</v>
      </c>
      <c r="G48" s="23">
        <f t="shared" ca="1" si="5"/>
        <v>47179</v>
      </c>
      <c r="H48" s="24">
        <f t="shared" si="3"/>
        <v>44</v>
      </c>
      <c r="I48" s="25">
        <f ca="1">IF($G48="Всього:",SUM($I$4:I47),MAX($C$32,K48))</f>
        <v>33005</v>
      </c>
      <c r="J48" s="25">
        <f ca="1">IF($G48="Всього:",SUM($J$4:J47),IF(I48-SUM(K48:L48)&lt;0,0,I48-SUM(K48:L48)))</f>
        <v>43130.910196015342</v>
      </c>
      <c r="K48" s="25">
        <f ca="1">IF(G48="Всього:",SUM($K$5:K47),F48*O47/36000*(G48-G47))</f>
        <v>-10125.910196015344</v>
      </c>
      <c r="L48" s="25">
        <f ca="1">IF(G48="Всього:",SUM($L$5:L47),$E$4)</f>
        <v>0</v>
      </c>
      <c r="M48" s="25">
        <f ca="1">IF(G48="Всього:",SUM($M$5:M47),IF($E$5="UAH",J48+L48+K48,J48+K48))</f>
        <v>33005</v>
      </c>
      <c r="N48" s="27" t="str">
        <f ca="1">IF(G48="Всього:",SUM($N$4:N47),IF($E$5="UAH","",L48))</f>
        <v/>
      </c>
      <c r="O48" s="25">
        <f t="shared" ca="1" si="0"/>
        <v>-1045365.5056445813</v>
      </c>
      <c r="P48" s="33">
        <f t="shared" ca="1" si="1"/>
        <v>47179</v>
      </c>
      <c r="Q48" s="8">
        <f t="shared" ca="1" si="4"/>
        <v>33005</v>
      </c>
    </row>
    <row r="49" spans="6:18" s="8" customFormat="1" ht="13.2" x14ac:dyDescent="0.25">
      <c r="F49" s="34">
        <f t="shared" ca="1" si="2"/>
        <v>12.99</v>
      </c>
      <c r="G49" s="23">
        <f t="shared" ca="1" si="5"/>
        <v>47210</v>
      </c>
      <c r="H49" s="24">
        <f t="shared" si="3"/>
        <v>45</v>
      </c>
      <c r="I49" s="25">
        <f ca="1">IF($G49="Всього:",SUM($I$4:I48),MAX($C$32,K49))</f>
        <v>33005</v>
      </c>
      <c r="J49" s="25">
        <f ca="1">IF($G49="Всього:",SUM($J$4:J48),IF(I49-SUM(K49:L49)&lt;0,0,I49-SUM(K49:L49)))</f>
        <v>44698.284318556012</v>
      </c>
      <c r="K49" s="25">
        <f ca="1">IF(G49="Всього:",SUM($K$5:K48),F49*O48/36000*(G49-G48))</f>
        <v>-11693.28431855601</v>
      </c>
      <c r="L49" s="25">
        <f ca="1">IF(G49="Всього:",SUM($L$5:L48),$E$4)</f>
        <v>0</v>
      </c>
      <c r="M49" s="25">
        <f ca="1">IF(G49="Всього:",SUM($M$5:M48),IF($E$5="UAH",J49+L49+K49,J49+K49))</f>
        <v>33005</v>
      </c>
      <c r="N49" s="27" t="str">
        <f ca="1">IF(G49="Всього:",SUM($N$4:N48),IF($E$5="UAH","",L49))</f>
        <v/>
      </c>
      <c r="O49" s="25">
        <f t="shared" ca="1" si="0"/>
        <v>-1090063.7899631374</v>
      </c>
      <c r="P49" s="33">
        <f t="shared" ca="1" si="1"/>
        <v>47210</v>
      </c>
      <c r="Q49" s="8">
        <f t="shared" ca="1" si="4"/>
        <v>33005</v>
      </c>
    </row>
    <row r="50" spans="6:18" s="8" customFormat="1" ht="13.2" x14ac:dyDescent="0.25">
      <c r="F50" s="34">
        <f t="shared" ca="1" si="2"/>
        <v>12.99</v>
      </c>
      <c r="G50" s="23">
        <f t="shared" ca="1" si="5"/>
        <v>47240</v>
      </c>
      <c r="H50" s="24">
        <f t="shared" si="3"/>
        <v>46</v>
      </c>
      <c r="I50" s="25">
        <f ca="1">IF($G50="Всього:",SUM($I$4:I49),MAX($C$32,K50))</f>
        <v>33005</v>
      </c>
      <c r="J50" s="25">
        <f ca="1">IF($G50="Всього:",SUM($J$4:J49),IF(I50-SUM(K50:L50)&lt;0,0,I50-SUM(K50:L50)))</f>
        <v>44804.940526350962</v>
      </c>
      <c r="K50" s="25">
        <f ca="1">IF(G50="Всього:",SUM($K$5:K49),F50*O49/36000*(G50-G49))</f>
        <v>-11799.940526350962</v>
      </c>
      <c r="L50" s="25">
        <f ca="1">IF(G50="Всього:",SUM($L$5:L49),$E$4)</f>
        <v>0</v>
      </c>
      <c r="M50" s="25">
        <f ca="1">IF(G50="Всього:",SUM($M$5:M49),IF($E$5="UAH",J50+L50+K50,J50+K50))</f>
        <v>33005</v>
      </c>
      <c r="N50" s="27" t="str">
        <f ca="1">IF(G50="Всього:",SUM($N$4:N49),IF($E$5="UAH","",L50))</f>
        <v/>
      </c>
      <c r="O50" s="25">
        <f t="shared" ca="1" si="0"/>
        <v>-1134868.7304894882</v>
      </c>
      <c r="P50" s="33">
        <f t="shared" ca="1" si="1"/>
        <v>47240</v>
      </c>
      <c r="Q50" s="8">
        <f t="shared" ca="1" si="4"/>
        <v>33005</v>
      </c>
    </row>
    <row r="51" spans="6:18" s="8" customFormat="1" ht="13.2" x14ac:dyDescent="0.25">
      <c r="F51" s="34">
        <f t="shared" ca="1" si="2"/>
        <v>12.99</v>
      </c>
      <c r="G51" s="23">
        <f t="shared" ca="1" si="5"/>
        <v>47271</v>
      </c>
      <c r="H51" s="24">
        <f t="shared" si="3"/>
        <v>47</v>
      </c>
      <c r="I51" s="25">
        <f ca="1">IF($G51="Всього:",SUM($I$4:I50),MAX($C$32,K51))</f>
        <v>33005</v>
      </c>
      <c r="J51" s="25">
        <f ca="1">IF($G51="Всього:",SUM($J$4:J50),IF(I51-SUM(K51:L51)&lt;0,0,I51-SUM(K51:L51)))</f>
        <v>45699.452474466998</v>
      </c>
      <c r="K51" s="25">
        <f ca="1">IF(G51="Всього:",SUM($K$5:K50),F51*O50/36000*(G51-G50))</f>
        <v>-12694.452474467</v>
      </c>
      <c r="L51" s="25">
        <f ca="1">IF(G51="Всього:",SUM($L$5:L50),$E$4)</f>
        <v>0</v>
      </c>
      <c r="M51" s="25">
        <f ca="1">IF(G51="Всього:",SUM($M$5:M50),IF($E$5="UAH",J51+L51+K51,J51+K51))</f>
        <v>33005</v>
      </c>
      <c r="N51" s="27" t="str">
        <f ca="1">IF(G51="Всього:",SUM($N$4:N50),IF($E$5="UAH","",L51))</f>
        <v/>
      </c>
      <c r="O51" s="25">
        <f t="shared" ca="1" si="0"/>
        <v>-1180568.1829639552</v>
      </c>
      <c r="P51" s="33">
        <f t="shared" ca="1" si="1"/>
        <v>47271</v>
      </c>
      <c r="Q51" s="8">
        <f t="shared" ca="1" si="4"/>
        <v>33005</v>
      </c>
    </row>
    <row r="52" spans="6:18" s="8" customFormat="1" ht="13.2" x14ac:dyDescent="0.25">
      <c r="F52" s="34">
        <f t="shared" ca="1" si="2"/>
        <v>12.99</v>
      </c>
      <c r="G52" s="23">
        <f t="shared" ca="1" si="5"/>
        <v>47301</v>
      </c>
      <c r="H52" s="24">
        <f t="shared" si="3"/>
        <v>48</v>
      </c>
      <c r="I52" s="25">
        <f ca="1">IF($G52="Всього:",SUM($I$4:I51),MAX($C$32,K52))</f>
        <v>33005</v>
      </c>
      <c r="J52" s="25">
        <f ca="1">IF($G52="Всього:",SUM($J$4:J51),IF(I52-SUM(K52:L52)&lt;0,0,I52-SUM(K52:L52)))</f>
        <v>45784.650580584814</v>
      </c>
      <c r="K52" s="25">
        <f ca="1">IF(G52="Всього:",SUM($K$5:K51),F52*O51/36000*(G52-G51))</f>
        <v>-12779.650580584816</v>
      </c>
      <c r="L52" s="25">
        <f ca="1">IF(G52="Всього:",SUM($L$5:L51),$E$4)</f>
        <v>0</v>
      </c>
      <c r="M52" s="25">
        <f ca="1">IF(G52="Всього:",SUM($M$5:M51),IF($E$5="UAH",J52+L52+K52,J52+K52))</f>
        <v>33005</v>
      </c>
      <c r="N52" s="27" t="str">
        <f ca="1">IF(G52="Всього:",SUM($N$4:N51),IF($E$5="UAH","",L52))</f>
        <v/>
      </c>
      <c r="O52" s="25">
        <f t="shared" ca="1" si="0"/>
        <v>-1226352.83354454</v>
      </c>
      <c r="P52" s="33">
        <f t="shared" ca="1" si="1"/>
        <v>47301</v>
      </c>
      <c r="Q52" s="8">
        <f t="shared" ca="1" si="4"/>
        <v>68959.28</v>
      </c>
    </row>
    <row r="53" spans="6:18" s="8" customFormat="1" ht="13.2" x14ac:dyDescent="0.25">
      <c r="F53" s="34">
        <f t="shared" ca="1" si="2"/>
        <v>12.99</v>
      </c>
      <c r="G53" s="23">
        <f t="shared" ca="1" si="5"/>
        <v>47332</v>
      </c>
      <c r="H53" s="24">
        <f t="shared" si="3"/>
        <v>49</v>
      </c>
      <c r="I53" s="25">
        <f ca="1">IF($G53="Всього:",SUM($I$4:I52),MAX($C$32,K53))</f>
        <v>33005</v>
      </c>
      <c r="J53" s="25">
        <f ca="1">IF($G53="Всього:",SUM($J$4:J52),IF(I53-SUM(K53:L53)&lt;0,0,I53-SUM(K53:L53)))</f>
        <v>46722.778403890305</v>
      </c>
      <c r="K53" s="25">
        <f ca="1">IF(G53="Всього:",SUM($K$5:K52),F53*O52/36000*(G53-G52))</f>
        <v>-13717.778403890301</v>
      </c>
      <c r="L53" s="25">
        <f ca="1">IF(G53="Всього:",SUM($L$5:L52),$E$4)</f>
        <v>0</v>
      </c>
      <c r="M53" s="25">
        <f ca="1">IF(G53="Всього:",SUM($M$5:M52),IF($E$5="UAH",J53+L53+K53,J53+K53))</f>
        <v>33005</v>
      </c>
      <c r="N53" s="27" t="str">
        <f ca="1">IF(G53="Всього:",SUM($N$4:N52),IF($E$5="UAH","",L53))</f>
        <v/>
      </c>
      <c r="O53" s="25">
        <f t="shared" ca="1" si="0"/>
        <v>-1273075.6119484303</v>
      </c>
      <c r="P53" s="33">
        <f t="shared" ca="1" si="1"/>
        <v>47332</v>
      </c>
      <c r="Q53" s="8">
        <f t="shared" ca="1" si="4"/>
        <v>33005</v>
      </c>
      <c r="R53" s="8">
        <f>IF(E8&gt;H53,$AA$7*0.9*0.9*0.9*0.9*5.48%,"")</f>
        <v>35954.28</v>
      </c>
    </row>
    <row r="54" spans="6:18" s="8" customFormat="1" ht="13.2" x14ac:dyDescent="0.25">
      <c r="F54" s="34">
        <f t="shared" ca="1" si="2"/>
        <v>12.99</v>
      </c>
      <c r="G54" s="23">
        <f t="shared" ca="1" si="5"/>
        <v>47363</v>
      </c>
      <c r="H54" s="24">
        <f t="shared" si="3"/>
        <v>50</v>
      </c>
      <c r="I54" s="25">
        <f ca="1">IF($G54="Всього:",SUM($I$4:I53),MAX($C$32,K54))</f>
        <v>33005</v>
      </c>
      <c r="J54" s="25">
        <f ca="1">IF($G54="Всього:",SUM($J$4:J53),IF(I54-SUM(K54:L54)&lt;0,0,I54-SUM(K54:L54)))</f>
        <v>47245.411615986479</v>
      </c>
      <c r="K54" s="25">
        <f ca="1">IF(G54="Всього:",SUM($K$5:K53),F54*O53/36000*(G54-G53))</f>
        <v>-14240.411615986483</v>
      </c>
      <c r="L54" s="25">
        <f ca="1">IF(G54="Всього:",SUM($L$5:L53),$E$4)</f>
        <v>0</v>
      </c>
      <c r="M54" s="25">
        <f ca="1">IF(G54="Всього:",SUM($M$5:M53),IF($E$5="UAH",J54+L54+K54,J54+K54))</f>
        <v>33005</v>
      </c>
      <c r="N54" s="27" t="str">
        <f ca="1">IF(G54="Всього:",SUM($N$4:N53),IF($E$5="UAH","",L54))</f>
        <v/>
      </c>
      <c r="O54" s="25">
        <f t="shared" ca="1" si="0"/>
        <v>-1320321.0235644167</v>
      </c>
      <c r="P54" s="33">
        <f t="shared" ca="1" si="1"/>
        <v>47363</v>
      </c>
      <c r="Q54" s="8">
        <f t="shared" ca="1" si="4"/>
        <v>33005</v>
      </c>
    </row>
    <row r="55" spans="6:18" s="8" customFormat="1" ht="13.2" x14ac:dyDescent="0.25">
      <c r="F55" s="34">
        <f t="shared" ca="1" si="2"/>
        <v>12.99</v>
      </c>
      <c r="G55" s="23">
        <f t="shared" ca="1" si="5"/>
        <v>47393</v>
      </c>
      <c r="H55" s="24">
        <f t="shared" si="3"/>
        <v>51</v>
      </c>
      <c r="I55" s="25">
        <f ca="1">IF($G55="Всього:",SUM($I$4:I54),MAX($C$32,K55))</f>
        <v>33005</v>
      </c>
      <c r="J55" s="25">
        <f ca="1">IF($G55="Всього:",SUM($J$4:J54),IF(I55-SUM(K55:L55)&lt;0,0,I55-SUM(K55:L55)))</f>
        <v>47297.475080084812</v>
      </c>
      <c r="K55" s="25">
        <f ca="1">IF(G55="Всього:",SUM($K$5:K54),F55*O54/36000*(G55-G54))</f>
        <v>-14292.475080084811</v>
      </c>
      <c r="L55" s="25">
        <f ca="1">IF(G55="Всього:",SUM($L$5:L54),$E$4)</f>
        <v>0</v>
      </c>
      <c r="M55" s="25">
        <f ca="1">IF(G55="Всього:",SUM($M$5:M54),IF($E$5="UAH",J55+L55+K55,J55+K55))</f>
        <v>33005</v>
      </c>
      <c r="N55" s="27" t="str">
        <f ca="1">IF(G55="Всього:",SUM($N$4:N54),IF($E$5="UAH","",L55))</f>
        <v/>
      </c>
      <c r="O55" s="25">
        <f t="shared" ca="1" si="0"/>
        <v>-1367618.4986445014</v>
      </c>
      <c r="P55" s="33">
        <f t="shared" ca="1" si="1"/>
        <v>47393</v>
      </c>
      <c r="Q55" s="8">
        <f t="shared" ca="1" si="4"/>
        <v>33005</v>
      </c>
    </row>
    <row r="56" spans="6:18" s="8" customFormat="1" ht="13.2" x14ac:dyDescent="0.25">
      <c r="F56" s="34">
        <f t="shared" ca="1" si="2"/>
        <v>12.99</v>
      </c>
      <c r="G56" s="23">
        <f t="shared" ca="1" si="5"/>
        <v>47424</v>
      </c>
      <c r="H56" s="24">
        <f t="shared" si="3"/>
        <v>52</v>
      </c>
      <c r="I56" s="25">
        <f ca="1">IF($G56="Всього:",SUM($I$4:I55),MAX($C$32,K56))</f>
        <v>33005</v>
      </c>
      <c r="J56" s="25">
        <f ca="1">IF($G56="Всього:",SUM($J$4:J55),IF(I56-SUM(K56:L56)&lt;0,0,I56-SUM(K56:L56)))</f>
        <v>48302.952589420951</v>
      </c>
      <c r="K56" s="25">
        <f ca="1">IF(G56="Всього:",SUM($K$5:K55),F56*O55/36000*(G56-G55))</f>
        <v>-15297.952589420953</v>
      </c>
      <c r="L56" s="25">
        <f ca="1">IF(G56="Всього:",SUM($L$5:L55),$E$4)</f>
        <v>0</v>
      </c>
      <c r="M56" s="25">
        <f ca="1">IF(G56="Всього:",SUM($M$5:M55),IF($E$5="UAH",J56+L56+K56,J56+K56))</f>
        <v>33005</v>
      </c>
      <c r="N56" s="27" t="str">
        <f ca="1">IF(G56="Всього:",SUM($N$4:N55),IF($E$5="UAH","",L56))</f>
        <v/>
      </c>
      <c r="O56" s="25">
        <f t="shared" ca="1" si="0"/>
        <v>-1415921.4512339225</v>
      </c>
      <c r="P56" s="33">
        <f t="shared" ca="1" si="1"/>
        <v>47424</v>
      </c>
      <c r="Q56" s="8">
        <f t="shared" ca="1" si="4"/>
        <v>33005</v>
      </c>
    </row>
    <row r="57" spans="6:18" s="8" customFormat="1" ht="13.2" x14ac:dyDescent="0.25">
      <c r="F57" s="34">
        <f t="shared" ca="1" si="2"/>
        <v>12.99</v>
      </c>
      <c r="G57" s="23">
        <f t="shared" ca="1" si="5"/>
        <v>47454</v>
      </c>
      <c r="H57" s="24">
        <f t="shared" si="3"/>
        <v>53</v>
      </c>
      <c r="I57" s="25">
        <f ca="1">IF($G57="Всього:",SUM($I$4:I56),MAX($C$32,K57))</f>
        <v>33005</v>
      </c>
      <c r="J57" s="25">
        <f ca="1">IF($G57="Всього:",SUM($J$4:J56),IF(I57-SUM(K57:L57)&lt;0,0,I57-SUM(K57:L57)))</f>
        <v>48332.34970960721</v>
      </c>
      <c r="K57" s="25">
        <f ca="1">IF(G57="Всього:",SUM($K$5:K56),F57*O56/36000*(G57-G56))</f>
        <v>-15327.34970960721</v>
      </c>
      <c r="L57" s="25">
        <f ca="1">IF(G57="Всього:",SUM($L$5:L56),$E$4)</f>
        <v>0</v>
      </c>
      <c r="M57" s="25">
        <f ca="1">IF(G57="Всього:",SUM($M$5:M56),IF($E$5="UAH",J57+L57+K57,J57+K57))</f>
        <v>33005</v>
      </c>
      <c r="N57" s="27" t="str">
        <f ca="1">IF(G57="Всього:",SUM($N$4:N56),IF($E$5="UAH","",L57))</f>
        <v/>
      </c>
      <c r="O57" s="25">
        <f t="shared" ca="1" si="0"/>
        <v>-1464253.8009435297</v>
      </c>
      <c r="P57" s="33">
        <f t="shared" ca="1" si="1"/>
        <v>47454</v>
      </c>
      <c r="Q57" s="8">
        <f t="shared" ca="1" si="4"/>
        <v>33005</v>
      </c>
    </row>
    <row r="58" spans="6:18" s="8" customFormat="1" ht="13.2" x14ac:dyDescent="0.25">
      <c r="F58" s="34">
        <f t="shared" ca="1" si="2"/>
        <v>12.99</v>
      </c>
      <c r="G58" s="23">
        <f t="shared" ca="1" si="5"/>
        <v>47485</v>
      </c>
      <c r="H58" s="24">
        <f t="shared" si="3"/>
        <v>54</v>
      </c>
      <c r="I58" s="25">
        <f ca="1">IF($G58="Всього:",SUM($I$4:I57),MAX($C$32,K58))</f>
        <v>33005</v>
      </c>
      <c r="J58" s="25">
        <f ca="1">IF($G58="Всього:",SUM($J$4:J57),IF(I58-SUM(K58:L58)&lt;0,0,I58-SUM(K58:L58)))</f>
        <v>49383.898975054166</v>
      </c>
      <c r="K58" s="25">
        <f ca="1">IF(G58="Всього:",SUM($K$5:K57),F58*O57/36000*(G58-G57))</f>
        <v>-16378.898975054164</v>
      </c>
      <c r="L58" s="25">
        <f ca="1">IF(G58="Всього:",SUM($L$5:L57),$E$4)</f>
        <v>0</v>
      </c>
      <c r="M58" s="25">
        <f ca="1">IF(G58="Всього:",SUM($M$5:M57),IF($E$5="UAH",J58+L58+K58,J58+K58))</f>
        <v>33005</v>
      </c>
      <c r="N58" s="27" t="str">
        <f ca="1">IF(G58="Всього:",SUM($N$4:N57),IF($E$5="UAH","",L58))</f>
        <v/>
      </c>
      <c r="O58" s="25">
        <f t="shared" ca="1" si="0"/>
        <v>-1513637.699918584</v>
      </c>
      <c r="P58" s="33">
        <f t="shared" ca="1" si="1"/>
        <v>47485</v>
      </c>
      <c r="Q58" s="8">
        <f t="shared" ca="1" si="4"/>
        <v>33005</v>
      </c>
    </row>
    <row r="59" spans="6:18" s="8" customFormat="1" ht="13.2" x14ac:dyDescent="0.25">
      <c r="F59" s="34">
        <f t="shared" ca="1" si="2"/>
        <v>12.99</v>
      </c>
      <c r="G59" s="23">
        <f t="shared" ca="1" si="5"/>
        <v>47516</v>
      </c>
      <c r="H59" s="24">
        <f t="shared" si="3"/>
        <v>55</v>
      </c>
      <c r="I59" s="25">
        <f ca="1">IF($G59="Всього:",SUM($I$4:I58),MAX($C$32,K59))</f>
        <v>33005</v>
      </c>
      <c r="J59" s="25">
        <f ca="1">IF($G59="Всього:",SUM($J$4:J58),IF(I59-SUM(K59:L59)&lt;0,0,I59-SUM(K59:L59)))</f>
        <v>49936.29903833929</v>
      </c>
      <c r="K59" s="25">
        <f ca="1">IF(G59="Всього:",SUM($K$5:K58),F59*O58/36000*(G59-G58))</f>
        <v>-16931.299038339293</v>
      </c>
      <c r="L59" s="25">
        <f ca="1">IF(G59="Всього:",SUM($L$5:L58),$E$4)</f>
        <v>0</v>
      </c>
      <c r="M59" s="25">
        <f ca="1">IF(G59="Всього:",SUM($M$5:M58),IF($E$5="UAH",J59+L59+K59,J59+K59))</f>
        <v>33005</v>
      </c>
      <c r="N59" s="27" t="str">
        <f ca="1">IF(G59="Всього:",SUM($N$4:N58),IF($E$5="UAH","",L59))</f>
        <v/>
      </c>
      <c r="O59" s="25">
        <f t="shared" ca="1" si="0"/>
        <v>-1563573.9989569234</v>
      </c>
      <c r="P59" s="33">
        <f t="shared" ca="1" si="1"/>
        <v>47516</v>
      </c>
      <c r="Q59" s="8">
        <f t="shared" ca="1" si="4"/>
        <v>33005</v>
      </c>
    </row>
    <row r="60" spans="6:18" s="8" customFormat="1" ht="13.2" x14ac:dyDescent="0.25">
      <c r="F60" s="34">
        <f t="shared" ca="1" si="2"/>
        <v>12.99</v>
      </c>
      <c r="G60" s="23">
        <f t="shared" ca="1" si="5"/>
        <v>47544</v>
      </c>
      <c r="H60" s="24">
        <f t="shared" si="3"/>
        <v>56</v>
      </c>
      <c r="I60" s="25">
        <f ca="1">IF($G60="Всього:",SUM($I$4:I59),MAX($C$32,K60))</f>
        <v>33005</v>
      </c>
      <c r="J60" s="25">
        <f ca="1">IF($G60="Всього:",SUM($J$4:J59),IF(I60-SUM(K60:L60)&lt;0,0,I60-SUM(K60:L60)))</f>
        <v>48802.309302794783</v>
      </c>
      <c r="K60" s="25">
        <f ca="1">IF(G60="Всього:",SUM($K$5:K59),F60*O59/36000*(G60-G59))</f>
        <v>-15797.309302794783</v>
      </c>
      <c r="L60" s="25">
        <f ca="1">IF(G60="Всього:",SUM($L$5:L59),$E$4)</f>
        <v>0</v>
      </c>
      <c r="M60" s="25">
        <f ca="1">IF(G60="Всього:",SUM($M$5:M59),IF($E$5="UAH",J60+L60+K60,J60+K60))</f>
        <v>33005</v>
      </c>
      <c r="N60" s="27" t="str">
        <f ca="1">IF(G60="Всього:",SUM($N$4:N59),IF($E$5="UAH","",L60))</f>
        <v/>
      </c>
      <c r="O60" s="25">
        <f t="shared" ca="1" si="0"/>
        <v>-1612376.3082597181</v>
      </c>
      <c r="P60" s="33">
        <f t="shared" ca="1" si="1"/>
        <v>47544</v>
      </c>
      <c r="Q60" s="8">
        <f t="shared" ca="1" si="4"/>
        <v>33005</v>
      </c>
    </row>
    <row r="61" spans="6:18" s="8" customFormat="1" ht="13.2" x14ac:dyDescent="0.25">
      <c r="F61" s="34">
        <f t="shared" ca="1" si="2"/>
        <v>12.99</v>
      </c>
      <c r="G61" s="23">
        <f t="shared" ca="1" si="5"/>
        <v>47575</v>
      </c>
      <c r="H61" s="24">
        <f t="shared" si="3"/>
        <v>57</v>
      </c>
      <c r="I61" s="25">
        <f ca="1">IF($G61="Всього:",SUM($I$4:I60),MAX($C$32,K61))</f>
        <v>33005</v>
      </c>
      <c r="J61" s="25">
        <f ca="1">IF($G61="Всього:",SUM($J$4:J60),IF(I61-SUM(K61:L61)&lt;0,0,I61-SUM(K61:L61)))</f>
        <v>51040.772654808497</v>
      </c>
      <c r="K61" s="25">
        <f ca="1">IF(G61="Всього:",SUM($K$5:K60),F61*O60/36000*(G61-G60))</f>
        <v>-18035.772654808497</v>
      </c>
      <c r="L61" s="25">
        <f ca="1">IF(G61="Всього:",SUM($L$5:L60),$E$4)</f>
        <v>0</v>
      </c>
      <c r="M61" s="25">
        <f ca="1">IF(G61="Всього:",SUM($M$5:M60),IF($E$5="UAH",J61+L61+K61,J61+K61))</f>
        <v>33005</v>
      </c>
      <c r="N61" s="27" t="str">
        <f ca="1">IF(G61="Всього:",SUM($N$4:N60),IF($E$5="UAH","",L61))</f>
        <v/>
      </c>
      <c r="O61" s="25">
        <f t="shared" ca="1" si="0"/>
        <v>-1663417.0809145267</v>
      </c>
      <c r="P61" s="33">
        <f t="shared" ca="1" si="1"/>
        <v>47575</v>
      </c>
      <c r="Q61" s="8">
        <f t="shared" ca="1" si="4"/>
        <v>33005</v>
      </c>
    </row>
    <row r="62" spans="6:18" s="8" customFormat="1" ht="13.2" x14ac:dyDescent="0.25">
      <c r="F62" s="34">
        <f t="shared" ca="1" si="2"/>
        <v>12.99</v>
      </c>
      <c r="G62" s="23">
        <f t="shared" ca="1" si="5"/>
        <v>47605</v>
      </c>
      <c r="H62" s="24">
        <f t="shared" si="3"/>
        <v>58</v>
      </c>
      <c r="I62" s="25">
        <f ca="1">IF($G62="Всього:",SUM($I$4:I61),MAX($C$32,K62))</f>
        <v>33005</v>
      </c>
      <c r="J62" s="25">
        <f ca="1">IF($G62="Всього:",SUM($J$4:J61),IF(I62-SUM(K62:L62)&lt;0,0,I62-SUM(K62:L62)))</f>
        <v>51011.489900899753</v>
      </c>
      <c r="K62" s="25">
        <f ca="1">IF(G62="Всього:",SUM($K$5:K61),F62*O61/36000*(G62-G61))</f>
        <v>-18006.489900899753</v>
      </c>
      <c r="L62" s="25">
        <f ca="1">IF(G62="Всього:",SUM($L$5:L61),$E$4)</f>
        <v>0</v>
      </c>
      <c r="M62" s="25">
        <f ca="1">IF(G62="Всього:",SUM($M$5:M61),IF($E$5="UAH",J62+L62+K62,J62+K62))</f>
        <v>33005</v>
      </c>
      <c r="N62" s="27" t="str">
        <f ca="1">IF(G62="Всього:",SUM($N$4:N61),IF($E$5="UAH","",L62))</f>
        <v/>
      </c>
      <c r="O62" s="25">
        <f t="shared" ca="1" si="0"/>
        <v>-1714428.5708154265</v>
      </c>
      <c r="P62" s="33">
        <f t="shared" ca="1" si="1"/>
        <v>47605</v>
      </c>
      <c r="Q62" s="8">
        <f t="shared" ca="1" si="4"/>
        <v>33005</v>
      </c>
    </row>
    <row r="63" spans="6:18" s="8" customFormat="1" ht="13.2" x14ac:dyDescent="0.25">
      <c r="F63" s="34">
        <f t="shared" ca="1" si="2"/>
        <v>12.99</v>
      </c>
      <c r="G63" s="23">
        <f t="shared" ca="1" si="5"/>
        <v>47636</v>
      </c>
      <c r="H63" s="24">
        <f t="shared" si="3"/>
        <v>59</v>
      </c>
      <c r="I63" s="25">
        <f ca="1">IF($G63="Всього:",SUM($I$4:I62),MAX($C$32,K63))</f>
        <v>33005</v>
      </c>
      <c r="J63" s="25">
        <f ca="1">IF($G63="Всього:",SUM($J$4:J62),IF(I63-SUM(K63:L63)&lt;0,0,I63-SUM(K63:L63)))</f>
        <v>52182.312255046229</v>
      </c>
      <c r="K63" s="25">
        <f ca="1">IF(G63="Всього:",SUM($K$5:K62),F63*O62/36000*(G63-G62))</f>
        <v>-19177.312255046225</v>
      </c>
      <c r="L63" s="25">
        <f ca="1">IF(G63="Всього:",SUM($L$5:L62),$E$4)</f>
        <v>0</v>
      </c>
      <c r="M63" s="25">
        <f ca="1">IF(G63="Всього:",SUM($M$5:M62),IF($E$5="UAH",J63+L63+K63,J63+K63))</f>
        <v>33005</v>
      </c>
      <c r="N63" s="27" t="str">
        <f ca="1">IF(G63="Всього:",SUM($N$4:N62),IF($E$5="UAH","",L63))</f>
        <v/>
      </c>
      <c r="O63" s="25">
        <f t="shared" ca="1" si="0"/>
        <v>-1766610.8830704729</v>
      </c>
      <c r="P63" s="33">
        <f t="shared" ca="1" si="1"/>
        <v>47636</v>
      </c>
      <c r="Q63" s="8">
        <f t="shared" ca="1" si="4"/>
        <v>33005</v>
      </c>
    </row>
    <row r="64" spans="6:18" s="8" customFormat="1" ht="13.2" x14ac:dyDescent="0.25">
      <c r="F64" s="34">
        <f t="shared" ca="1" si="2"/>
        <v>12.99</v>
      </c>
      <c r="G64" s="23">
        <f t="shared" ca="1" si="5"/>
        <v>47666</v>
      </c>
      <c r="H64" s="24">
        <f t="shared" si="3"/>
        <v>60</v>
      </c>
      <c r="I64" s="25">
        <f ca="1">IF($G64="Всього:",SUM($I$4:I63),MAX($C$32,K64))</f>
        <v>33005</v>
      </c>
      <c r="J64" s="25">
        <f ca="1">IF($G64="Всього:",SUM($J$4:J63),IF(I64-SUM(K64:L64)&lt;0,0,I64-SUM(K64:L64)))</f>
        <v>52128.562809237868</v>
      </c>
      <c r="K64" s="25">
        <f ca="1">IF(G64="Всього:",SUM($K$5:K63),F64*O63/36000*(G64-G63))</f>
        <v>-19123.562809237868</v>
      </c>
      <c r="L64" s="25">
        <f ca="1">IF(G64="Всього:",SUM($L$5:L63),$E$4)</f>
        <v>0</v>
      </c>
      <c r="M64" s="25">
        <f ca="1">IF(G64="Всього:",SUM($M$5:M63),IF($E$5="UAH",J64+L64+K64,J64+K64))</f>
        <v>33005</v>
      </c>
      <c r="N64" s="27" t="str">
        <f ca="1">IF(G64="Всього:",SUM($N$4:N63),IF($E$5="UAH","",L64))</f>
        <v/>
      </c>
      <c r="O64" s="25">
        <f t="shared" ca="1" si="0"/>
        <v>-1818739.4458797108</v>
      </c>
      <c r="P64" s="33">
        <f t="shared" ca="1" si="1"/>
        <v>47666</v>
      </c>
      <c r="Q64" s="8">
        <f t="shared" ca="1" si="4"/>
        <v>65363.851999999999</v>
      </c>
    </row>
    <row r="65" spans="6:18" s="8" customFormat="1" ht="13.2" x14ac:dyDescent="0.25">
      <c r="F65" s="34">
        <f t="shared" ca="1" si="2"/>
        <v>12.99</v>
      </c>
      <c r="G65" s="23">
        <f t="shared" ca="1" si="5"/>
        <v>47697</v>
      </c>
      <c r="H65" s="24">
        <f t="shared" si="3"/>
        <v>61</v>
      </c>
      <c r="I65" s="25">
        <f ca="1">IF($G65="Всього:",SUM($I$4:I64),MAX($C$32,K65))</f>
        <v>33005</v>
      </c>
      <c r="J65" s="25">
        <f ca="1">IF($G65="Всього:",SUM($J$4:J64),IF(I65-SUM(K65:L65)&lt;0,0,I65-SUM(K65:L65)))</f>
        <v>53349.116318369466</v>
      </c>
      <c r="K65" s="25">
        <f ca="1">IF(G65="Всього:",SUM($K$5:K64),F65*O64/36000*(G65-G64))</f>
        <v>-20344.116318369466</v>
      </c>
      <c r="L65" s="25">
        <f ca="1">IF(G65="Всього:",SUM($L$5:L64),$E$4)</f>
        <v>0</v>
      </c>
      <c r="M65" s="25">
        <f ca="1">IF(G65="Всього:",SUM($M$5:M64),IF($E$5="UAH",J65+L65+K65,J65+K65))</f>
        <v>33005</v>
      </c>
      <c r="N65" s="27" t="str">
        <f ca="1">IF(G65="Всього:",SUM($N$4:N64),IF($E$5="UAH","",L65))</f>
        <v/>
      </c>
      <c r="O65" s="25">
        <f t="shared" ca="1" si="0"/>
        <v>-1872088.5621980804</v>
      </c>
      <c r="P65" s="33">
        <f t="shared" ca="1" si="1"/>
        <v>47697</v>
      </c>
      <c r="Q65" s="8">
        <f t="shared" ca="1" si="4"/>
        <v>33005</v>
      </c>
      <c r="R65" s="8">
        <f>IF(E8&gt;H65,$AA$7*0.9*0.9*0.9*0.9*0.9*5.48%,"")</f>
        <v>32358.852000000003</v>
      </c>
    </row>
    <row r="66" spans="6:18" s="8" customFormat="1" ht="13.2" x14ac:dyDescent="0.25">
      <c r="F66" s="34">
        <f t="shared" ca="1" si="2"/>
        <v>12.99</v>
      </c>
      <c r="G66" s="23">
        <f t="shared" ca="1" si="5"/>
        <v>47728</v>
      </c>
      <c r="H66" s="24">
        <f t="shared" si="3"/>
        <v>62</v>
      </c>
      <c r="I66" s="25">
        <f ca="1">IF($G66="Всього:",SUM($I$4:I65),MAX($C$32,K66))</f>
        <v>33005</v>
      </c>
      <c r="J66" s="25">
        <f ca="1">IF($G66="Всього:",SUM($J$4:J65),IF(I66-SUM(K66:L66)&lt;0,0,I66-SUM(K66:L66)))</f>
        <v>53945.870641987363</v>
      </c>
      <c r="K66" s="25">
        <f ca="1">IF(G66="Всього:",SUM($K$5:K65),F66*O65/36000*(G66-G65))</f>
        <v>-20940.87064198736</v>
      </c>
      <c r="L66" s="25">
        <f ca="1">IF(G66="Всього:",SUM($L$5:L65),$E$4)</f>
        <v>0</v>
      </c>
      <c r="M66" s="25">
        <f ca="1">IF(G66="Всього:",SUM($M$5:M65),IF($E$5="UAH",J66+L66+K66,J66+K66))</f>
        <v>33005</v>
      </c>
      <c r="N66" s="27" t="str">
        <f ca="1">IF(G66="Всього:",SUM($N$4:N65),IF($E$5="UAH","",L66))</f>
        <v/>
      </c>
      <c r="O66" s="25">
        <f t="shared" ca="1" si="0"/>
        <v>-1926034.4328400677</v>
      </c>
      <c r="P66" s="33">
        <f t="shared" ca="1" si="1"/>
        <v>47728</v>
      </c>
      <c r="Q66" s="8">
        <f t="shared" ca="1" si="4"/>
        <v>33005</v>
      </c>
    </row>
    <row r="67" spans="6:18" s="8" customFormat="1" ht="13.2" x14ac:dyDescent="0.25">
      <c r="F67" s="34">
        <f t="shared" ca="1" si="2"/>
        <v>12.99</v>
      </c>
      <c r="G67" s="23">
        <f t="shared" ca="1" si="5"/>
        <v>47758</v>
      </c>
      <c r="H67" s="24">
        <f t="shared" si="3"/>
        <v>63</v>
      </c>
      <c r="I67" s="25">
        <f ca="1">IF($G67="Всього:",SUM($I$4:I66),MAX($C$32,K67))</f>
        <v>33005</v>
      </c>
      <c r="J67" s="25">
        <f ca="1">IF($G67="Всього:",SUM($J$4:J66),IF(I67-SUM(K67:L67)&lt;0,0,I67-SUM(K67:L67)))</f>
        <v>53854.322735493733</v>
      </c>
      <c r="K67" s="25">
        <f ca="1">IF(G67="Всього:",SUM($K$5:K66),F67*O66/36000*(G67-G66))</f>
        <v>-20849.322735493733</v>
      </c>
      <c r="L67" s="25">
        <f ca="1">IF(G67="Всього:",SUM($L$5:L66),$E$4)</f>
        <v>0</v>
      </c>
      <c r="M67" s="25">
        <f ca="1">IF(G67="Всього:",SUM($M$5:M66),IF($E$5="UAH",J67+L67+K67,J67+K67))</f>
        <v>33005</v>
      </c>
      <c r="N67" s="27" t="str">
        <f ca="1">IF(G67="Всього:",SUM($N$4:N66),IF($E$5="UAH","",L67))</f>
        <v/>
      </c>
      <c r="O67" s="25">
        <f t="shared" ca="1" si="0"/>
        <v>-1979888.7555755614</v>
      </c>
      <c r="P67" s="33">
        <f t="shared" ca="1" si="1"/>
        <v>47758</v>
      </c>
      <c r="Q67" s="8">
        <f t="shared" ca="1" si="4"/>
        <v>33005</v>
      </c>
    </row>
    <row r="68" spans="6:18" s="8" customFormat="1" ht="13.2" x14ac:dyDescent="0.25">
      <c r="F68" s="34">
        <f t="shared" ca="1" si="2"/>
        <v>12.99</v>
      </c>
      <c r="G68" s="23">
        <f t="shared" ca="1" si="5"/>
        <v>47789</v>
      </c>
      <c r="H68" s="24">
        <f t="shared" si="3"/>
        <v>64</v>
      </c>
      <c r="I68" s="25">
        <f ca="1">IF($G68="Всього:",SUM($I$4:I67),MAX($C$32,K68))</f>
        <v>33005</v>
      </c>
      <c r="J68" s="25">
        <f ca="1">IF($G68="Всього:",SUM($J$4:J67),IF(I68-SUM(K68:L68)&lt;0,0,I68-SUM(K68:L68)))</f>
        <v>55151.705638408966</v>
      </c>
      <c r="K68" s="25">
        <f ca="1">IF(G68="Всього:",SUM($K$5:K67),F68*O67/36000*(G68-G67))</f>
        <v>-22146.705638408966</v>
      </c>
      <c r="L68" s="25">
        <f ca="1">IF(G68="Всього:",SUM($L$5:L67),$E$4)</f>
        <v>0</v>
      </c>
      <c r="M68" s="25">
        <f ca="1">IF(G68="Всього:",SUM($M$5:M67),IF($E$5="UAH",J68+L68+K68,J68+K68))</f>
        <v>33005</v>
      </c>
      <c r="N68" s="27" t="str">
        <f ca="1">IF(G68="Всього:",SUM($N$4:N67),IF($E$5="UAH","",L68))</f>
        <v/>
      </c>
      <c r="O68" s="25">
        <f t="shared" ca="1" si="0"/>
        <v>-2035040.4612139703</v>
      </c>
      <c r="P68" s="33">
        <f t="shared" ca="1" si="1"/>
        <v>47789</v>
      </c>
      <c r="Q68" s="8">
        <f t="shared" ca="1" si="4"/>
        <v>33005</v>
      </c>
    </row>
    <row r="69" spans="6:18" s="8" customFormat="1" ht="13.2" x14ac:dyDescent="0.25">
      <c r="F69" s="34">
        <f t="shared" ca="1" si="2"/>
        <v>12.99</v>
      </c>
      <c r="G69" s="23">
        <f t="shared" ca="1" si="5"/>
        <v>47819</v>
      </c>
      <c r="H69" s="24">
        <f t="shared" si="3"/>
        <v>65</v>
      </c>
      <c r="I69" s="25">
        <f ca="1">IF($G69="Всього:",SUM($I$4:I68),MAX($C$32,K69))</f>
        <v>33005</v>
      </c>
      <c r="J69" s="25">
        <f ca="1">IF($G69="Всього:",SUM($J$4:J68),IF(I69-SUM(K69:L69)&lt;0,0,I69-SUM(K69:L69)))</f>
        <v>55034.312992641229</v>
      </c>
      <c r="K69" s="25">
        <f ca="1">IF(G69="Всього:",SUM($K$5:K68),F69*O68/36000*(G69-G68))</f>
        <v>-22029.312992641229</v>
      </c>
      <c r="L69" s="25">
        <f ca="1">IF(G69="Всього:",SUM($L$5:L68),$E$4)</f>
        <v>0</v>
      </c>
      <c r="M69" s="25">
        <f ca="1">IF(G69="Всього:",SUM($M$5:M68),IF($E$5="UAH",J69+L69+K69,J69+K69))</f>
        <v>33005</v>
      </c>
      <c r="N69" s="27" t="str">
        <f ca="1">IF(G69="Всього:",SUM($N$4:N68),IF($E$5="UAH","",L69))</f>
        <v/>
      </c>
      <c r="O69" s="25">
        <f t="shared" ref="O69:O132" ca="1" si="8">O68-J69</f>
        <v>-2090074.7742066116</v>
      </c>
      <c r="P69" s="33">
        <f t="shared" ref="P69:P132" ca="1" si="9">G69</f>
        <v>47819</v>
      </c>
      <c r="Q69" s="8">
        <f t="shared" ca="1" si="4"/>
        <v>33005</v>
      </c>
    </row>
    <row r="70" spans="6:18" s="8" customFormat="1" ht="13.2" x14ac:dyDescent="0.25">
      <c r="F70" s="34">
        <f t="shared" ref="F70:F133" ca="1" si="10">IF(G70="Всього:","",IF(AND(G70&gt;$B$9,G70&lt;=$B$10),$C$16,IF(AND(G70&gt;$B$9,G70&lt;=$B$11),$D$16,IF(AND(G70&gt;$B$10,G70&lt;=$B$14),$E$16,$B$16))))</f>
        <v>12.99</v>
      </c>
      <c r="G70" s="23">
        <f t="shared" ca="1" si="5"/>
        <v>47850</v>
      </c>
      <c r="H70" s="24">
        <f t="shared" ref="H70:H133" si="11">IF(H69&gt;$E$8,"",H69+1)</f>
        <v>66</v>
      </c>
      <c r="I70" s="25">
        <f ca="1">IF($G70="Всього:",SUM($I$4:I69),MAX($C$32,K70))</f>
        <v>33005</v>
      </c>
      <c r="J70" s="25">
        <f ca="1">IF($G70="Всього:",SUM($J$4:J69),IF(I70-SUM(K70:L70)&lt;0,0,I70-SUM(K70:L70)))</f>
        <v>56384.228078479457</v>
      </c>
      <c r="K70" s="25">
        <f ca="1">IF(G70="Всього:",SUM($K$5:K69),F70*O69/36000*(G70-G69))</f>
        <v>-23379.228078479457</v>
      </c>
      <c r="L70" s="25">
        <f ca="1">IF(G70="Всього:",SUM($L$5:L69),$E$4)</f>
        <v>0</v>
      </c>
      <c r="M70" s="25">
        <f ca="1">IF(G70="Всього:",SUM($M$5:M69),IF($E$5="UAH",J70+L70+K70,J70+K70))</f>
        <v>33005</v>
      </c>
      <c r="N70" s="27" t="str">
        <f ca="1">IF(G70="Всього:",SUM($N$4:N69),IF($E$5="UAH","",L70))</f>
        <v/>
      </c>
      <c r="O70" s="25">
        <f t="shared" ca="1" si="8"/>
        <v>-2146459.0022850912</v>
      </c>
      <c r="P70" s="33">
        <f t="shared" ca="1" si="9"/>
        <v>47850</v>
      </c>
      <c r="Q70" s="8">
        <f t="shared" ref="Q70:Q133" ca="1" si="12">IF(R71="",I70,IFERROR(I70+R71,0))</f>
        <v>33005</v>
      </c>
    </row>
    <row r="71" spans="6:18" s="8" customFormat="1" ht="13.2" x14ac:dyDescent="0.25">
      <c r="F71" s="34">
        <f t="shared" ca="1" si="10"/>
        <v>12.99</v>
      </c>
      <c r="G71" s="23">
        <f t="shared" ref="G71:G134" ca="1" si="13">IF(H70=$E$3,"Всього:",IF($E$3=H71,$B$14,DATE(YEAR(G70),MONTH(G70)+1,IF($B$7&lt;&gt;"",DAY(IF($B$7&gt;DAY(EOMONTH(G70,1)),EOMONTH(G70,1),$B$7)),DAY(1)))))</f>
        <v>47881</v>
      </c>
      <c r="H71" s="24">
        <f t="shared" si="11"/>
        <v>67</v>
      </c>
      <c r="I71" s="25">
        <f ca="1">IF($G71="Всього:",SUM($I$4:I70),MAX($C$32,K71))</f>
        <v>33005</v>
      </c>
      <c r="J71" s="25">
        <f ca="1">IF($G71="Всього:",SUM($J$4:J70),IF(I71-SUM(K71:L71)&lt;0,0,I71-SUM(K71:L71)))</f>
        <v>57014.932656393983</v>
      </c>
      <c r="K71" s="25">
        <f ca="1">IF(G71="Всього:",SUM($K$5:K70),F71*O70/36000*(G71-G70))</f>
        <v>-24009.932656393987</v>
      </c>
      <c r="L71" s="25">
        <f ca="1">IF(G71="Всього:",SUM($L$5:L70),$E$4)</f>
        <v>0</v>
      </c>
      <c r="M71" s="25">
        <f ca="1">IF(G71="Всього:",SUM($M$5:M70),IF($E$5="UAH",J71+L71+K71,J71+K71))</f>
        <v>33005</v>
      </c>
      <c r="N71" s="27" t="str">
        <f ca="1">IF(G71="Всього:",SUM($N$4:N70),IF($E$5="UAH","",L71))</f>
        <v/>
      </c>
      <c r="O71" s="25">
        <f t="shared" ca="1" si="8"/>
        <v>-2203473.9349414851</v>
      </c>
      <c r="P71" s="33">
        <f t="shared" ca="1" si="9"/>
        <v>47881</v>
      </c>
      <c r="Q71" s="8">
        <f t="shared" ca="1" si="12"/>
        <v>33005</v>
      </c>
    </row>
    <row r="72" spans="6:18" s="8" customFormat="1" ht="13.2" x14ac:dyDescent="0.25">
      <c r="F72" s="34">
        <f t="shared" ca="1" si="10"/>
        <v>12.99</v>
      </c>
      <c r="G72" s="23">
        <f t="shared" ca="1" si="13"/>
        <v>47909</v>
      </c>
      <c r="H72" s="24">
        <f t="shared" si="11"/>
        <v>68</v>
      </c>
      <c r="I72" s="25">
        <f ca="1">IF($G72="Всього:",SUM($I$4:I71),MAX($C$32,K72))</f>
        <v>33005</v>
      </c>
      <c r="J72" s="25">
        <f ca="1">IF($G72="Всього:",SUM($J$4:J71),IF(I72-SUM(K72:L72)&lt;0,0,I72-SUM(K72:L72)))</f>
        <v>55267.431656025467</v>
      </c>
      <c r="K72" s="25">
        <f ca="1">IF(G72="Всього:",SUM($K$5:K71),F72*O71/36000*(G72-G71))</f>
        <v>-22262.43165602547</v>
      </c>
      <c r="L72" s="25">
        <f ca="1">IF(G72="Всього:",SUM($L$5:L71),$E$4)</f>
        <v>0</v>
      </c>
      <c r="M72" s="25">
        <f ca="1">IF(G72="Всього:",SUM($M$5:M71),IF($E$5="UAH",J72+L72+K72,J72+K72))</f>
        <v>33005</v>
      </c>
      <c r="N72" s="27" t="str">
        <f ca="1">IF(G72="Всього:",SUM($N$4:N71),IF($E$5="UAH","",L72))</f>
        <v/>
      </c>
      <c r="O72" s="25">
        <f t="shared" ca="1" si="8"/>
        <v>-2258741.3665975104</v>
      </c>
      <c r="P72" s="33">
        <f t="shared" ca="1" si="9"/>
        <v>47909</v>
      </c>
      <c r="Q72" s="8">
        <f t="shared" ca="1" si="12"/>
        <v>33005</v>
      </c>
    </row>
    <row r="73" spans="6:18" s="8" customFormat="1" ht="13.2" x14ac:dyDescent="0.25">
      <c r="F73" s="34">
        <f t="shared" ca="1" si="10"/>
        <v>12.99</v>
      </c>
      <c r="G73" s="23">
        <f t="shared" ca="1" si="13"/>
        <v>47940</v>
      </c>
      <c r="H73" s="24">
        <f t="shared" si="11"/>
        <v>69</v>
      </c>
      <c r="I73" s="25">
        <f ca="1">IF($G73="Всього:",SUM($I$4:I72),MAX($C$32,K73))</f>
        <v>33005</v>
      </c>
      <c r="J73" s="25">
        <f ca="1">IF($G73="Всього:",SUM($J$4:J72),IF(I73-SUM(K73:L73)&lt;0,0,I73-SUM(K73:L73)))</f>
        <v>58270.904469865316</v>
      </c>
      <c r="K73" s="25">
        <f ca="1">IF(G73="Всього:",SUM($K$5:K72),F73*O72/36000*(G73-G72))</f>
        <v>-25265.90446986532</v>
      </c>
      <c r="L73" s="25">
        <f ca="1">IF(G73="Всього:",SUM($L$5:L72),$E$4)</f>
        <v>0</v>
      </c>
      <c r="M73" s="25">
        <f ca="1">IF(G73="Всього:",SUM($M$5:M72),IF($E$5="UAH",J73+L73+K73,J73+K73))</f>
        <v>33005</v>
      </c>
      <c r="N73" s="27" t="str">
        <f ca="1">IF(G73="Всього:",SUM($N$4:N72),IF($E$5="UAH","",L73))</f>
        <v/>
      </c>
      <c r="O73" s="25">
        <f t="shared" ca="1" si="8"/>
        <v>-2317012.2710673758</v>
      </c>
      <c r="P73" s="33">
        <f t="shared" ca="1" si="9"/>
        <v>47940</v>
      </c>
      <c r="Q73" s="8">
        <f t="shared" ca="1" si="12"/>
        <v>33005</v>
      </c>
    </row>
    <row r="74" spans="6:18" s="8" customFormat="1" ht="13.2" x14ac:dyDescent="0.25">
      <c r="F74" s="34">
        <f t="shared" ca="1" si="10"/>
        <v>12.99</v>
      </c>
      <c r="G74" s="23">
        <f t="shared" ca="1" si="13"/>
        <v>47970</v>
      </c>
      <c r="H74" s="24">
        <f t="shared" si="11"/>
        <v>70</v>
      </c>
      <c r="I74" s="25">
        <f ca="1">IF($G74="Всього:",SUM($I$4:I73),MAX($C$32,K74))</f>
        <v>33005</v>
      </c>
      <c r="J74" s="25">
        <f ca="1">IF($G74="Всього:",SUM($J$4:J73),IF(I74-SUM(K74:L74)&lt;0,0,I74-SUM(K74:L74)))</f>
        <v>58086.657834304344</v>
      </c>
      <c r="K74" s="25">
        <f ca="1">IF(G74="Всього:",SUM($K$5:K73),F74*O73/36000*(G74-G73))</f>
        <v>-25081.657834304344</v>
      </c>
      <c r="L74" s="25">
        <f ca="1">IF(G74="Всього:",SUM($L$5:L73),$E$4)</f>
        <v>0</v>
      </c>
      <c r="M74" s="25">
        <f ca="1">IF(G74="Всього:",SUM($M$5:M73),IF($E$5="UAH",J74+L74+K74,J74+K74))</f>
        <v>33005</v>
      </c>
      <c r="N74" s="27" t="str">
        <f ca="1">IF(G74="Всього:",SUM($N$4:N73),IF($E$5="UAH","",L74))</f>
        <v/>
      </c>
      <c r="O74" s="25">
        <f t="shared" ca="1" si="8"/>
        <v>-2375098.9289016803</v>
      </c>
      <c r="P74" s="33">
        <f t="shared" ca="1" si="9"/>
        <v>47970</v>
      </c>
      <c r="Q74" s="8">
        <f t="shared" ca="1" si="12"/>
        <v>33005</v>
      </c>
    </row>
    <row r="75" spans="6:18" s="8" customFormat="1" ht="13.2" x14ac:dyDescent="0.25">
      <c r="F75" s="34">
        <f t="shared" ca="1" si="10"/>
        <v>12.99</v>
      </c>
      <c r="G75" s="23">
        <f t="shared" ca="1" si="13"/>
        <v>48001</v>
      </c>
      <c r="H75" s="24">
        <f t="shared" si="11"/>
        <v>71</v>
      </c>
      <c r="I75" s="25">
        <f ca="1">IF($G75="Всього:",SUM($I$4:I74),MAX($C$32,K75))</f>
        <v>33005</v>
      </c>
      <c r="J75" s="25">
        <f ca="1">IF($G75="Всього:",SUM($J$4:J74),IF(I75-SUM(K75:L75)&lt;0,0,I75-SUM(K75:L75)))</f>
        <v>59572.460768872712</v>
      </c>
      <c r="K75" s="25">
        <f ca="1">IF(G75="Всього:",SUM($K$5:K74),F75*O74/36000*(G75-G74))</f>
        <v>-26567.460768872708</v>
      </c>
      <c r="L75" s="25">
        <f ca="1">IF(G75="Всього:",SUM($L$5:L74),$E$4)</f>
        <v>0</v>
      </c>
      <c r="M75" s="25">
        <f ca="1">IF(G75="Всього:",SUM($M$5:M74),IF($E$5="UAH",J75+L75+K75,J75+K75))</f>
        <v>33005</v>
      </c>
      <c r="N75" s="27" t="str">
        <f ca="1">IF(G75="Всього:",SUM($N$4:N74),IF($E$5="UAH","",L75))</f>
        <v/>
      </c>
      <c r="O75" s="25">
        <f t="shared" ca="1" si="8"/>
        <v>-2434671.3896705532</v>
      </c>
      <c r="P75" s="33">
        <f t="shared" ca="1" si="9"/>
        <v>48001</v>
      </c>
      <c r="Q75" s="8">
        <f t="shared" ca="1" si="12"/>
        <v>33005</v>
      </c>
    </row>
    <row r="76" spans="6:18" s="8" customFormat="1" ht="13.2" x14ac:dyDescent="0.25">
      <c r="F76" s="34">
        <f t="shared" ca="1" si="10"/>
        <v>12.99</v>
      </c>
      <c r="G76" s="23">
        <f t="shared" ca="1" si="13"/>
        <v>48030</v>
      </c>
      <c r="H76" s="24">
        <f t="shared" si="11"/>
        <v>72</v>
      </c>
      <c r="I76" s="25">
        <f ca="1">IF($G76="Всього:",SUM($I$4:I75),MAX($C$32,K76))</f>
        <v>33005</v>
      </c>
      <c r="J76" s="25">
        <f ca="1">IF($G76="Всього:",SUM($J$4:J75),IF(I76-SUM(K76:L76)&lt;0,0,I76-SUM(K76:L76)))</f>
        <v>58481.807200077616</v>
      </c>
      <c r="K76" s="25">
        <f ca="1">IF(G76="Всього:",SUM($K$5:K75),F76*O75/36000*(G76-G75))</f>
        <v>-25476.807200077616</v>
      </c>
      <c r="L76" s="25">
        <f ca="1">IF(G76="Всього:",SUM($L$5:L75),$E$4)</f>
        <v>0</v>
      </c>
      <c r="M76" s="25">
        <f ca="1">IF(G76="Всього:",SUM($M$5:M75),IF($E$5="UAH",J76+L76+K76,J76+K76))</f>
        <v>33005</v>
      </c>
      <c r="N76" s="27" t="str">
        <f ca="1">IF(G76="Всього:",SUM($N$4:N75),IF($E$5="UAH","",L76))</f>
        <v/>
      </c>
      <c r="O76" s="25">
        <f t="shared" ca="1" si="8"/>
        <v>-2493153.1968706306</v>
      </c>
      <c r="P76" s="33">
        <f t="shared" ca="1" si="9"/>
        <v>48030</v>
      </c>
      <c r="Q76" s="8">
        <f t="shared" ca="1" si="12"/>
        <v>33005</v>
      </c>
    </row>
    <row r="77" spans="6:18" s="8" customFormat="1" ht="13.2" x14ac:dyDescent="0.25">
      <c r="F77" s="34" t="str">
        <f t="shared" si="10"/>
        <v/>
      </c>
      <c r="G77" s="23" t="str">
        <f t="shared" si="13"/>
        <v>Всього:</v>
      </c>
      <c r="H77" s="24">
        <f t="shared" si="11"/>
        <v>73</v>
      </c>
      <c r="I77" s="25">
        <f ca="1">IF($G77="Всього:",SUM($I$4:I76),MAX($C$32,K77))</f>
        <v>2376371.5293406132</v>
      </c>
      <c r="J77" s="25">
        <f ca="1">IF($G77="Всього:",SUM($J$4:J76),IF(I77-SUM(K77:L77)&lt;0,0,I77-SUM(K77:L77)))</f>
        <v>2993153.1968706297</v>
      </c>
      <c r="K77" s="25">
        <f ca="1">IF(G77="Всього:",SUM($K$5:K76),F77*O76/36000*(G77-G76))</f>
        <v>-616781.66753001674</v>
      </c>
      <c r="L77" s="25">
        <f ca="1">IF(G77="Всього:",SUM($L$5:L76),$E$4)</f>
        <v>0</v>
      </c>
      <c r="M77" s="25">
        <f ca="1">IF(G77="Всього:",SUM($M$5:M76),IF($E$5="UAH",J77+L77+K77,J77+K77))</f>
        <v>2376371.5293406132</v>
      </c>
      <c r="N77" s="27">
        <f ca="1">IF(G77="Всього:",SUM($N$4:N76),IF($E$5="UAH","",L77))</f>
        <v>0</v>
      </c>
      <c r="O77" s="25">
        <f t="shared" ca="1" si="8"/>
        <v>-5486306.3937412603</v>
      </c>
      <c r="P77" s="33" t="str">
        <f t="shared" si="9"/>
        <v>Всього:</v>
      </c>
      <c r="Q77" s="8">
        <f t="shared" ca="1" si="12"/>
        <v>2376371.5293406132</v>
      </c>
      <c r="R77" s="8" t="str">
        <f>IF(E8&gt;H77,$AA$7*0.9*0.9*0.9*0.9*0.9*0.9*5.48%,"")</f>
        <v/>
      </c>
    </row>
    <row r="78" spans="6:18" s="8" customFormat="1" ht="13.2" x14ac:dyDescent="0.25">
      <c r="F78" s="34" t="e">
        <f t="shared" ca="1" si="10"/>
        <v>#VALUE!</v>
      </c>
      <c r="G78" s="23" t="e">
        <f t="shared" ca="1" si="13"/>
        <v>#VALUE!</v>
      </c>
      <c r="H78" s="24" t="str">
        <f t="shared" si="11"/>
        <v/>
      </c>
      <c r="I78" s="25" t="e">
        <f ca="1">IF($G78="Всього:",SUM($I$4:I77),MAX($C$32,K78))</f>
        <v>#VALUE!</v>
      </c>
      <c r="J78" s="25" t="e">
        <f ca="1">IF($G78="Всього:",SUM($J$4:J77),IF(I78-SUM(K78:L78)&lt;0,0,I78-SUM(K78:L78)))</f>
        <v>#VALUE!</v>
      </c>
      <c r="K78" s="25" t="e">
        <f ca="1">IF(G78="Всього:",SUM($K$5:K77),F78*O77/36000*(G78-G77))</f>
        <v>#VALUE!</v>
      </c>
      <c r="L78" s="25" t="e">
        <f ca="1">IF(G78="Всього:",SUM($L$5:L77),$E$4)</f>
        <v>#VALUE!</v>
      </c>
      <c r="M78" s="25" t="e">
        <f ca="1">IF(G78="Всього:",SUM($M$5:M77),IF($E$5="UAH",J78+L78+K78,J78+K78))</f>
        <v>#VALUE!</v>
      </c>
      <c r="N78" s="27" t="e">
        <f ca="1">IF(G78="Всього:",SUM($N$4:N77),IF($E$5="UAH","",L78))</f>
        <v>#VALUE!</v>
      </c>
      <c r="O78" s="25" t="e">
        <f t="shared" ca="1" si="8"/>
        <v>#VALUE!</v>
      </c>
      <c r="P78" s="33" t="e">
        <f t="shared" ca="1" si="9"/>
        <v>#VALUE!</v>
      </c>
      <c r="Q78" s="8" t="e">
        <f t="shared" ca="1" si="12"/>
        <v>#VALUE!</v>
      </c>
    </row>
    <row r="79" spans="6:18" s="8" customFormat="1" ht="13.2" x14ac:dyDescent="0.25">
      <c r="F79" s="34" t="e">
        <f t="shared" ca="1" si="10"/>
        <v>#VALUE!</v>
      </c>
      <c r="G79" s="23" t="e">
        <f t="shared" ca="1" si="13"/>
        <v>#VALUE!</v>
      </c>
      <c r="H79" s="24" t="str">
        <f t="shared" si="11"/>
        <v/>
      </c>
      <c r="I79" s="25" t="e">
        <f ca="1">IF($G79="Всього:",SUM($I$4:I78),MAX($C$32,K79))</f>
        <v>#VALUE!</v>
      </c>
      <c r="J79" s="25" t="e">
        <f ca="1">IF($G79="Всього:",SUM($J$4:J78),IF(I79-SUM(K79:L79)&lt;0,0,I79-SUM(K79:L79)))</f>
        <v>#VALUE!</v>
      </c>
      <c r="K79" s="25" t="e">
        <f ca="1">IF(G79="Всього:",SUM($K$5:K78),F79*O78/36000*(G79-G78))</f>
        <v>#VALUE!</v>
      </c>
      <c r="L79" s="25" t="e">
        <f ca="1">IF(G79="Всього:",SUM($L$5:L78),$E$4)</f>
        <v>#VALUE!</v>
      </c>
      <c r="M79" s="25" t="e">
        <f ca="1">IF(G79="Всього:",SUM($M$5:M78),IF($E$5="UAH",J79+L79+K79,J79+K79))</f>
        <v>#VALUE!</v>
      </c>
      <c r="N79" s="27" t="e">
        <f ca="1">IF(G79="Всього:",SUM($N$4:N78),IF($E$5="UAH","",L79))</f>
        <v>#VALUE!</v>
      </c>
      <c r="O79" s="25" t="e">
        <f t="shared" ca="1" si="8"/>
        <v>#VALUE!</v>
      </c>
      <c r="P79" s="33" t="e">
        <f t="shared" ca="1" si="9"/>
        <v>#VALUE!</v>
      </c>
      <c r="Q79" s="8" t="e">
        <f t="shared" ca="1" si="12"/>
        <v>#VALUE!</v>
      </c>
    </row>
    <row r="80" spans="6:18" s="8" customFormat="1" ht="13.2" x14ac:dyDescent="0.25">
      <c r="F80" s="34" t="e">
        <f t="shared" ca="1" si="10"/>
        <v>#VALUE!</v>
      </c>
      <c r="G80" s="23" t="e">
        <f t="shared" ca="1" si="13"/>
        <v>#VALUE!</v>
      </c>
      <c r="H80" s="24" t="str">
        <f t="shared" si="11"/>
        <v/>
      </c>
      <c r="I80" s="25" t="e">
        <f ca="1">IF($G80="Всього:",SUM($I$4:I79),MAX($C$32,K80))</f>
        <v>#VALUE!</v>
      </c>
      <c r="J80" s="25" t="e">
        <f ca="1">IF($G80="Всього:",SUM($J$4:J79),IF(I80-SUM(K80:L80)&lt;0,0,I80-SUM(K80:L80)))</f>
        <v>#VALUE!</v>
      </c>
      <c r="K80" s="25" t="e">
        <f ca="1">IF(G80="Всього:",SUM($K$5:K79),F80*O79/36000*(G80-G79))</f>
        <v>#VALUE!</v>
      </c>
      <c r="L80" s="25" t="e">
        <f ca="1">IF(G80="Всього:",SUM($L$5:L79),$E$4)</f>
        <v>#VALUE!</v>
      </c>
      <c r="M80" s="25" t="e">
        <f ca="1">IF(G80="Всього:",SUM($M$5:M79),IF($E$5="UAH",J80+L80+K80,J80+K80))</f>
        <v>#VALUE!</v>
      </c>
      <c r="N80" s="27" t="e">
        <f ca="1">IF(G80="Всього:",SUM($N$4:N79),IF($E$5="UAH","",L80))</f>
        <v>#VALUE!</v>
      </c>
      <c r="O80" s="25" t="e">
        <f t="shared" ca="1" si="8"/>
        <v>#VALUE!</v>
      </c>
      <c r="P80" s="33" t="e">
        <f t="shared" ca="1" si="9"/>
        <v>#VALUE!</v>
      </c>
      <c r="Q80" s="8" t="e">
        <f t="shared" ca="1" si="12"/>
        <v>#VALUE!</v>
      </c>
    </row>
    <row r="81" spans="6:17" s="8" customFormat="1" ht="13.2" x14ac:dyDescent="0.25">
      <c r="F81" s="34" t="e">
        <f t="shared" ca="1" si="10"/>
        <v>#VALUE!</v>
      </c>
      <c r="G81" s="23" t="e">
        <f t="shared" ca="1" si="13"/>
        <v>#VALUE!</v>
      </c>
      <c r="H81" s="24" t="str">
        <f t="shared" si="11"/>
        <v/>
      </c>
      <c r="I81" s="25" t="e">
        <f ca="1">IF($G81="Всього:",SUM($I$4:I80),MAX($C$32,K81))</f>
        <v>#VALUE!</v>
      </c>
      <c r="J81" s="25" t="e">
        <f ca="1">IF($G81="Всього:",SUM($J$4:J80),IF(I81-SUM(K81:L81)&lt;0,0,I81-SUM(K81:L81)))</f>
        <v>#VALUE!</v>
      </c>
      <c r="K81" s="25" t="e">
        <f ca="1">IF(G81="Всього:",SUM($K$5:K80),F81*O80/36000*(G81-G80))</f>
        <v>#VALUE!</v>
      </c>
      <c r="L81" s="25" t="e">
        <f ca="1">IF(G81="Всього:",SUM($L$5:L80),$E$4)</f>
        <v>#VALUE!</v>
      </c>
      <c r="M81" s="25" t="e">
        <f ca="1">IF(G81="Всього:",SUM($M$5:M80),IF($E$5="UAH",J81+L81+K81,J81+K81))</f>
        <v>#VALUE!</v>
      </c>
      <c r="N81" s="27" t="e">
        <f ca="1">IF(G81="Всього:",SUM($N$4:N80),IF($E$5="UAH","",L81))</f>
        <v>#VALUE!</v>
      </c>
      <c r="O81" s="25" t="e">
        <f t="shared" ca="1" si="8"/>
        <v>#VALUE!</v>
      </c>
      <c r="P81" s="33" t="e">
        <f t="shared" ca="1" si="9"/>
        <v>#VALUE!</v>
      </c>
      <c r="Q81" s="8" t="e">
        <f t="shared" ca="1" si="12"/>
        <v>#VALUE!</v>
      </c>
    </row>
    <row r="82" spans="6:17" s="8" customFormat="1" ht="13.2" x14ac:dyDescent="0.25">
      <c r="F82" s="34" t="e">
        <f t="shared" ca="1" si="10"/>
        <v>#VALUE!</v>
      </c>
      <c r="G82" s="23" t="e">
        <f t="shared" ca="1" si="13"/>
        <v>#VALUE!</v>
      </c>
      <c r="H82" s="24" t="str">
        <f t="shared" si="11"/>
        <v/>
      </c>
      <c r="I82" s="25" t="e">
        <f ca="1">IF($G82="Всього:",SUM($I$4:I81),MAX($C$32,K82))</f>
        <v>#VALUE!</v>
      </c>
      <c r="J82" s="25" t="e">
        <f ca="1">IF($G82="Всього:",SUM($J$4:J81),IF(I82-SUM(K82:L82)&lt;0,0,I82-SUM(K82:L82)))</f>
        <v>#VALUE!</v>
      </c>
      <c r="K82" s="25" t="e">
        <f ca="1">IF(G82="Всього:",SUM($K$5:K81),F82*O81/36000*(G82-G81))</f>
        <v>#VALUE!</v>
      </c>
      <c r="L82" s="25" t="e">
        <f ca="1">IF(G82="Всього:",SUM($L$5:L81),$E$4)</f>
        <v>#VALUE!</v>
      </c>
      <c r="M82" s="25" t="e">
        <f ca="1">IF(G82="Всього:",SUM($M$5:M81),IF($E$5="UAH",J82+L82+K82,J82+K82))</f>
        <v>#VALUE!</v>
      </c>
      <c r="N82" s="27" t="e">
        <f ca="1">IF(G82="Всього:",SUM($N$4:N81),IF($E$5="UAH","",L82))</f>
        <v>#VALUE!</v>
      </c>
      <c r="O82" s="25" t="e">
        <f t="shared" ca="1" si="8"/>
        <v>#VALUE!</v>
      </c>
      <c r="P82" s="33" t="e">
        <f t="shared" ca="1" si="9"/>
        <v>#VALUE!</v>
      </c>
      <c r="Q82" s="8" t="e">
        <f t="shared" ca="1" si="12"/>
        <v>#VALUE!</v>
      </c>
    </row>
    <row r="83" spans="6:17" s="8" customFormat="1" ht="13.2" x14ac:dyDescent="0.25">
      <c r="F83" s="34" t="e">
        <f t="shared" ca="1" si="10"/>
        <v>#VALUE!</v>
      </c>
      <c r="G83" s="23" t="e">
        <f t="shared" ca="1" si="13"/>
        <v>#VALUE!</v>
      </c>
      <c r="H83" s="24" t="str">
        <f t="shared" si="11"/>
        <v/>
      </c>
      <c r="I83" s="25" t="e">
        <f ca="1">IF($G83="Всього:",SUM($I$4:I82),MAX($C$32,K83))</f>
        <v>#VALUE!</v>
      </c>
      <c r="J83" s="25" t="e">
        <f ca="1">IF($G83="Всього:",SUM($J$4:J82),IF(I83-SUM(K83:L83)&lt;0,0,I83-SUM(K83:L83)))</f>
        <v>#VALUE!</v>
      </c>
      <c r="K83" s="25" t="e">
        <f ca="1">IF(G83="Всього:",SUM($K$5:K82),F83*O82/36000*(G83-G82))</f>
        <v>#VALUE!</v>
      </c>
      <c r="L83" s="25" t="e">
        <f ca="1">IF(G83="Всього:",SUM($L$5:L82),$E$4)</f>
        <v>#VALUE!</v>
      </c>
      <c r="M83" s="25" t="e">
        <f ca="1">IF(G83="Всього:",SUM($M$5:M82),IF($E$5="UAH",J83+L83+K83,J83+K83))</f>
        <v>#VALUE!</v>
      </c>
      <c r="N83" s="27" t="e">
        <f ca="1">IF(G83="Всього:",SUM($N$4:N82),IF($E$5="UAH","",L83))</f>
        <v>#VALUE!</v>
      </c>
      <c r="O83" s="25" t="e">
        <f t="shared" ca="1" si="8"/>
        <v>#VALUE!</v>
      </c>
      <c r="P83" s="33" t="e">
        <f t="shared" ca="1" si="9"/>
        <v>#VALUE!</v>
      </c>
      <c r="Q83" s="8" t="e">
        <f t="shared" ca="1" si="12"/>
        <v>#VALUE!</v>
      </c>
    </row>
    <row r="84" spans="6:17" s="8" customFormat="1" ht="13.2" x14ac:dyDescent="0.25">
      <c r="F84" s="34" t="e">
        <f t="shared" ca="1" si="10"/>
        <v>#VALUE!</v>
      </c>
      <c r="G84" s="23" t="e">
        <f t="shared" ca="1" si="13"/>
        <v>#VALUE!</v>
      </c>
      <c r="H84" s="24" t="str">
        <f t="shared" si="11"/>
        <v/>
      </c>
      <c r="I84" s="25" t="e">
        <f ca="1">IF($G84="Всього:",SUM($I$4:I83),MAX($C$32,K84))</f>
        <v>#VALUE!</v>
      </c>
      <c r="J84" s="25" t="e">
        <f ca="1">IF($G84="Всього:",SUM($J$4:J83),IF(I84-SUM(K84:L84)&lt;0,0,I84-SUM(K84:L84)))</f>
        <v>#VALUE!</v>
      </c>
      <c r="K84" s="25" t="e">
        <f ca="1">IF(G84="Всього:",SUM($K$5:K83),F84*O83/36000*(G84-G83))</f>
        <v>#VALUE!</v>
      </c>
      <c r="L84" s="25" t="e">
        <f ca="1">IF(G84="Всього:",SUM($L$5:L83),$E$4)</f>
        <v>#VALUE!</v>
      </c>
      <c r="M84" s="25" t="e">
        <f ca="1">IF(G84="Всього:",SUM($M$5:M83),IF($E$5="UAH",J84+L84+K84,J84+K84))</f>
        <v>#VALUE!</v>
      </c>
      <c r="N84" s="27" t="e">
        <f ca="1">IF(G84="Всього:",SUM($N$4:N83),IF($E$5="UAH","",L84))</f>
        <v>#VALUE!</v>
      </c>
      <c r="O84" s="25" t="e">
        <f t="shared" ca="1" si="8"/>
        <v>#VALUE!</v>
      </c>
      <c r="P84" s="33" t="e">
        <f t="shared" ca="1" si="9"/>
        <v>#VALUE!</v>
      </c>
      <c r="Q84" s="8" t="e">
        <f t="shared" ca="1" si="12"/>
        <v>#VALUE!</v>
      </c>
    </row>
    <row r="85" spans="6:17" s="8" customFormat="1" ht="13.2" x14ac:dyDescent="0.25">
      <c r="F85" s="34" t="e">
        <f t="shared" ca="1" si="10"/>
        <v>#VALUE!</v>
      </c>
      <c r="G85" s="23" t="e">
        <f t="shared" ca="1" si="13"/>
        <v>#VALUE!</v>
      </c>
      <c r="H85" s="24" t="str">
        <f t="shared" si="11"/>
        <v/>
      </c>
      <c r="I85" s="25" t="e">
        <f ca="1">IF($G85="Всього:",SUM($I$4:I84),MAX($C$32,K85))</f>
        <v>#VALUE!</v>
      </c>
      <c r="J85" s="25" t="e">
        <f ca="1">IF($G85="Всього:",SUM($J$4:J84),IF(I85-SUM(K85:L85)&lt;0,0,I85-SUM(K85:L85)))</f>
        <v>#VALUE!</v>
      </c>
      <c r="K85" s="25" t="e">
        <f ca="1">IF(G85="Всього:",SUM($K$5:K84),F85*O84/36000*(G85-G84))</f>
        <v>#VALUE!</v>
      </c>
      <c r="L85" s="25" t="e">
        <f ca="1">IF(G85="Всього:",SUM($L$5:L84),$E$4)</f>
        <v>#VALUE!</v>
      </c>
      <c r="M85" s="25" t="e">
        <f ca="1">IF(G85="Всього:",SUM($M$5:M84),IF($E$5="UAH",J85+L85+K85,J85+K85))</f>
        <v>#VALUE!</v>
      </c>
      <c r="N85" s="27" t="e">
        <f ca="1">IF(G85="Всього:",SUM($N$4:N84),IF($E$5="UAH","",L85))</f>
        <v>#VALUE!</v>
      </c>
      <c r="O85" s="25" t="e">
        <f t="shared" ca="1" si="8"/>
        <v>#VALUE!</v>
      </c>
      <c r="P85" s="33" t="e">
        <f t="shared" ca="1" si="9"/>
        <v>#VALUE!</v>
      </c>
      <c r="Q85" s="8" t="e">
        <f t="shared" ca="1" si="12"/>
        <v>#VALUE!</v>
      </c>
    </row>
    <row r="86" spans="6:17" s="8" customFormat="1" ht="13.2" x14ac:dyDescent="0.25">
      <c r="F86" s="34" t="e">
        <f t="shared" ca="1" si="10"/>
        <v>#VALUE!</v>
      </c>
      <c r="G86" s="23" t="e">
        <f t="shared" ca="1" si="13"/>
        <v>#VALUE!</v>
      </c>
      <c r="H86" s="24" t="str">
        <f t="shared" si="11"/>
        <v/>
      </c>
      <c r="I86" s="25" t="e">
        <f ca="1">IF($G86="Всього:",SUM($I$4:I85),MAX($C$32,K86))</f>
        <v>#VALUE!</v>
      </c>
      <c r="J86" s="25" t="e">
        <f ca="1">IF($G86="Всього:",SUM($J$4:J85),IF(I86-SUM(K86:L86)&lt;0,0,I86-SUM(K86:L86)))</f>
        <v>#VALUE!</v>
      </c>
      <c r="K86" s="25" t="e">
        <f ca="1">IF(G86="Всього:",SUM($K$5:K85),F86*O85/36000*(G86-G85))</f>
        <v>#VALUE!</v>
      </c>
      <c r="L86" s="25" t="e">
        <f ca="1">IF(G86="Всього:",SUM($L$5:L85),$E$4)</f>
        <v>#VALUE!</v>
      </c>
      <c r="M86" s="25" t="e">
        <f ca="1">IF(G86="Всього:",SUM($M$5:M85),IF($E$5="UAH",J86+L86+K86,J86+K86))</f>
        <v>#VALUE!</v>
      </c>
      <c r="N86" s="27" t="e">
        <f ca="1">IF(G86="Всього:",SUM($N$4:N85),IF($E$5="UAH","",L86))</f>
        <v>#VALUE!</v>
      </c>
      <c r="O86" s="25" t="e">
        <f t="shared" ca="1" si="8"/>
        <v>#VALUE!</v>
      </c>
      <c r="P86" s="33" t="e">
        <f t="shared" ca="1" si="9"/>
        <v>#VALUE!</v>
      </c>
      <c r="Q86" s="8" t="e">
        <f t="shared" ca="1" si="12"/>
        <v>#VALUE!</v>
      </c>
    </row>
    <row r="87" spans="6:17" s="8" customFormat="1" ht="13.2" x14ac:dyDescent="0.25">
      <c r="F87" s="34" t="e">
        <f t="shared" ca="1" si="10"/>
        <v>#VALUE!</v>
      </c>
      <c r="G87" s="23" t="e">
        <f t="shared" ca="1" si="13"/>
        <v>#VALUE!</v>
      </c>
      <c r="H87" s="24" t="str">
        <f t="shared" si="11"/>
        <v/>
      </c>
      <c r="I87" s="25" t="e">
        <f ca="1">IF($G87="Всього:",SUM($I$4:I86),MAX($C$32,K87))</f>
        <v>#VALUE!</v>
      </c>
      <c r="J87" s="25" t="e">
        <f ca="1">IF($G87="Всього:",SUM($J$4:J86),IF(I87-SUM(K87:L87)&lt;0,0,I87-SUM(K87:L87)))</f>
        <v>#VALUE!</v>
      </c>
      <c r="K87" s="25" t="e">
        <f ca="1">IF(G87="Всього:",SUM($K$5:K86),F87*O86/36000*(G87-G86))</f>
        <v>#VALUE!</v>
      </c>
      <c r="L87" s="25" t="e">
        <f ca="1">IF(G87="Всього:",SUM($L$5:L86),$E$4)</f>
        <v>#VALUE!</v>
      </c>
      <c r="M87" s="25" t="e">
        <f ca="1">IF(G87="Всього:",SUM($M$5:M86),IF($E$5="UAH",J87+L87+K87,J87+K87))</f>
        <v>#VALUE!</v>
      </c>
      <c r="N87" s="27" t="e">
        <f ca="1">IF(G87="Всього:",SUM($N$4:N86),IF($E$5="UAH","",L87))</f>
        <v>#VALUE!</v>
      </c>
      <c r="O87" s="25" t="e">
        <f t="shared" ca="1" si="8"/>
        <v>#VALUE!</v>
      </c>
      <c r="P87" s="33" t="e">
        <f t="shared" ca="1" si="9"/>
        <v>#VALUE!</v>
      </c>
      <c r="Q87" s="8" t="e">
        <f t="shared" ca="1" si="12"/>
        <v>#VALUE!</v>
      </c>
    </row>
    <row r="88" spans="6:17" s="8" customFormat="1" ht="13.2" x14ac:dyDescent="0.25">
      <c r="F88" s="34" t="e">
        <f t="shared" ca="1" si="10"/>
        <v>#VALUE!</v>
      </c>
      <c r="G88" s="23" t="e">
        <f t="shared" ca="1" si="13"/>
        <v>#VALUE!</v>
      </c>
      <c r="H88" s="24" t="str">
        <f t="shared" si="11"/>
        <v/>
      </c>
      <c r="I88" s="25" t="e">
        <f ca="1">IF($G88="Всього:",SUM($I$4:I87),MAX($C$32,K88))</f>
        <v>#VALUE!</v>
      </c>
      <c r="J88" s="25" t="e">
        <f ca="1">IF($G88="Всього:",SUM($J$4:J87),IF(I88-SUM(K88:L88)&lt;0,0,I88-SUM(K88:L88)))</f>
        <v>#VALUE!</v>
      </c>
      <c r="K88" s="25" t="e">
        <f ca="1">IF(G88="Всього:",SUM($K$5:K87),F88*O87/36000*(G88-G87))</f>
        <v>#VALUE!</v>
      </c>
      <c r="L88" s="25" t="e">
        <f ca="1">IF(G88="Всього:",SUM($L$5:L87),$E$4)</f>
        <v>#VALUE!</v>
      </c>
      <c r="M88" s="25" t="e">
        <f ca="1">IF(G88="Всього:",SUM($M$5:M87),IF($E$5="UAH",J88+L88+K88,J88+K88))</f>
        <v>#VALUE!</v>
      </c>
      <c r="N88" s="27" t="e">
        <f ca="1">IF(G88="Всього:",SUM($N$4:N87),IF($E$5="UAH","",L88))</f>
        <v>#VALUE!</v>
      </c>
      <c r="O88" s="25" t="e">
        <f t="shared" ca="1" si="8"/>
        <v>#VALUE!</v>
      </c>
      <c r="P88" s="33" t="e">
        <f t="shared" ca="1" si="9"/>
        <v>#VALUE!</v>
      </c>
      <c r="Q88" s="8" t="e">
        <f t="shared" ca="1" si="12"/>
        <v>#VALUE!</v>
      </c>
    </row>
    <row r="89" spans="6:17" s="8" customFormat="1" ht="13.2" x14ac:dyDescent="0.25">
      <c r="F89" s="34" t="e">
        <f t="shared" ca="1" si="10"/>
        <v>#VALUE!</v>
      </c>
      <c r="G89" s="23" t="e">
        <f t="shared" ca="1" si="13"/>
        <v>#VALUE!</v>
      </c>
      <c r="H89" s="24" t="str">
        <f t="shared" si="11"/>
        <v/>
      </c>
      <c r="I89" s="25" t="e">
        <f ca="1">IF($G89="Всього:",SUM($I$4:I88),MAX($C$32,K89))</f>
        <v>#VALUE!</v>
      </c>
      <c r="J89" s="25" t="e">
        <f ca="1">IF($G89="Всього:",SUM($J$4:J88),IF(I89-SUM(K89:L89)&lt;0,0,I89-SUM(K89:L89)))</f>
        <v>#VALUE!</v>
      </c>
      <c r="K89" s="25" t="e">
        <f ca="1">IF(G89="Всього:",SUM($K$5:K88),F89*O88/36000*(G89-G88))</f>
        <v>#VALUE!</v>
      </c>
      <c r="L89" s="25" t="e">
        <f ca="1">IF(G89="Всього:",SUM($L$5:L88),$E$4)</f>
        <v>#VALUE!</v>
      </c>
      <c r="M89" s="25" t="e">
        <f ca="1">IF(G89="Всього:",SUM($M$5:M88),IF($E$5="UAH",J89+L89+K89,J89+K89))</f>
        <v>#VALUE!</v>
      </c>
      <c r="N89" s="27" t="e">
        <f ca="1">IF(G89="Всього:",SUM($N$4:N88),IF($E$5="UAH","",L89))</f>
        <v>#VALUE!</v>
      </c>
      <c r="O89" s="25" t="e">
        <f t="shared" ca="1" si="8"/>
        <v>#VALUE!</v>
      </c>
      <c r="P89" s="33" t="e">
        <f t="shared" ca="1" si="9"/>
        <v>#VALUE!</v>
      </c>
      <c r="Q89" s="8" t="e">
        <f t="shared" ca="1" si="12"/>
        <v>#VALUE!</v>
      </c>
    </row>
    <row r="90" spans="6:17" s="8" customFormat="1" ht="13.2" x14ac:dyDescent="0.25">
      <c r="F90" s="34" t="e">
        <f t="shared" ca="1" si="10"/>
        <v>#VALUE!</v>
      </c>
      <c r="G90" s="23" t="e">
        <f t="shared" ca="1" si="13"/>
        <v>#VALUE!</v>
      </c>
      <c r="H90" s="24" t="str">
        <f t="shared" si="11"/>
        <v/>
      </c>
      <c r="I90" s="25" t="e">
        <f ca="1">IF($G90="Всього:",SUM($I$4:I89),MAX($C$32,K90))</f>
        <v>#VALUE!</v>
      </c>
      <c r="J90" s="25" t="e">
        <f ca="1">IF($G90="Всього:",SUM($J$4:J89),IF(I90-SUM(K90:L90)&lt;0,0,I90-SUM(K90:L90)))</f>
        <v>#VALUE!</v>
      </c>
      <c r="K90" s="25" t="e">
        <f ca="1">IF(G90="Всього:",SUM($K$5:K89),F90*O89/36000*(G90-G89))</f>
        <v>#VALUE!</v>
      </c>
      <c r="L90" s="25" t="e">
        <f ca="1">IF(G90="Всього:",SUM($L$5:L89),$E$4)</f>
        <v>#VALUE!</v>
      </c>
      <c r="M90" s="25" t="e">
        <f ca="1">IF(G90="Всього:",SUM($M$5:M89),IF($E$5="UAH",J90+L90+K90,J90+K90))</f>
        <v>#VALUE!</v>
      </c>
      <c r="N90" s="27" t="e">
        <f ca="1">IF(G90="Всього:",SUM($N$4:N89),IF($E$5="UAH","",L90))</f>
        <v>#VALUE!</v>
      </c>
      <c r="O90" s="25" t="e">
        <f t="shared" ca="1" si="8"/>
        <v>#VALUE!</v>
      </c>
      <c r="P90" s="33" t="e">
        <f t="shared" ca="1" si="9"/>
        <v>#VALUE!</v>
      </c>
      <c r="Q90" s="8" t="e">
        <f t="shared" ca="1" si="12"/>
        <v>#VALUE!</v>
      </c>
    </row>
    <row r="91" spans="6:17" s="8" customFormat="1" ht="13.2" x14ac:dyDescent="0.25">
      <c r="F91" s="34" t="e">
        <f t="shared" ca="1" si="10"/>
        <v>#VALUE!</v>
      </c>
      <c r="G91" s="23" t="e">
        <f t="shared" ca="1" si="13"/>
        <v>#VALUE!</v>
      </c>
      <c r="H91" s="24" t="str">
        <f t="shared" si="11"/>
        <v/>
      </c>
      <c r="I91" s="25" t="e">
        <f ca="1">IF($G91="Всього:",SUM($I$4:I90),MAX($C$32,K91))</f>
        <v>#VALUE!</v>
      </c>
      <c r="J91" s="25" t="e">
        <f ca="1">IF($G91="Всього:",SUM($J$4:J90),IF(I91-SUM(K91:L91)&lt;0,0,I91-SUM(K91:L91)))</f>
        <v>#VALUE!</v>
      </c>
      <c r="K91" s="25" t="e">
        <f ca="1">IF(G91="Всього:",SUM($K$5:K90),F91*O90/36000*(G91-G90))</f>
        <v>#VALUE!</v>
      </c>
      <c r="L91" s="25" t="e">
        <f ca="1">IF(G91="Всього:",SUM($L$5:L90),$E$4)</f>
        <v>#VALUE!</v>
      </c>
      <c r="M91" s="25" t="e">
        <f ca="1">IF(G91="Всього:",SUM($M$5:M90),IF($E$5="UAH",J91+L91+K91,J91+K91))</f>
        <v>#VALUE!</v>
      </c>
      <c r="N91" s="27" t="e">
        <f ca="1">IF(G91="Всього:",SUM($N$4:N90),IF($E$5="UAH","",L91))</f>
        <v>#VALUE!</v>
      </c>
      <c r="O91" s="25" t="e">
        <f t="shared" ca="1" si="8"/>
        <v>#VALUE!</v>
      </c>
      <c r="P91" s="33" t="e">
        <f t="shared" ca="1" si="9"/>
        <v>#VALUE!</v>
      </c>
      <c r="Q91" s="8" t="e">
        <f t="shared" ca="1" si="12"/>
        <v>#VALUE!</v>
      </c>
    </row>
    <row r="92" spans="6:17" s="8" customFormat="1" ht="13.2" x14ac:dyDescent="0.25">
      <c r="F92" s="34" t="e">
        <f t="shared" ca="1" si="10"/>
        <v>#VALUE!</v>
      </c>
      <c r="G92" s="23" t="e">
        <f t="shared" ca="1" si="13"/>
        <v>#VALUE!</v>
      </c>
      <c r="H92" s="24" t="str">
        <f t="shared" si="11"/>
        <v/>
      </c>
      <c r="I92" s="25" t="e">
        <f ca="1">IF($G92="Всього:",SUM($I$4:I91),MAX($C$32,K92))</f>
        <v>#VALUE!</v>
      </c>
      <c r="J92" s="25" t="e">
        <f ca="1">IF($G92="Всього:",SUM($J$4:J91),IF(I92-SUM(K92:L92)&lt;0,0,I92-SUM(K92:L92)))</f>
        <v>#VALUE!</v>
      </c>
      <c r="K92" s="25" t="e">
        <f ca="1">IF(G92="Всього:",SUM($K$5:K91),F92*O91/36000*(G92-G91))</f>
        <v>#VALUE!</v>
      </c>
      <c r="L92" s="25" t="e">
        <f ca="1">IF(G92="Всього:",SUM($L$5:L91),$E$4)</f>
        <v>#VALUE!</v>
      </c>
      <c r="M92" s="25" t="e">
        <f ca="1">IF(G92="Всього:",SUM($M$5:M91),IF($E$5="UAH",J92+L92+K92,J92+K92))</f>
        <v>#VALUE!</v>
      </c>
      <c r="N92" s="27" t="e">
        <f ca="1">IF(G92="Всього:",SUM($N$4:N91),IF($E$5="UAH","",L92))</f>
        <v>#VALUE!</v>
      </c>
      <c r="O92" s="25" t="e">
        <f t="shared" ca="1" si="8"/>
        <v>#VALUE!</v>
      </c>
      <c r="P92" s="33" t="e">
        <f t="shared" ca="1" si="9"/>
        <v>#VALUE!</v>
      </c>
      <c r="Q92" s="8" t="e">
        <f t="shared" ca="1" si="12"/>
        <v>#VALUE!</v>
      </c>
    </row>
    <row r="93" spans="6:17" s="8" customFormat="1" ht="13.2" x14ac:dyDescent="0.25">
      <c r="F93" s="34" t="e">
        <f t="shared" ca="1" si="10"/>
        <v>#VALUE!</v>
      </c>
      <c r="G93" s="23" t="e">
        <f t="shared" ca="1" si="13"/>
        <v>#VALUE!</v>
      </c>
      <c r="H93" s="24" t="str">
        <f t="shared" si="11"/>
        <v/>
      </c>
      <c r="I93" s="25" t="e">
        <f ca="1">IF($G93="Всього:",SUM($I$4:I92),MAX($C$32,K93))</f>
        <v>#VALUE!</v>
      </c>
      <c r="J93" s="25" t="e">
        <f ca="1">IF($G93="Всього:",SUM($J$4:J92),IF(I93-SUM(K93:L93)&lt;0,0,I93-SUM(K93:L93)))</f>
        <v>#VALUE!</v>
      </c>
      <c r="K93" s="25" t="e">
        <f ca="1">IF(G93="Всього:",SUM($K$5:K92),F93*O92/36000*(G93-G92))</f>
        <v>#VALUE!</v>
      </c>
      <c r="L93" s="25" t="e">
        <f ca="1">IF(G93="Всього:",SUM($L$5:L92),$E$4)</f>
        <v>#VALUE!</v>
      </c>
      <c r="M93" s="25" t="e">
        <f ca="1">IF(G93="Всього:",SUM($M$5:M92),IF($E$5="UAH",J93+L93+K93,J93+K93))</f>
        <v>#VALUE!</v>
      </c>
      <c r="N93" s="27" t="e">
        <f ca="1">IF(G93="Всього:",SUM($N$4:N92),IF($E$5="UAH","",L93))</f>
        <v>#VALUE!</v>
      </c>
      <c r="O93" s="25" t="e">
        <f t="shared" ca="1" si="8"/>
        <v>#VALUE!</v>
      </c>
      <c r="P93" s="33" t="e">
        <f t="shared" ca="1" si="9"/>
        <v>#VALUE!</v>
      </c>
      <c r="Q93" s="8" t="e">
        <f t="shared" ca="1" si="12"/>
        <v>#VALUE!</v>
      </c>
    </row>
    <row r="94" spans="6:17" s="8" customFormat="1" ht="13.2" x14ac:dyDescent="0.25">
      <c r="F94" s="34" t="e">
        <f t="shared" ca="1" si="10"/>
        <v>#VALUE!</v>
      </c>
      <c r="G94" s="23" t="e">
        <f t="shared" ca="1" si="13"/>
        <v>#VALUE!</v>
      </c>
      <c r="H94" s="24" t="str">
        <f t="shared" si="11"/>
        <v/>
      </c>
      <c r="I94" s="25" t="e">
        <f ca="1">IF($G94="Всього:",SUM($I$4:I93),MAX($C$32,K94))</f>
        <v>#VALUE!</v>
      </c>
      <c r="J94" s="25" t="e">
        <f ca="1">IF($G94="Всього:",SUM($J$4:J93),IF(I94-SUM(K94:L94)&lt;0,0,I94-SUM(K94:L94)))</f>
        <v>#VALUE!</v>
      </c>
      <c r="K94" s="25" t="e">
        <f ca="1">IF(G94="Всього:",SUM($K$5:K93),F94*O93/36000*(G94-G93))</f>
        <v>#VALUE!</v>
      </c>
      <c r="L94" s="25" t="e">
        <f ca="1">IF(G94="Всього:",SUM($L$5:L93),$E$4)</f>
        <v>#VALUE!</v>
      </c>
      <c r="M94" s="25" t="e">
        <f ca="1">IF(G94="Всього:",SUM($M$5:M93),IF($E$5="UAH",J94+L94+K94,J94+K94))</f>
        <v>#VALUE!</v>
      </c>
      <c r="N94" s="27" t="e">
        <f ca="1">IF(G94="Всього:",SUM($N$4:N93),IF($E$5="UAH","",L94))</f>
        <v>#VALUE!</v>
      </c>
      <c r="O94" s="25" t="e">
        <f t="shared" ca="1" si="8"/>
        <v>#VALUE!</v>
      </c>
      <c r="P94" s="33" t="e">
        <f t="shared" ca="1" si="9"/>
        <v>#VALUE!</v>
      </c>
      <c r="Q94" s="8" t="e">
        <f t="shared" ca="1" si="12"/>
        <v>#VALUE!</v>
      </c>
    </row>
    <row r="95" spans="6:17" s="8" customFormat="1" ht="13.2" x14ac:dyDescent="0.25">
      <c r="F95" s="34" t="e">
        <f t="shared" ca="1" si="10"/>
        <v>#VALUE!</v>
      </c>
      <c r="G95" s="23" t="e">
        <f t="shared" ca="1" si="13"/>
        <v>#VALUE!</v>
      </c>
      <c r="H95" s="24" t="str">
        <f t="shared" si="11"/>
        <v/>
      </c>
      <c r="I95" s="25" t="e">
        <f ca="1">IF($G95="Всього:",SUM($I$4:I94),MAX($C$32,K95))</f>
        <v>#VALUE!</v>
      </c>
      <c r="J95" s="25" t="e">
        <f ca="1">IF($G95="Всього:",SUM($J$4:J94),IF(I95-SUM(K95:L95)&lt;0,0,I95-SUM(K95:L95)))</f>
        <v>#VALUE!</v>
      </c>
      <c r="K95" s="25" t="e">
        <f ca="1">IF(G95="Всього:",SUM($K$5:K94),F95*O94/36000*(G95-G94))</f>
        <v>#VALUE!</v>
      </c>
      <c r="L95" s="25" t="e">
        <f ca="1">IF(G95="Всього:",SUM($L$5:L94),$E$4)</f>
        <v>#VALUE!</v>
      </c>
      <c r="M95" s="25" t="e">
        <f ca="1">IF(G95="Всього:",SUM($M$5:M94),IF($E$5="UAH",J95+L95+K95,J95+K95))</f>
        <v>#VALUE!</v>
      </c>
      <c r="N95" s="27" t="e">
        <f ca="1">IF(G95="Всього:",SUM($N$4:N94),IF($E$5="UAH","",L95))</f>
        <v>#VALUE!</v>
      </c>
      <c r="O95" s="25" t="e">
        <f t="shared" ca="1" si="8"/>
        <v>#VALUE!</v>
      </c>
      <c r="P95" s="33" t="e">
        <f t="shared" ca="1" si="9"/>
        <v>#VALUE!</v>
      </c>
      <c r="Q95" s="8" t="e">
        <f t="shared" ca="1" si="12"/>
        <v>#VALUE!</v>
      </c>
    </row>
    <row r="96" spans="6:17" s="8" customFormat="1" ht="13.2" x14ac:dyDescent="0.25">
      <c r="F96" s="34" t="e">
        <f t="shared" ca="1" si="10"/>
        <v>#VALUE!</v>
      </c>
      <c r="G96" s="23" t="e">
        <f t="shared" ca="1" si="13"/>
        <v>#VALUE!</v>
      </c>
      <c r="H96" s="24" t="str">
        <f t="shared" si="11"/>
        <v/>
      </c>
      <c r="I96" s="25" t="e">
        <f ca="1">IF($G96="Всього:",SUM($I$4:I95),MAX($C$32,K96))</f>
        <v>#VALUE!</v>
      </c>
      <c r="J96" s="25" t="e">
        <f ca="1">IF($G96="Всього:",SUM($J$4:J95),IF(I96-SUM(K96:L96)&lt;0,0,I96-SUM(K96:L96)))</f>
        <v>#VALUE!</v>
      </c>
      <c r="K96" s="25" t="e">
        <f ca="1">IF(G96="Всього:",SUM($K$5:K95),F96*O95/36000*(G96-G95))</f>
        <v>#VALUE!</v>
      </c>
      <c r="L96" s="25" t="e">
        <f ca="1">IF(G96="Всього:",SUM($L$5:L95),$E$4)</f>
        <v>#VALUE!</v>
      </c>
      <c r="M96" s="25" t="e">
        <f ca="1">IF(G96="Всього:",SUM($M$5:M95),IF($E$5="UAH",J96+L96+K96,J96+K96))</f>
        <v>#VALUE!</v>
      </c>
      <c r="N96" s="27" t="e">
        <f ca="1">IF(G96="Всього:",SUM($N$4:N95),IF($E$5="UAH","",L96))</f>
        <v>#VALUE!</v>
      </c>
      <c r="O96" s="25" t="e">
        <f t="shared" ca="1" si="8"/>
        <v>#VALUE!</v>
      </c>
      <c r="P96" s="33" t="e">
        <f t="shared" ca="1" si="9"/>
        <v>#VALUE!</v>
      </c>
      <c r="Q96" s="8" t="e">
        <f t="shared" ca="1" si="12"/>
        <v>#VALUE!</v>
      </c>
    </row>
    <row r="97" spans="6:17" s="8" customFormat="1" ht="13.2" x14ac:dyDescent="0.25">
      <c r="F97" s="34" t="e">
        <f t="shared" ca="1" si="10"/>
        <v>#VALUE!</v>
      </c>
      <c r="G97" s="23" t="e">
        <f t="shared" ca="1" si="13"/>
        <v>#VALUE!</v>
      </c>
      <c r="H97" s="24" t="str">
        <f t="shared" si="11"/>
        <v/>
      </c>
      <c r="I97" s="25" t="e">
        <f ca="1">IF($G97="Всього:",SUM($I$4:I96),MAX($C$32,K97))</f>
        <v>#VALUE!</v>
      </c>
      <c r="J97" s="25" t="e">
        <f ca="1">IF($G97="Всього:",SUM($J$4:J96),IF(I97-SUM(K97:L97)&lt;0,0,I97-SUM(K97:L97)))</f>
        <v>#VALUE!</v>
      </c>
      <c r="K97" s="25" t="e">
        <f ca="1">IF(G97="Всього:",SUM($K$5:K96),F97*O96/36000*(G97-G96))</f>
        <v>#VALUE!</v>
      </c>
      <c r="L97" s="25" t="e">
        <f ca="1">IF(G97="Всього:",SUM($L$5:L96),$E$4)</f>
        <v>#VALUE!</v>
      </c>
      <c r="M97" s="25" t="e">
        <f ca="1">IF(G97="Всього:",SUM($M$5:M96),IF($E$5="UAH",J97+L97+K97,J97+K97))</f>
        <v>#VALUE!</v>
      </c>
      <c r="N97" s="27" t="e">
        <f ca="1">IF(G97="Всього:",SUM($N$4:N96),IF($E$5="UAH","",L97))</f>
        <v>#VALUE!</v>
      </c>
      <c r="O97" s="25" t="e">
        <f t="shared" ca="1" si="8"/>
        <v>#VALUE!</v>
      </c>
      <c r="P97" s="33" t="e">
        <f t="shared" ca="1" si="9"/>
        <v>#VALUE!</v>
      </c>
      <c r="Q97" s="8" t="e">
        <f t="shared" ca="1" si="12"/>
        <v>#VALUE!</v>
      </c>
    </row>
    <row r="98" spans="6:17" s="8" customFormat="1" ht="13.2" x14ac:dyDescent="0.25">
      <c r="F98" s="34" t="e">
        <f t="shared" ca="1" si="10"/>
        <v>#VALUE!</v>
      </c>
      <c r="G98" s="23" t="e">
        <f t="shared" ca="1" si="13"/>
        <v>#VALUE!</v>
      </c>
      <c r="H98" s="24" t="str">
        <f t="shared" si="11"/>
        <v/>
      </c>
      <c r="I98" s="25" t="e">
        <f ca="1">IF($G98="Всього:",SUM($I$4:I97),MAX($C$32,K98))</f>
        <v>#VALUE!</v>
      </c>
      <c r="J98" s="25" t="e">
        <f ca="1">IF($G98="Всього:",SUM($J$4:J97),IF(I98-SUM(K98:L98)&lt;0,0,I98-SUM(K98:L98)))</f>
        <v>#VALUE!</v>
      </c>
      <c r="K98" s="25" t="e">
        <f ca="1">IF(G98="Всього:",SUM($K$5:K97),F98*O97/36000*(G98-G97))</f>
        <v>#VALUE!</v>
      </c>
      <c r="L98" s="25" t="e">
        <f ca="1">IF(G98="Всього:",SUM($L$5:L97),$E$4)</f>
        <v>#VALUE!</v>
      </c>
      <c r="M98" s="25" t="e">
        <f ca="1">IF(G98="Всього:",SUM($M$5:M97),IF($E$5="UAH",J98+L98+K98,J98+K98))</f>
        <v>#VALUE!</v>
      </c>
      <c r="N98" s="27" t="e">
        <f ca="1">IF(G98="Всього:",SUM($N$4:N97),IF($E$5="UAH","",L98))</f>
        <v>#VALUE!</v>
      </c>
      <c r="O98" s="25" t="e">
        <f t="shared" ca="1" si="8"/>
        <v>#VALUE!</v>
      </c>
      <c r="P98" s="33" t="e">
        <f t="shared" ca="1" si="9"/>
        <v>#VALUE!</v>
      </c>
      <c r="Q98" s="8" t="e">
        <f t="shared" ca="1" si="12"/>
        <v>#VALUE!</v>
      </c>
    </row>
    <row r="99" spans="6:17" s="8" customFormat="1" ht="13.2" x14ac:dyDescent="0.25">
      <c r="F99" s="34" t="e">
        <f t="shared" ca="1" si="10"/>
        <v>#VALUE!</v>
      </c>
      <c r="G99" s="23" t="e">
        <f t="shared" ca="1" si="13"/>
        <v>#VALUE!</v>
      </c>
      <c r="H99" s="24" t="str">
        <f t="shared" si="11"/>
        <v/>
      </c>
      <c r="I99" s="25" t="e">
        <f ca="1">IF($G99="Всього:",SUM($I$4:I98),MAX($C$32,K99))</f>
        <v>#VALUE!</v>
      </c>
      <c r="J99" s="25" t="e">
        <f ca="1">IF($G99="Всього:",SUM($J$4:J98),IF(I99-SUM(K99:L99)&lt;0,0,I99-SUM(K99:L99)))</f>
        <v>#VALUE!</v>
      </c>
      <c r="K99" s="25" t="e">
        <f ca="1">IF(G99="Всього:",SUM($K$5:K98),F99*O98/36000*(G99-G98))</f>
        <v>#VALUE!</v>
      </c>
      <c r="L99" s="25" t="e">
        <f ca="1">IF(G99="Всього:",SUM($L$5:L98),$E$4)</f>
        <v>#VALUE!</v>
      </c>
      <c r="M99" s="25" t="e">
        <f ca="1">IF(G99="Всього:",SUM($M$5:M98),IF($E$5="UAH",J99+L99+K99,J99+K99))</f>
        <v>#VALUE!</v>
      </c>
      <c r="N99" s="27" t="e">
        <f ca="1">IF(G99="Всього:",SUM($N$4:N98),IF($E$5="UAH","",L99))</f>
        <v>#VALUE!</v>
      </c>
      <c r="O99" s="25" t="e">
        <f t="shared" ca="1" si="8"/>
        <v>#VALUE!</v>
      </c>
      <c r="P99" s="33" t="e">
        <f t="shared" ca="1" si="9"/>
        <v>#VALUE!</v>
      </c>
      <c r="Q99" s="8" t="e">
        <f t="shared" ca="1" si="12"/>
        <v>#VALUE!</v>
      </c>
    </row>
    <row r="100" spans="6:17" s="8" customFormat="1" ht="13.2" x14ac:dyDescent="0.25">
      <c r="F100" s="34" t="e">
        <f t="shared" ca="1" si="10"/>
        <v>#VALUE!</v>
      </c>
      <c r="G100" s="23" t="e">
        <f t="shared" ca="1" si="13"/>
        <v>#VALUE!</v>
      </c>
      <c r="H100" s="24" t="str">
        <f t="shared" si="11"/>
        <v/>
      </c>
      <c r="I100" s="25" t="e">
        <f ca="1">IF($G100="Всього:",SUM($I$4:I99),MAX($C$32,K100))</f>
        <v>#VALUE!</v>
      </c>
      <c r="J100" s="25" t="e">
        <f ca="1">IF($G100="Всього:",SUM($J$4:J99),IF(I100-SUM(K100:L100)&lt;0,0,I100-SUM(K100:L100)))</f>
        <v>#VALUE!</v>
      </c>
      <c r="K100" s="25" t="e">
        <f ca="1">IF(G100="Всього:",SUM($K$5:K99),F100*O99/36000*(G100-G99))</f>
        <v>#VALUE!</v>
      </c>
      <c r="L100" s="25" t="e">
        <f ca="1">IF(G100="Всього:",SUM($L$5:L99),$E$4)</f>
        <v>#VALUE!</v>
      </c>
      <c r="M100" s="25" t="e">
        <f ca="1">IF(G100="Всього:",SUM($M$5:M99),IF($E$5="UAH",J100+L100+K100,J100+K100))</f>
        <v>#VALUE!</v>
      </c>
      <c r="N100" s="27" t="e">
        <f ca="1">IF(G100="Всього:",SUM($N$4:N99),IF($E$5="UAH","",L100))</f>
        <v>#VALUE!</v>
      </c>
      <c r="O100" s="25" t="e">
        <f t="shared" ca="1" si="8"/>
        <v>#VALUE!</v>
      </c>
      <c r="P100" s="33" t="e">
        <f t="shared" ca="1" si="9"/>
        <v>#VALUE!</v>
      </c>
      <c r="Q100" s="8" t="e">
        <f t="shared" ca="1" si="12"/>
        <v>#VALUE!</v>
      </c>
    </row>
    <row r="101" spans="6:17" s="8" customFormat="1" ht="13.2" x14ac:dyDescent="0.25">
      <c r="F101" s="34" t="e">
        <f t="shared" ca="1" si="10"/>
        <v>#VALUE!</v>
      </c>
      <c r="G101" s="23" t="e">
        <f t="shared" ca="1" si="13"/>
        <v>#VALUE!</v>
      </c>
      <c r="H101" s="24" t="str">
        <f t="shared" si="11"/>
        <v/>
      </c>
      <c r="I101" s="25" t="e">
        <f ca="1">IF($G101="Всього:",SUM($I$4:I100),MAX($C$32,K101))</f>
        <v>#VALUE!</v>
      </c>
      <c r="J101" s="25" t="e">
        <f ca="1">IF($G101="Всього:",SUM($J$4:J100),IF(I101-SUM(K101:L101)&lt;0,0,I101-SUM(K101:L101)))</f>
        <v>#VALUE!</v>
      </c>
      <c r="K101" s="25" t="e">
        <f ca="1">IF(G101="Всього:",SUM($K$5:K100),F101*O100/36000*(G101-G100))</f>
        <v>#VALUE!</v>
      </c>
      <c r="L101" s="25" t="e">
        <f ca="1">IF(G101="Всього:",SUM($L$5:L100),$E$4)</f>
        <v>#VALUE!</v>
      </c>
      <c r="M101" s="25" t="e">
        <f ca="1">IF(G101="Всього:",SUM($M$5:M100),IF($E$5="UAH",J101+L101+K101,J101+K101))</f>
        <v>#VALUE!</v>
      </c>
      <c r="N101" s="27" t="e">
        <f ca="1">IF(G101="Всього:",SUM($N$4:N100),IF($E$5="UAH","",L101))</f>
        <v>#VALUE!</v>
      </c>
      <c r="O101" s="25" t="e">
        <f t="shared" ca="1" si="8"/>
        <v>#VALUE!</v>
      </c>
      <c r="P101" s="33" t="e">
        <f t="shared" ca="1" si="9"/>
        <v>#VALUE!</v>
      </c>
      <c r="Q101" s="8" t="e">
        <f t="shared" ca="1" si="12"/>
        <v>#VALUE!</v>
      </c>
    </row>
    <row r="102" spans="6:17" s="8" customFormat="1" ht="13.2" x14ac:dyDescent="0.25">
      <c r="F102" s="34" t="e">
        <f t="shared" ca="1" si="10"/>
        <v>#VALUE!</v>
      </c>
      <c r="G102" s="23" t="e">
        <f t="shared" ca="1" si="13"/>
        <v>#VALUE!</v>
      </c>
      <c r="H102" s="24" t="str">
        <f t="shared" si="11"/>
        <v/>
      </c>
      <c r="I102" s="25" t="e">
        <f ca="1">IF($G102="Всього:",SUM($I$4:I101),MAX($C$32,K102))</f>
        <v>#VALUE!</v>
      </c>
      <c r="J102" s="25" t="e">
        <f ca="1">IF($G102="Всього:",SUM($J$4:J101),IF(I102-SUM(K102:L102)&lt;0,0,I102-SUM(K102:L102)))</f>
        <v>#VALUE!</v>
      </c>
      <c r="K102" s="25" t="e">
        <f ca="1">IF(G102="Всього:",SUM($K$5:K101),F102*O101/36000*(G102-G101))</f>
        <v>#VALUE!</v>
      </c>
      <c r="L102" s="25" t="e">
        <f ca="1">IF(G102="Всього:",SUM($L$5:L101),$E$4)</f>
        <v>#VALUE!</v>
      </c>
      <c r="M102" s="25" t="e">
        <f ca="1">IF(G102="Всього:",SUM($M$5:M101),IF($E$5="UAH",J102+L102+K102,J102+K102))</f>
        <v>#VALUE!</v>
      </c>
      <c r="N102" s="27" t="e">
        <f ca="1">IF(G102="Всього:",SUM($N$4:N101),IF($E$5="UAH","",L102))</f>
        <v>#VALUE!</v>
      </c>
      <c r="O102" s="25" t="e">
        <f t="shared" ca="1" si="8"/>
        <v>#VALUE!</v>
      </c>
      <c r="P102" s="33" t="e">
        <f t="shared" ca="1" si="9"/>
        <v>#VALUE!</v>
      </c>
      <c r="Q102" s="8" t="e">
        <f t="shared" ca="1" si="12"/>
        <v>#VALUE!</v>
      </c>
    </row>
    <row r="103" spans="6:17" s="8" customFormat="1" ht="13.2" x14ac:dyDescent="0.25">
      <c r="F103" s="34" t="e">
        <f t="shared" ca="1" si="10"/>
        <v>#VALUE!</v>
      </c>
      <c r="G103" s="23" t="e">
        <f t="shared" ca="1" si="13"/>
        <v>#VALUE!</v>
      </c>
      <c r="H103" s="24" t="str">
        <f t="shared" si="11"/>
        <v/>
      </c>
      <c r="I103" s="25" t="e">
        <f ca="1">IF($G103="Всього:",SUM($I$4:I102),MAX($C$32,K103))</f>
        <v>#VALUE!</v>
      </c>
      <c r="J103" s="25" t="e">
        <f ca="1">IF($G103="Всього:",SUM($J$4:J102),IF(I103-SUM(K103:L103)&lt;0,0,I103-SUM(K103:L103)))</f>
        <v>#VALUE!</v>
      </c>
      <c r="K103" s="25" t="e">
        <f ca="1">IF(G103="Всього:",SUM($K$5:K102),F103*O102/36000*(G103-G102))</f>
        <v>#VALUE!</v>
      </c>
      <c r="L103" s="25" t="e">
        <f ca="1">IF(G103="Всього:",SUM($L$5:L102),$E$4)</f>
        <v>#VALUE!</v>
      </c>
      <c r="M103" s="25" t="e">
        <f ca="1">IF(G103="Всього:",SUM($M$5:M102),IF($E$5="UAH",J103+L103+K103,J103+K103))</f>
        <v>#VALUE!</v>
      </c>
      <c r="N103" s="27" t="e">
        <f ca="1">IF(G103="Всього:",SUM($N$4:N102),IF($E$5="UAH","",L103))</f>
        <v>#VALUE!</v>
      </c>
      <c r="O103" s="25" t="e">
        <f t="shared" ca="1" si="8"/>
        <v>#VALUE!</v>
      </c>
      <c r="P103" s="33" t="e">
        <f t="shared" ca="1" si="9"/>
        <v>#VALUE!</v>
      </c>
      <c r="Q103" s="8" t="e">
        <f t="shared" ca="1" si="12"/>
        <v>#VALUE!</v>
      </c>
    </row>
    <row r="104" spans="6:17" s="8" customFormat="1" ht="13.2" x14ac:dyDescent="0.25">
      <c r="F104" s="34" t="e">
        <f t="shared" ca="1" si="10"/>
        <v>#VALUE!</v>
      </c>
      <c r="G104" s="23" t="e">
        <f t="shared" ca="1" si="13"/>
        <v>#VALUE!</v>
      </c>
      <c r="H104" s="24" t="str">
        <f t="shared" si="11"/>
        <v/>
      </c>
      <c r="I104" s="25" t="e">
        <f ca="1">IF($G104="Всього:",SUM($I$4:I103),MAX($C$32,K104))</f>
        <v>#VALUE!</v>
      </c>
      <c r="J104" s="25" t="e">
        <f ca="1">IF($G104="Всього:",SUM($J$4:J103),IF(I104-SUM(K104:L104)&lt;0,0,I104-SUM(K104:L104)))</f>
        <v>#VALUE!</v>
      </c>
      <c r="K104" s="25" t="e">
        <f ca="1">IF(G104="Всього:",SUM($K$5:K103),F104*O103/36000*(G104-G103))</f>
        <v>#VALUE!</v>
      </c>
      <c r="L104" s="25" t="e">
        <f ca="1">IF(G104="Всього:",SUM($L$5:L103),$E$4)</f>
        <v>#VALUE!</v>
      </c>
      <c r="M104" s="25" t="e">
        <f ca="1">IF(G104="Всього:",SUM($M$5:M103),IF($E$5="UAH",J104+L104+K104,J104+K104))</f>
        <v>#VALUE!</v>
      </c>
      <c r="N104" s="27" t="e">
        <f ca="1">IF(G104="Всього:",SUM($N$4:N103),IF($E$5="UAH","",L104))</f>
        <v>#VALUE!</v>
      </c>
      <c r="O104" s="25" t="e">
        <f t="shared" ca="1" si="8"/>
        <v>#VALUE!</v>
      </c>
      <c r="P104" s="33" t="e">
        <f t="shared" ca="1" si="9"/>
        <v>#VALUE!</v>
      </c>
      <c r="Q104" s="8" t="e">
        <f t="shared" ca="1" si="12"/>
        <v>#VALUE!</v>
      </c>
    </row>
    <row r="105" spans="6:17" s="8" customFormat="1" ht="13.2" x14ac:dyDescent="0.25">
      <c r="F105" s="34" t="e">
        <f t="shared" ca="1" si="10"/>
        <v>#VALUE!</v>
      </c>
      <c r="G105" s="23" t="e">
        <f t="shared" ca="1" si="13"/>
        <v>#VALUE!</v>
      </c>
      <c r="H105" s="24" t="str">
        <f t="shared" si="11"/>
        <v/>
      </c>
      <c r="I105" s="25" t="e">
        <f ca="1">IF($G105="Всього:",SUM($I$4:I104),MAX($C$32,K105))</f>
        <v>#VALUE!</v>
      </c>
      <c r="J105" s="25" t="e">
        <f ca="1">IF($G105="Всього:",SUM($J$4:J104),IF(I105-SUM(K105:L105)&lt;0,0,I105-SUM(K105:L105)))</f>
        <v>#VALUE!</v>
      </c>
      <c r="K105" s="25" t="e">
        <f ca="1">IF(G105="Всього:",SUM($K$5:K104),F105*O104/36000*(G105-G104))</f>
        <v>#VALUE!</v>
      </c>
      <c r="L105" s="25" t="e">
        <f ca="1">IF(G105="Всього:",SUM($L$5:L104),$E$4)</f>
        <v>#VALUE!</v>
      </c>
      <c r="M105" s="25" t="e">
        <f ca="1">IF(G105="Всього:",SUM($M$5:M104),IF($E$5="UAH",J105+L105+K105,J105+K105))</f>
        <v>#VALUE!</v>
      </c>
      <c r="N105" s="27" t="e">
        <f ca="1">IF(G105="Всього:",SUM($N$4:N104),IF($E$5="UAH","",L105))</f>
        <v>#VALUE!</v>
      </c>
      <c r="O105" s="25" t="e">
        <f t="shared" ca="1" si="8"/>
        <v>#VALUE!</v>
      </c>
      <c r="P105" s="33" t="e">
        <f t="shared" ca="1" si="9"/>
        <v>#VALUE!</v>
      </c>
      <c r="Q105" s="8" t="e">
        <f t="shared" ca="1" si="12"/>
        <v>#VALUE!</v>
      </c>
    </row>
    <row r="106" spans="6:17" s="8" customFormat="1" ht="13.2" x14ac:dyDescent="0.25">
      <c r="F106" s="34" t="e">
        <f t="shared" ca="1" si="10"/>
        <v>#VALUE!</v>
      </c>
      <c r="G106" s="23" t="e">
        <f t="shared" ca="1" si="13"/>
        <v>#VALUE!</v>
      </c>
      <c r="H106" s="24" t="str">
        <f t="shared" si="11"/>
        <v/>
      </c>
      <c r="I106" s="25" t="e">
        <f ca="1">IF($G106="Всього:",SUM($I$4:I105),MAX($C$32,K106))</f>
        <v>#VALUE!</v>
      </c>
      <c r="J106" s="25" t="e">
        <f ca="1">IF($G106="Всього:",SUM($J$4:J105),IF(I106-SUM(K106:L106)&lt;0,0,I106-SUM(K106:L106)))</f>
        <v>#VALUE!</v>
      </c>
      <c r="K106" s="25" t="e">
        <f ca="1">IF(G106="Всього:",SUM($K$5:K105),F106*O105/36000*(G106-G105))</f>
        <v>#VALUE!</v>
      </c>
      <c r="L106" s="25" t="e">
        <f ca="1">IF(G106="Всього:",SUM($L$5:L105),$E$4)</f>
        <v>#VALUE!</v>
      </c>
      <c r="M106" s="25" t="e">
        <f ca="1">IF(G106="Всього:",SUM($M$5:M105),IF($E$5="UAH",J106+L106+K106,J106+K106))</f>
        <v>#VALUE!</v>
      </c>
      <c r="N106" s="27" t="e">
        <f ca="1">IF(G106="Всього:",SUM($N$4:N105),IF($E$5="UAH","",L106))</f>
        <v>#VALUE!</v>
      </c>
      <c r="O106" s="25" t="e">
        <f t="shared" ca="1" si="8"/>
        <v>#VALUE!</v>
      </c>
      <c r="P106" s="33" t="e">
        <f t="shared" ca="1" si="9"/>
        <v>#VALUE!</v>
      </c>
      <c r="Q106" s="8" t="e">
        <f t="shared" ca="1" si="12"/>
        <v>#VALUE!</v>
      </c>
    </row>
    <row r="107" spans="6:17" s="8" customFormat="1" ht="13.2" x14ac:dyDescent="0.25">
      <c r="F107" s="34" t="e">
        <f t="shared" ca="1" si="10"/>
        <v>#VALUE!</v>
      </c>
      <c r="G107" s="23" t="e">
        <f t="shared" ca="1" si="13"/>
        <v>#VALUE!</v>
      </c>
      <c r="H107" s="24" t="str">
        <f t="shared" si="11"/>
        <v/>
      </c>
      <c r="I107" s="25" t="e">
        <f ca="1">IF($G107="Всього:",SUM($I$4:I106),MAX($C$32,K107))</f>
        <v>#VALUE!</v>
      </c>
      <c r="J107" s="25" t="e">
        <f ca="1">IF($G107="Всього:",SUM($J$4:J106),IF(I107-SUM(K107:L107)&lt;0,0,I107-SUM(K107:L107)))</f>
        <v>#VALUE!</v>
      </c>
      <c r="K107" s="25" t="e">
        <f ca="1">IF(G107="Всього:",SUM($K$5:K106),F107*O106/36000*(G107-G106))</f>
        <v>#VALUE!</v>
      </c>
      <c r="L107" s="25" t="e">
        <f ca="1">IF(G107="Всього:",SUM($L$5:L106),$E$4)</f>
        <v>#VALUE!</v>
      </c>
      <c r="M107" s="25" t="e">
        <f ca="1">IF(G107="Всього:",SUM($M$5:M106),IF($E$5="UAH",J107+L107+K107,J107+K107))</f>
        <v>#VALUE!</v>
      </c>
      <c r="N107" s="27" t="e">
        <f ca="1">IF(G107="Всього:",SUM($N$4:N106),IF($E$5="UAH","",L107))</f>
        <v>#VALUE!</v>
      </c>
      <c r="O107" s="25" t="e">
        <f t="shared" ca="1" si="8"/>
        <v>#VALUE!</v>
      </c>
      <c r="P107" s="33" t="e">
        <f t="shared" ca="1" si="9"/>
        <v>#VALUE!</v>
      </c>
      <c r="Q107" s="8" t="e">
        <f t="shared" ca="1" si="12"/>
        <v>#VALUE!</v>
      </c>
    </row>
    <row r="108" spans="6:17" s="8" customFormat="1" ht="13.2" x14ac:dyDescent="0.25">
      <c r="F108" s="34" t="e">
        <f t="shared" ca="1" si="10"/>
        <v>#VALUE!</v>
      </c>
      <c r="G108" s="23" t="e">
        <f t="shared" ca="1" si="13"/>
        <v>#VALUE!</v>
      </c>
      <c r="H108" s="24" t="str">
        <f t="shared" si="11"/>
        <v/>
      </c>
      <c r="I108" s="25" t="e">
        <f ca="1">IF($G108="Всього:",SUM($I$4:I107),MAX($C$32,K108))</f>
        <v>#VALUE!</v>
      </c>
      <c r="J108" s="25" t="e">
        <f ca="1">IF($G108="Всього:",SUM($J$4:J107),IF(I108-SUM(K108:L108)&lt;0,0,I108-SUM(K108:L108)))</f>
        <v>#VALUE!</v>
      </c>
      <c r="K108" s="25" t="e">
        <f ca="1">IF(G108="Всього:",SUM($K$5:K107),F108*O107/36000*(G108-G107))</f>
        <v>#VALUE!</v>
      </c>
      <c r="L108" s="25" t="e">
        <f ca="1">IF(G108="Всього:",SUM($L$5:L107),$E$4)</f>
        <v>#VALUE!</v>
      </c>
      <c r="M108" s="25" t="e">
        <f ca="1">IF(G108="Всього:",SUM($M$5:M107),IF($E$5="UAH",J108+L108+K108,J108+K108))</f>
        <v>#VALUE!</v>
      </c>
      <c r="N108" s="27" t="e">
        <f ca="1">IF(G108="Всього:",SUM($N$4:N107),IF($E$5="UAH","",L108))</f>
        <v>#VALUE!</v>
      </c>
      <c r="O108" s="25" t="e">
        <f t="shared" ca="1" si="8"/>
        <v>#VALUE!</v>
      </c>
      <c r="P108" s="33" t="e">
        <f t="shared" ca="1" si="9"/>
        <v>#VALUE!</v>
      </c>
      <c r="Q108" s="8" t="e">
        <f t="shared" ca="1" si="12"/>
        <v>#VALUE!</v>
      </c>
    </row>
    <row r="109" spans="6:17" s="8" customFormat="1" ht="13.2" x14ac:dyDescent="0.25">
      <c r="F109" s="34" t="e">
        <f t="shared" ca="1" si="10"/>
        <v>#VALUE!</v>
      </c>
      <c r="G109" s="23" t="e">
        <f t="shared" ca="1" si="13"/>
        <v>#VALUE!</v>
      </c>
      <c r="H109" s="24" t="str">
        <f t="shared" si="11"/>
        <v/>
      </c>
      <c r="I109" s="25" t="e">
        <f ca="1">IF($G109="Всього:",SUM($I$4:I108),MAX($C$32,K109))</f>
        <v>#VALUE!</v>
      </c>
      <c r="J109" s="25" t="e">
        <f ca="1">IF($G109="Всього:",SUM($J$4:J108),IF(I109-SUM(K109:L109)&lt;0,0,I109-SUM(K109:L109)))</f>
        <v>#VALUE!</v>
      </c>
      <c r="K109" s="25" t="e">
        <f ca="1">IF(G109="Всього:",SUM($K$5:K108),F109*O108/36000*(G109-G108))</f>
        <v>#VALUE!</v>
      </c>
      <c r="L109" s="25" t="e">
        <f ca="1">IF(G109="Всього:",SUM($L$5:L108),$E$4)</f>
        <v>#VALUE!</v>
      </c>
      <c r="M109" s="25" t="e">
        <f ca="1">IF(G109="Всього:",SUM($M$5:M108),IF($E$5="UAH",J109+L109+K109,J109+K109))</f>
        <v>#VALUE!</v>
      </c>
      <c r="N109" s="27" t="e">
        <f ca="1">IF(G109="Всього:",SUM($N$4:N108),IF($E$5="UAH","",L109))</f>
        <v>#VALUE!</v>
      </c>
      <c r="O109" s="25" t="e">
        <f t="shared" ca="1" si="8"/>
        <v>#VALUE!</v>
      </c>
      <c r="P109" s="33" t="e">
        <f t="shared" ca="1" si="9"/>
        <v>#VALUE!</v>
      </c>
      <c r="Q109" s="8" t="e">
        <f t="shared" ca="1" si="12"/>
        <v>#VALUE!</v>
      </c>
    </row>
    <row r="110" spans="6:17" s="8" customFormat="1" ht="13.2" x14ac:dyDescent="0.25">
      <c r="F110" s="34" t="e">
        <f t="shared" ca="1" si="10"/>
        <v>#VALUE!</v>
      </c>
      <c r="G110" s="23" t="e">
        <f t="shared" ca="1" si="13"/>
        <v>#VALUE!</v>
      </c>
      <c r="H110" s="24" t="str">
        <f t="shared" si="11"/>
        <v/>
      </c>
      <c r="I110" s="25" t="e">
        <f ca="1">IF($G110="Всього:",SUM($I$4:I109),MAX($C$32,K110))</f>
        <v>#VALUE!</v>
      </c>
      <c r="J110" s="25" t="e">
        <f ca="1">IF($G110="Всього:",SUM($J$4:J109),IF(I110-SUM(K110:L110)&lt;0,0,I110-SUM(K110:L110)))</f>
        <v>#VALUE!</v>
      </c>
      <c r="K110" s="25" t="e">
        <f ca="1">IF(G110="Всього:",SUM($K$5:K109),F110*O109/36000*(G110-G109))</f>
        <v>#VALUE!</v>
      </c>
      <c r="L110" s="25" t="e">
        <f ca="1">IF(G110="Всього:",SUM($L$5:L109),$E$4)</f>
        <v>#VALUE!</v>
      </c>
      <c r="M110" s="25" t="e">
        <f ca="1">IF(G110="Всього:",SUM($M$5:M109),IF($E$5="UAH",J110+L110+K110,J110+K110))</f>
        <v>#VALUE!</v>
      </c>
      <c r="N110" s="27" t="e">
        <f ca="1">IF(G110="Всього:",SUM($N$4:N109),IF($E$5="UAH","",L110))</f>
        <v>#VALUE!</v>
      </c>
      <c r="O110" s="25" t="e">
        <f t="shared" ca="1" si="8"/>
        <v>#VALUE!</v>
      </c>
      <c r="P110" s="33" t="e">
        <f t="shared" ca="1" si="9"/>
        <v>#VALUE!</v>
      </c>
      <c r="Q110" s="8" t="e">
        <f t="shared" ca="1" si="12"/>
        <v>#VALUE!</v>
      </c>
    </row>
    <row r="111" spans="6:17" s="8" customFormat="1" ht="13.2" x14ac:dyDescent="0.25">
      <c r="F111" s="34" t="e">
        <f t="shared" ca="1" si="10"/>
        <v>#VALUE!</v>
      </c>
      <c r="G111" s="23" t="e">
        <f t="shared" ca="1" si="13"/>
        <v>#VALUE!</v>
      </c>
      <c r="H111" s="24" t="str">
        <f t="shared" si="11"/>
        <v/>
      </c>
      <c r="I111" s="25" t="e">
        <f ca="1">IF($G111="Всього:",SUM($I$4:I110),MAX($C$32,K111))</f>
        <v>#VALUE!</v>
      </c>
      <c r="J111" s="25" t="e">
        <f ca="1">IF($G111="Всього:",SUM($J$4:J110),IF(I111-SUM(K111:L111)&lt;0,0,I111-SUM(K111:L111)))</f>
        <v>#VALUE!</v>
      </c>
      <c r="K111" s="25" t="e">
        <f ca="1">IF(G111="Всього:",SUM($K$5:K110),F111*O110/36000*(G111-G110))</f>
        <v>#VALUE!</v>
      </c>
      <c r="L111" s="25" t="e">
        <f ca="1">IF(G111="Всього:",SUM($L$5:L110),$E$4)</f>
        <v>#VALUE!</v>
      </c>
      <c r="M111" s="25" t="e">
        <f ca="1">IF(G111="Всього:",SUM($M$5:M110),IF($E$5="UAH",J111+L111+K111,J111+K111))</f>
        <v>#VALUE!</v>
      </c>
      <c r="N111" s="27" t="e">
        <f ca="1">IF(G111="Всього:",SUM($N$4:N110),IF($E$5="UAH","",L111))</f>
        <v>#VALUE!</v>
      </c>
      <c r="O111" s="25" t="e">
        <f t="shared" ca="1" si="8"/>
        <v>#VALUE!</v>
      </c>
      <c r="P111" s="33" t="e">
        <f t="shared" ca="1" si="9"/>
        <v>#VALUE!</v>
      </c>
      <c r="Q111" s="8" t="e">
        <f t="shared" ca="1" si="12"/>
        <v>#VALUE!</v>
      </c>
    </row>
    <row r="112" spans="6:17" s="8" customFormat="1" ht="13.2" x14ac:dyDescent="0.25">
      <c r="F112" s="34" t="e">
        <f t="shared" ca="1" si="10"/>
        <v>#VALUE!</v>
      </c>
      <c r="G112" s="23" t="e">
        <f t="shared" ca="1" si="13"/>
        <v>#VALUE!</v>
      </c>
      <c r="H112" s="24" t="str">
        <f t="shared" si="11"/>
        <v/>
      </c>
      <c r="I112" s="25" t="e">
        <f ca="1">IF($G112="Всього:",SUM($I$4:I111),MAX($C$32,K112))</f>
        <v>#VALUE!</v>
      </c>
      <c r="J112" s="25" t="e">
        <f ca="1">IF($G112="Всього:",SUM($J$4:J111),IF(I112-SUM(K112:L112)&lt;0,0,I112-SUM(K112:L112)))</f>
        <v>#VALUE!</v>
      </c>
      <c r="K112" s="25" t="e">
        <f ca="1">IF(G112="Всього:",SUM($K$5:K111),F112*O111/36000*(G112-G111))</f>
        <v>#VALUE!</v>
      </c>
      <c r="L112" s="25" t="e">
        <f ca="1">IF(G112="Всього:",SUM($L$5:L111),$E$4)</f>
        <v>#VALUE!</v>
      </c>
      <c r="M112" s="25" t="e">
        <f ca="1">IF(G112="Всього:",SUM($M$5:M111),IF($E$5="UAH",J112+L112+K112,J112+K112))</f>
        <v>#VALUE!</v>
      </c>
      <c r="N112" s="27" t="e">
        <f ca="1">IF(G112="Всього:",SUM($N$4:N111),IF($E$5="UAH","",L112))</f>
        <v>#VALUE!</v>
      </c>
      <c r="O112" s="25" t="e">
        <f t="shared" ca="1" si="8"/>
        <v>#VALUE!</v>
      </c>
      <c r="P112" s="33" t="e">
        <f t="shared" ca="1" si="9"/>
        <v>#VALUE!</v>
      </c>
      <c r="Q112" s="8" t="e">
        <f t="shared" ca="1" si="12"/>
        <v>#VALUE!</v>
      </c>
    </row>
    <row r="113" spans="6:17" s="8" customFormat="1" ht="13.2" x14ac:dyDescent="0.25">
      <c r="F113" s="34" t="e">
        <f t="shared" ca="1" si="10"/>
        <v>#VALUE!</v>
      </c>
      <c r="G113" s="23" t="e">
        <f t="shared" ca="1" si="13"/>
        <v>#VALUE!</v>
      </c>
      <c r="H113" s="24" t="str">
        <f t="shared" si="11"/>
        <v/>
      </c>
      <c r="I113" s="25" t="e">
        <f ca="1">IF($G113="Всього:",SUM($I$4:I112),MAX($C$32,K113))</f>
        <v>#VALUE!</v>
      </c>
      <c r="J113" s="25" t="e">
        <f ca="1">IF($G113="Всього:",SUM($J$4:J112),IF(I113-SUM(K113:L113)&lt;0,0,I113-SUM(K113:L113)))</f>
        <v>#VALUE!</v>
      </c>
      <c r="K113" s="25" t="e">
        <f ca="1">IF(G113="Всього:",SUM($K$5:K112),F113*O112/36000*(G113-G112))</f>
        <v>#VALUE!</v>
      </c>
      <c r="L113" s="25" t="e">
        <f ca="1">IF(G113="Всього:",SUM($L$5:L112),$E$4)</f>
        <v>#VALUE!</v>
      </c>
      <c r="M113" s="25" t="e">
        <f ca="1">IF(G113="Всього:",SUM($M$5:M112),IF($E$5="UAH",J113+L113+K113,J113+K113))</f>
        <v>#VALUE!</v>
      </c>
      <c r="N113" s="27" t="e">
        <f ca="1">IF(G113="Всього:",SUM($N$4:N112),IF($E$5="UAH","",L113))</f>
        <v>#VALUE!</v>
      </c>
      <c r="O113" s="25" t="e">
        <f t="shared" ca="1" si="8"/>
        <v>#VALUE!</v>
      </c>
      <c r="P113" s="33" t="e">
        <f t="shared" ca="1" si="9"/>
        <v>#VALUE!</v>
      </c>
      <c r="Q113" s="8" t="e">
        <f t="shared" ca="1" si="12"/>
        <v>#VALUE!</v>
      </c>
    </row>
    <row r="114" spans="6:17" s="8" customFormat="1" ht="13.2" x14ac:dyDescent="0.25">
      <c r="F114" s="34" t="e">
        <f t="shared" ca="1" si="10"/>
        <v>#VALUE!</v>
      </c>
      <c r="G114" s="23" t="e">
        <f t="shared" ca="1" si="13"/>
        <v>#VALUE!</v>
      </c>
      <c r="H114" s="24" t="str">
        <f t="shared" si="11"/>
        <v/>
      </c>
      <c r="I114" s="25" t="e">
        <f ca="1">IF($G114="Всього:",SUM($I$4:I113),MAX($C$32,K114))</f>
        <v>#VALUE!</v>
      </c>
      <c r="J114" s="25" t="e">
        <f ca="1">IF($G114="Всього:",SUM($J$4:J113),IF(I114-SUM(K114:L114)&lt;0,0,I114-SUM(K114:L114)))</f>
        <v>#VALUE!</v>
      </c>
      <c r="K114" s="25" t="e">
        <f ca="1">IF(G114="Всього:",SUM($K$5:K113),F114*O113/36000*(G114-G113))</f>
        <v>#VALUE!</v>
      </c>
      <c r="L114" s="25" t="e">
        <f ca="1">IF(G114="Всього:",SUM($L$5:L113),$E$4)</f>
        <v>#VALUE!</v>
      </c>
      <c r="M114" s="25" t="e">
        <f ca="1">IF(G114="Всього:",SUM($M$5:M113),IF($E$5="UAH",J114+L114+K114,J114+K114))</f>
        <v>#VALUE!</v>
      </c>
      <c r="N114" s="27" t="e">
        <f ca="1">IF(G114="Всього:",SUM($N$4:N113),IF($E$5="UAH","",L114))</f>
        <v>#VALUE!</v>
      </c>
      <c r="O114" s="25" t="e">
        <f t="shared" ca="1" si="8"/>
        <v>#VALUE!</v>
      </c>
      <c r="P114" s="33" t="e">
        <f t="shared" ca="1" si="9"/>
        <v>#VALUE!</v>
      </c>
      <c r="Q114" s="8" t="e">
        <f t="shared" ca="1" si="12"/>
        <v>#VALUE!</v>
      </c>
    </row>
    <row r="115" spans="6:17" s="8" customFormat="1" ht="13.2" x14ac:dyDescent="0.25">
      <c r="F115" s="34" t="e">
        <f t="shared" ca="1" si="10"/>
        <v>#VALUE!</v>
      </c>
      <c r="G115" s="23" t="e">
        <f t="shared" ca="1" si="13"/>
        <v>#VALUE!</v>
      </c>
      <c r="H115" s="24" t="str">
        <f t="shared" si="11"/>
        <v/>
      </c>
      <c r="I115" s="25" t="e">
        <f ca="1">IF($G115="Всього:",SUM($I$4:I114),MAX($C$32,K115))</f>
        <v>#VALUE!</v>
      </c>
      <c r="J115" s="25" t="e">
        <f ca="1">IF($G115="Всього:",SUM($J$4:J114),IF(I115-SUM(K115:L115)&lt;0,0,I115-SUM(K115:L115)))</f>
        <v>#VALUE!</v>
      </c>
      <c r="K115" s="25" t="e">
        <f ca="1">IF(G115="Всього:",SUM($K$5:K114),F115*O114/36000*(G115-G114))</f>
        <v>#VALUE!</v>
      </c>
      <c r="L115" s="25" t="e">
        <f ca="1">IF(G115="Всього:",SUM($L$5:L114),$E$4)</f>
        <v>#VALUE!</v>
      </c>
      <c r="M115" s="25" t="e">
        <f ca="1">IF(G115="Всього:",SUM($M$5:M114),IF($E$5="UAH",J115+L115+K115,J115+K115))</f>
        <v>#VALUE!</v>
      </c>
      <c r="N115" s="27" t="e">
        <f ca="1">IF(G115="Всього:",SUM($N$4:N114),IF($E$5="UAH","",L115))</f>
        <v>#VALUE!</v>
      </c>
      <c r="O115" s="25" t="e">
        <f t="shared" ca="1" si="8"/>
        <v>#VALUE!</v>
      </c>
      <c r="P115" s="33" t="e">
        <f t="shared" ca="1" si="9"/>
        <v>#VALUE!</v>
      </c>
      <c r="Q115" s="8" t="e">
        <f t="shared" ca="1" si="12"/>
        <v>#VALUE!</v>
      </c>
    </row>
    <row r="116" spans="6:17" s="8" customFormat="1" ht="13.2" x14ac:dyDescent="0.25">
      <c r="F116" s="34" t="e">
        <f t="shared" ca="1" si="10"/>
        <v>#VALUE!</v>
      </c>
      <c r="G116" s="23" t="e">
        <f t="shared" ca="1" si="13"/>
        <v>#VALUE!</v>
      </c>
      <c r="H116" s="24" t="str">
        <f t="shared" si="11"/>
        <v/>
      </c>
      <c r="I116" s="25" t="e">
        <f ca="1">IF($G116="Всього:",SUM($I$4:I115),MAX($C$32,K116))</f>
        <v>#VALUE!</v>
      </c>
      <c r="J116" s="25" t="e">
        <f ca="1">IF($G116="Всього:",SUM($J$4:J115),IF(I116-SUM(K116:L116)&lt;0,0,I116-SUM(K116:L116)))</f>
        <v>#VALUE!</v>
      </c>
      <c r="K116" s="25" t="e">
        <f ca="1">IF(G116="Всього:",SUM($K$5:K115),F116*O115/36000*(G116-G115))</f>
        <v>#VALUE!</v>
      </c>
      <c r="L116" s="25" t="e">
        <f ca="1">IF(G116="Всього:",SUM($L$5:L115),$E$4)</f>
        <v>#VALUE!</v>
      </c>
      <c r="M116" s="25" t="e">
        <f ca="1">IF(G116="Всього:",SUM($M$5:M115),IF($E$5="UAH",J116+L116+K116,J116+K116))</f>
        <v>#VALUE!</v>
      </c>
      <c r="N116" s="27" t="e">
        <f ca="1">IF(G116="Всього:",SUM($N$4:N115),IF($E$5="UAH","",L116))</f>
        <v>#VALUE!</v>
      </c>
      <c r="O116" s="25" t="e">
        <f t="shared" ca="1" si="8"/>
        <v>#VALUE!</v>
      </c>
      <c r="P116" s="33" t="e">
        <f t="shared" ca="1" si="9"/>
        <v>#VALUE!</v>
      </c>
      <c r="Q116" s="8" t="e">
        <f t="shared" ca="1" si="12"/>
        <v>#VALUE!</v>
      </c>
    </row>
    <row r="117" spans="6:17" s="8" customFormat="1" ht="13.2" x14ac:dyDescent="0.25">
      <c r="F117" s="34" t="e">
        <f t="shared" ca="1" si="10"/>
        <v>#VALUE!</v>
      </c>
      <c r="G117" s="23" t="e">
        <f t="shared" ca="1" si="13"/>
        <v>#VALUE!</v>
      </c>
      <c r="H117" s="24" t="str">
        <f t="shared" si="11"/>
        <v/>
      </c>
      <c r="I117" s="25" t="e">
        <f ca="1">IF($G117="Всього:",SUM($I$4:I116),MAX($C$32,K117))</f>
        <v>#VALUE!</v>
      </c>
      <c r="J117" s="25" t="e">
        <f ca="1">IF($G117="Всього:",SUM($J$4:J116),IF(I117-SUM(K117:L117)&lt;0,0,I117-SUM(K117:L117)))</f>
        <v>#VALUE!</v>
      </c>
      <c r="K117" s="25" t="e">
        <f ca="1">IF(G117="Всього:",SUM($K$5:K116),F117*O116/36000*(G117-G116))</f>
        <v>#VALUE!</v>
      </c>
      <c r="L117" s="25" t="e">
        <f ca="1">IF(G117="Всього:",SUM($L$5:L116),$E$4)</f>
        <v>#VALUE!</v>
      </c>
      <c r="M117" s="25" t="e">
        <f ca="1">IF(G117="Всього:",SUM($M$5:M116),IF($E$5="UAH",J117+L117+K117,J117+K117))</f>
        <v>#VALUE!</v>
      </c>
      <c r="N117" s="27" t="e">
        <f ca="1">IF(G117="Всього:",SUM($N$4:N116),IF($E$5="UAH","",L117))</f>
        <v>#VALUE!</v>
      </c>
      <c r="O117" s="25" t="e">
        <f t="shared" ca="1" si="8"/>
        <v>#VALUE!</v>
      </c>
      <c r="P117" s="33" t="e">
        <f t="shared" ca="1" si="9"/>
        <v>#VALUE!</v>
      </c>
      <c r="Q117" s="8" t="e">
        <f t="shared" ca="1" si="12"/>
        <v>#VALUE!</v>
      </c>
    </row>
    <row r="118" spans="6:17" s="8" customFormat="1" ht="13.2" x14ac:dyDescent="0.25">
      <c r="F118" s="34" t="e">
        <f t="shared" ca="1" si="10"/>
        <v>#VALUE!</v>
      </c>
      <c r="G118" s="23" t="e">
        <f t="shared" ca="1" si="13"/>
        <v>#VALUE!</v>
      </c>
      <c r="H118" s="24" t="str">
        <f t="shared" si="11"/>
        <v/>
      </c>
      <c r="I118" s="25" t="e">
        <f ca="1">IF($G118="Всього:",SUM($I$4:I117),MAX($C$32,K118))</f>
        <v>#VALUE!</v>
      </c>
      <c r="J118" s="25" t="e">
        <f ca="1">IF($G118="Всього:",SUM($J$4:J117),IF(I118-SUM(K118:L118)&lt;0,0,I118-SUM(K118:L118)))</f>
        <v>#VALUE!</v>
      </c>
      <c r="K118" s="25" t="e">
        <f ca="1">IF(G118="Всього:",SUM($K$5:K117),F118*O117/36000*(G118-G117))</f>
        <v>#VALUE!</v>
      </c>
      <c r="L118" s="25" t="e">
        <f ca="1">IF(G118="Всього:",SUM($L$5:L117),$E$4)</f>
        <v>#VALUE!</v>
      </c>
      <c r="M118" s="25" t="e">
        <f ca="1">IF(G118="Всього:",SUM($M$5:M117),IF($E$5="UAH",J118+L118+K118,J118+K118))</f>
        <v>#VALUE!</v>
      </c>
      <c r="N118" s="27" t="e">
        <f ca="1">IF(G118="Всього:",SUM($N$4:N117),IF($E$5="UAH","",L118))</f>
        <v>#VALUE!</v>
      </c>
      <c r="O118" s="25" t="e">
        <f t="shared" ca="1" si="8"/>
        <v>#VALUE!</v>
      </c>
      <c r="P118" s="33" t="e">
        <f t="shared" ca="1" si="9"/>
        <v>#VALUE!</v>
      </c>
      <c r="Q118" s="8" t="e">
        <f t="shared" ca="1" si="12"/>
        <v>#VALUE!</v>
      </c>
    </row>
    <row r="119" spans="6:17" s="8" customFormat="1" ht="13.2" x14ac:dyDescent="0.25">
      <c r="F119" s="34" t="e">
        <f t="shared" ca="1" si="10"/>
        <v>#VALUE!</v>
      </c>
      <c r="G119" s="23" t="e">
        <f t="shared" ca="1" si="13"/>
        <v>#VALUE!</v>
      </c>
      <c r="H119" s="24" t="str">
        <f t="shared" si="11"/>
        <v/>
      </c>
      <c r="I119" s="25" t="e">
        <f ca="1">IF($G119="Всього:",SUM($I$4:I118),MAX($C$32,K119))</f>
        <v>#VALUE!</v>
      </c>
      <c r="J119" s="25" t="e">
        <f ca="1">IF($G119="Всього:",SUM($J$4:J118),IF(I119-SUM(K119:L119)&lt;0,0,I119-SUM(K119:L119)))</f>
        <v>#VALUE!</v>
      </c>
      <c r="K119" s="25" t="e">
        <f ca="1">IF(G119="Всього:",SUM($K$5:K118),F119*O118/36000*(G119-G118))</f>
        <v>#VALUE!</v>
      </c>
      <c r="L119" s="25" t="e">
        <f ca="1">IF(G119="Всього:",SUM($L$5:L118),$E$4)</f>
        <v>#VALUE!</v>
      </c>
      <c r="M119" s="25" t="e">
        <f ca="1">IF(G119="Всього:",SUM($M$5:M118),IF($E$5="UAH",J119+L119+K119,J119+K119))</f>
        <v>#VALUE!</v>
      </c>
      <c r="N119" s="27" t="e">
        <f ca="1">IF(G119="Всього:",SUM($N$4:N118),IF($E$5="UAH","",L119))</f>
        <v>#VALUE!</v>
      </c>
      <c r="O119" s="25" t="e">
        <f t="shared" ca="1" si="8"/>
        <v>#VALUE!</v>
      </c>
      <c r="P119" s="33" t="e">
        <f t="shared" ca="1" si="9"/>
        <v>#VALUE!</v>
      </c>
      <c r="Q119" s="8" t="e">
        <f t="shared" ca="1" si="12"/>
        <v>#VALUE!</v>
      </c>
    </row>
    <row r="120" spans="6:17" s="8" customFormat="1" ht="13.2" x14ac:dyDescent="0.25">
      <c r="F120" s="34" t="e">
        <f t="shared" ca="1" si="10"/>
        <v>#VALUE!</v>
      </c>
      <c r="G120" s="23" t="e">
        <f t="shared" ca="1" si="13"/>
        <v>#VALUE!</v>
      </c>
      <c r="H120" s="24" t="str">
        <f t="shared" si="11"/>
        <v/>
      </c>
      <c r="I120" s="25" t="e">
        <f ca="1">IF($G120="Всього:",SUM($I$4:I119),MAX($C$32,K120))</f>
        <v>#VALUE!</v>
      </c>
      <c r="J120" s="25" t="e">
        <f ca="1">IF($G120="Всього:",SUM($J$4:J119),IF(I120-SUM(K120:L120)&lt;0,0,I120-SUM(K120:L120)))</f>
        <v>#VALUE!</v>
      </c>
      <c r="K120" s="25" t="e">
        <f ca="1">IF(G120="Всього:",SUM($K$5:K119),F120*O119/36000*(G120-G119))</f>
        <v>#VALUE!</v>
      </c>
      <c r="L120" s="25" t="e">
        <f ca="1">IF(G120="Всього:",SUM($L$5:L119),$E$4)</f>
        <v>#VALUE!</v>
      </c>
      <c r="M120" s="25" t="e">
        <f ca="1">IF(G120="Всього:",SUM($M$5:M119),IF($E$5="UAH",J120+L120+K120,J120+K120))</f>
        <v>#VALUE!</v>
      </c>
      <c r="N120" s="27" t="e">
        <f ca="1">IF(G120="Всього:",SUM($N$4:N119),IF($E$5="UAH","",L120))</f>
        <v>#VALUE!</v>
      </c>
      <c r="O120" s="25" t="e">
        <f t="shared" ca="1" si="8"/>
        <v>#VALUE!</v>
      </c>
      <c r="P120" s="33" t="e">
        <f t="shared" ca="1" si="9"/>
        <v>#VALUE!</v>
      </c>
      <c r="Q120" s="8" t="e">
        <f t="shared" ca="1" si="12"/>
        <v>#VALUE!</v>
      </c>
    </row>
    <row r="121" spans="6:17" s="8" customFormat="1" ht="13.2" x14ac:dyDescent="0.25">
      <c r="F121" s="34" t="e">
        <f t="shared" ca="1" si="10"/>
        <v>#VALUE!</v>
      </c>
      <c r="G121" s="23" t="e">
        <f t="shared" ca="1" si="13"/>
        <v>#VALUE!</v>
      </c>
      <c r="H121" s="24" t="str">
        <f t="shared" si="11"/>
        <v/>
      </c>
      <c r="I121" s="25" t="e">
        <f ca="1">IF($G121="Всього:",SUM($I$4:I120),MAX($C$32,K121))</f>
        <v>#VALUE!</v>
      </c>
      <c r="J121" s="25" t="e">
        <f ca="1">IF($G121="Всього:",SUM($J$4:J120),IF(I121-SUM(K121:L121)&lt;0,0,I121-SUM(K121:L121)))</f>
        <v>#VALUE!</v>
      </c>
      <c r="K121" s="25" t="e">
        <f ca="1">IF(G121="Всього:",SUM($K$5:K120),F121*O120/36000*(G121-G120))</f>
        <v>#VALUE!</v>
      </c>
      <c r="L121" s="25" t="e">
        <f ca="1">IF(G121="Всього:",SUM($L$5:L120),$E$4)</f>
        <v>#VALUE!</v>
      </c>
      <c r="M121" s="25" t="e">
        <f ca="1">IF(G121="Всього:",SUM($M$5:M120),IF($E$5="UAH",J121+L121+K121,J121+K121))</f>
        <v>#VALUE!</v>
      </c>
      <c r="N121" s="27" t="e">
        <f ca="1">IF(G121="Всього:",SUM($N$4:N120),IF($E$5="UAH","",L121))</f>
        <v>#VALUE!</v>
      </c>
      <c r="O121" s="25" t="e">
        <f t="shared" ca="1" si="8"/>
        <v>#VALUE!</v>
      </c>
      <c r="P121" s="33" t="e">
        <f t="shared" ca="1" si="9"/>
        <v>#VALUE!</v>
      </c>
      <c r="Q121" s="8" t="e">
        <f t="shared" ca="1" si="12"/>
        <v>#VALUE!</v>
      </c>
    </row>
    <row r="122" spans="6:17" s="8" customFormat="1" ht="13.2" x14ac:dyDescent="0.25">
      <c r="F122" s="34" t="e">
        <f t="shared" ca="1" si="10"/>
        <v>#VALUE!</v>
      </c>
      <c r="G122" s="23" t="e">
        <f t="shared" ca="1" si="13"/>
        <v>#VALUE!</v>
      </c>
      <c r="H122" s="24" t="str">
        <f t="shared" si="11"/>
        <v/>
      </c>
      <c r="I122" s="25" t="e">
        <f ca="1">IF($G122="Всього:",SUM($I$4:I121),MAX($C$32,K122))</f>
        <v>#VALUE!</v>
      </c>
      <c r="J122" s="25" t="e">
        <f ca="1">IF($G122="Всього:",SUM($J$4:J121),IF(I122-SUM(K122:L122)&lt;0,0,I122-SUM(K122:L122)))</f>
        <v>#VALUE!</v>
      </c>
      <c r="K122" s="25" t="e">
        <f ca="1">IF(G122="Всього:",SUM($K$5:K121),F122*O121/36000*(G122-G121))</f>
        <v>#VALUE!</v>
      </c>
      <c r="L122" s="25" t="e">
        <f ca="1">IF(G122="Всього:",SUM($L$5:L121),$E$4)</f>
        <v>#VALUE!</v>
      </c>
      <c r="M122" s="25" t="e">
        <f ca="1">IF(G122="Всього:",SUM($M$5:M121),IF($E$5="UAH",J122+L122+K122,J122+K122))</f>
        <v>#VALUE!</v>
      </c>
      <c r="N122" s="27" t="e">
        <f ca="1">IF(G122="Всього:",SUM($N$4:N121),IF($E$5="UAH","",L122))</f>
        <v>#VALUE!</v>
      </c>
      <c r="O122" s="25" t="e">
        <f t="shared" ca="1" si="8"/>
        <v>#VALUE!</v>
      </c>
      <c r="P122" s="33" t="e">
        <f t="shared" ca="1" si="9"/>
        <v>#VALUE!</v>
      </c>
      <c r="Q122" s="8" t="e">
        <f t="shared" ca="1" si="12"/>
        <v>#VALUE!</v>
      </c>
    </row>
    <row r="123" spans="6:17" s="8" customFormat="1" ht="13.2" x14ac:dyDescent="0.25">
      <c r="F123" s="34" t="e">
        <f t="shared" ca="1" si="10"/>
        <v>#VALUE!</v>
      </c>
      <c r="G123" s="23" t="e">
        <f t="shared" ca="1" si="13"/>
        <v>#VALUE!</v>
      </c>
      <c r="H123" s="24" t="str">
        <f t="shared" si="11"/>
        <v/>
      </c>
      <c r="I123" s="25" t="e">
        <f ca="1">IF($G123="Всього:",SUM($I$4:I122),MAX($C$32,K123))</f>
        <v>#VALUE!</v>
      </c>
      <c r="J123" s="25" t="e">
        <f ca="1">IF($G123="Всього:",SUM($J$4:J122),IF(I123-SUM(K123:L123)&lt;0,0,I123-SUM(K123:L123)))</f>
        <v>#VALUE!</v>
      </c>
      <c r="K123" s="25" t="e">
        <f ca="1">IF(G123="Всього:",SUM($K$5:K122),F123*O122/36000*(G123-G122))</f>
        <v>#VALUE!</v>
      </c>
      <c r="L123" s="25" t="e">
        <f ca="1">IF(G123="Всього:",SUM($L$5:L122),$E$4)</f>
        <v>#VALUE!</v>
      </c>
      <c r="M123" s="25" t="e">
        <f ca="1">IF(G123="Всього:",SUM($M$5:M122),IF($E$5="UAH",J123+L123+K123,J123+K123))</f>
        <v>#VALUE!</v>
      </c>
      <c r="N123" s="27" t="e">
        <f ca="1">IF(G123="Всього:",SUM($N$4:N122),IF($E$5="UAH","",L123))</f>
        <v>#VALUE!</v>
      </c>
      <c r="O123" s="25" t="e">
        <f t="shared" ca="1" si="8"/>
        <v>#VALUE!</v>
      </c>
      <c r="P123" s="33" t="e">
        <f t="shared" ca="1" si="9"/>
        <v>#VALUE!</v>
      </c>
      <c r="Q123" s="8" t="e">
        <f t="shared" ca="1" si="12"/>
        <v>#VALUE!</v>
      </c>
    </row>
    <row r="124" spans="6:17" s="8" customFormat="1" ht="13.2" x14ac:dyDescent="0.25">
      <c r="F124" s="34" t="e">
        <f t="shared" ca="1" si="10"/>
        <v>#VALUE!</v>
      </c>
      <c r="G124" s="23" t="e">
        <f t="shared" ca="1" si="13"/>
        <v>#VALUE!</v>
      </c>
      <c r="H124" s="24" t="str">
        <f t="shared" si="11"/>
        <v/>
      </c>
      <c r="I124" s="25" t="e">
        <f ca="1">IF($G124="Всього:",SUM($I$4:I123),MAX($C$32,K124))</f>
        <v>#VALUE!</v>
      </c>
      <c r="J124" s="25" t="e">
        <f ca="1">IF($G124="Всього:",SUM($J$4:J123),IF(I124-SUM(K124:L124)&lt;0,0,I124-SUM(K124:L124)))</f>
        <v>#VALUE!</v>
      </c>
      <c r="K124" s="25" t="e">
        <f ca="1">IF(G124="Всього:",SUM($K$5:K123),F124*O123/36000*(G124-G123))</f>
        <v>#VALUE!</v>
      </c>
      <c r="L124" s="25" t="e">
        <f ca="1">IF(G124="Всього:",SUM($L$5:L123),$E$4)</f>
        <v>#VALUE!</v>
      </c>
      <c r="M124" s="25" t="e">
        <f ca="1">IF(G124="Всього:",SUM($M$5:M123),IF($E$5="UAH",J124+L124+K124,J124+K124))</f>
        <v>#VALUE!</v>
      </c>
      <c r="N124" s="27" t="e">
        <f ca="1">IF(G124="Всього:",SUM($N$4:N123),IF($E$5="UAH","",L124))</f>
        <v>#VALUE!</v>
      </c>
      <c r="O124" s="25" t="e">
        <f t="shared" ca="1" si="8"/>
        <v>#VALUE!</v>
      </c>
      <c r="P124" s="33" t="e">
        <f t="shared" ca="1" si="9"/>
        <v>#VALUE!</v>
      </c>
      <c r="Q124" s="8" t="e">
        <f t="shared" ca="1" si="12"/>
        <v>#VALUE!</v>
      </c>
    </row>
    <row r="125" spans="6:17" s="8" customFormat="1" ht="13.2" x14ac:dyDescent="0.25">
      <c r="F125" s="34" t="e">
        <f t="shared" ca="1" si="10"/>
        <v>#VALUE!</v>
      </c>
      <c r="G125" s="23" t="e">
        <f t="shared" ca="1" si="13"/>
        <v>#VALUE!</v>
      </c>
      <c r="H125" s="24" t="str">
        <f t="shared" si="11"/>
        <v/>
      </c>
      <c r="I125" s="25" t="e">
        <f ca="1">IF($G125="Всього:",SUM($I$4:I124),MAX($C$32,K125))</f>
        <v>#VALUE!</v>
      </c>
      <c r="J125" s="25" t="e">
        <f ca="1">IF($G125="Всього:",SUM($J$4:J124),IF(I125-SUM(K125:L125)&lt;0,0,I125-SUM(K125:L125)))</f>
        <v>#VALUE!</v>
      </c>
      <c r="K125" s="25" t="e">
        <f ca="1">IF(G125="Всього:",SUM($K$5:K124),F125*O124/36000*(G125-G124))</f>
        <v>#VALUE!</v>
      </c>
      <c r="L125" s="25" t="e">
        <f ca="1">IF(G125="Всього:",SUM($L$5:L124),$E$4)</f>
        <v>#VALUE!</v>
      </c>
      <c r="M125" s="25" t="e">
        <f ca="1">IF(G125="Всього:",SUM($M$5:M124),IF($E$5="UAH",J125+L125+K125,J125+K125))</f>
        <v>#VALUE!</v>
      </c>
      <c r="N125" s="27" t="e">
        <f ca="1">IF(G125="Всього:",SUM($N$4:N124),IF($E$5="UAH","",L125))</f>
        <v>#VALUE!</v>
      </c>
      <c r="O125" s="25" t="e">
        <f t="shared" ca="1" si="8"/>
        <v>#VALUE!</v>
      </c>
      <c r="P125" s="33" t="e">
        <f t="shared" ca="1" si="9"/>
        <v>#VALUE!</v>
      </c>
      <c r="Q125" s="8" t="e">
        <f t="shared" ca="1" si="12"/>
        <v>#VALUE!</v>
      </c>
    </row>
    <row r="126" spans="6:17" s="8" customFormat="1" ht="13.2" x14ac:dyDescent="0.25">
      <c r="F126" s="34" t="e">
        <f t="shared" ca="1" si="10"/>
        <v>#VALUE!</v>
      </c>
      <c r="G126" s="23" t="e">
        <f t="shared" ca="1" si="13"/>
        <v>#VALUE!</v>
      </c>
      <c r="H126" s="24" t="str">
        <f t="shared" si="11"/>
        <v/>
      </c>
      <c r="I126" s="25" t="e">
        <f ca="1">IF($G126="Всього:",SUM($I$4:I125),MAX($C$32,K126))</f>
        <v>#VALUE!</v>
      </c>
      <c r="J126" s="25" t="e">
        <f ca="1">IF($G126="Всього:",SUM($J$4:J125),IF(I126-SUM(K126:L126)&lt;0,0,I126-SUM(K126:L126)))</f>
        <v>#VALUE!</v>
      </c>
      <c r="K126" s="25" t="e">
        <f ca="1">IF(G126="Всього:",SUM($K$5:K125),F126*O125/36000*(G126-G125))</f>
        <v>#VALUE!</v>
      </c>
      <c r="L126" s="25" t="e">
        <f ca="1">IF(G126="Всього:",SUM($L$5:L125),$E$4)</f>
        <v>#VALUE!</v>
      </c>
      <c r="M126" s="25" t="e">
        <f ca="1">IF(G126="Всього:",SUM($M$5:M125),IF($E$5="UAH",J126+L126+K126,J126+K126))</f>
        <v>#VALUE!</v>
      </c>
      <c r="N126" s="27" t="e">
        <f ca="1">IF(G126="Всього:",SUM($N$4:N125),IF($E$5="UAH","",L126))</f>
        <v>#VALUE!</v>
      </c>
      <c r="O126" s="25" t="e">
        <f t="shared" ca="1" si="8"/>
        <v>#VALUE!</v>
      </c>
      <c r="P126" s="33" t="e">
        <f t="shared" ca="1" si="9"/>
        <v>#VALUE!</v>
      </c>
      <c r="Q126" s="8" t="e">
        <f t="shared" ca="1" si="12"/>
        <v>#VALUE!</v>
      </c>
    </row>
    <row r="127" spans="6:17" s="8" customFormat="1" ht="13.2" x14ac:dyDescent="0.25">
      <c r="F127" s="34" t="e">
        <f t="shared" ca="1" si="10"/>
        <v>#VALUE!</v>
      </c>
      <c r="G127" s="23" t="e">
        <f t="shared" ca="1" si="13"/>
        <v>#VALUE!</v>
      </c>
      <c r="H127" s="24" t="str">
        <f t="shared" si="11"/>
        <v/>
      </c>
      <c r="I127" s="25" t="e">
        <f ca="1">IF($G127="Всього:",SUM($I$4:I126),MAX($C$32,K127))</f>
        <v>#VALUE!</v>
      </c>
      <c r="J127" s="25" t="e">
        <f ca="1">IF($G127="Всього:",SUM($J$4:J126),IF(I127-SUM(K127:L127)&lt;0,0,I127-SUM(K127:L127)))</f>
        <v>#VALUE!</v>
      </c>
      <c r="K127" s="25" t="e">
        <f ca="1">IF(G127="Всього:",SUM($K$5:K126),F127*O126/36000*(G127-G126))</f>
        <v>#VALUE!</v>
      </c>
      <c r="L127" s="25" t="e">
        <f ca="1">IF(G127="Всього:",SUM($L$5:L126),$E$4)</f>
        <v>#VALUE!</v>
      </c>
      <c r="M127" s="25" t="e">
        <f ca="1">IF(G127="Всього:",SUM($M$5:M126),IF($E$5="UAH",J127+L127+K127,J127+K127))</f>
        <v>#VALUE!</v>
      </c>
      <c r="N127" s="27" t="e">
        <f ca="1">IF(G127="Всього:",SUM($N$4:N126),IF($E$5="UAH","",L127))</f>
        <v>#VALUE!</v>
      </c>
      <c r="O127" s="25" t="e">
        <f t="shared" ca="1" si="8"/>
        <v>#VALUE!</v>
      </c>
      <c r="P127" s="33" t="e">
        <f t="shared" ca="1" si="9"/>
        <v>#VALUE!</v>
      </c>
      <c r="Q127" s="8" t="e">
        <f t="shared" ca="1" si="12"/>
        <v>#VALUE!</v>
      </c>
    </row>
    <row r="128" spans="6:17" s="8" customFormat="1" ht="13.2" x14ac:dyDescent="0.25">
      <c r="F128" s="34" t="e">
        <f t="shared" ca="1" si="10"/>
        <v>#VALUE!</v>
      </c>
      <c r="G128" s="23" t="e">
        <f t="shared" ca="1" si="13"/>
        <v>#VALUE!</v>
      </c>
      <c r="H128" s="24" t="str">
        <f t="shared" si="11"/>
        <v/>
      </c>
      <c r="I128" s="25" t="e">
        <f ca="1">IF($G128="Всього:",SUM($I$4:I127),MAX($C$32,K128))</f>
        <v>#VALUE!</v>
      </c>
      <c r="J128" s="25" t="e">
        <f ca="1">IF($G128="Всього:",SUM($J$4:J127),IF(I128-SUM(K128:L128)&lt;0,0,I128-SUM(K128:L128)))</f>
        <v>#VALUE!</v>
      </c>
      <c r="K128" s="25" t="e">
        <f ca="1">IF(G128="Всього:",SUM($K$5:K127),F128*O127/36000*(G128-G127))</f>
        <v>#VALUE!</v>
      </c>
      <c r="L128" s="25" t="e">
        <f ca="1">IF(G128="Всього:",SUM($L$5:L127),$E$4)</f>
        <v>#VALUE!</v>
      </c>
      <c r="M128" s="25" t="e">
        <f ca="1">IF(G128="Всього:",SUM($M$5:M127),IF($E$5="UAH",J128+L128+K128,J128+K128))</f>
        <v>#VALUE!</v>
      </c>
      <c r="N128" s="27" t="e">
        <f ca="1">IF(G128="Всього:",SUM($N$4:N127),IF($E$5="UAH","",L128))</f>
        <v>#VALUE!</v>
      </c>
      <c r="O128" s="25" t="e">
        <f t="shared" ca="1" si="8"/>
        <v>#VALUE!</v>
      </c>
      <c r="P128" s="33" t="e">
        <f t="shared" ca="1" si="9"/>
        <v>#VALUE!</v>
      </c>
      <c r="Q128" s="8" t="e">
        <f t="shared" ca="1" si="12"/>
        <v>#VALUE!</v>
      </c>
    </row>
    <row r="129" spans="6:17" s="8" customFormat="1" ht="13.2" x14ac:dyDescent="0.25">
      <c r="F129" s="34" t="e">
        <f t="shared" ca="1" si="10"/>
        <v>#VALUE!</v>
      </c>
      <c r="G129" s="23" t="e">
        <f t="shared" ca="1" si="13"/>
        <v>#VALUE!</v>
      </c>
      <c r="H129" s="24" t="str">
        <f t="shared" si="11"/>
        <v/>
      </c>
      <c r="I129" s="25" t="e">
        <f ca="1">IF($G129="Всього:",SUM($I$4:I128),MAX($C$32,K129))</f>
        <v>#VALUE!</v>
      </c>
      <c r="J129" s="25" t="e">
        <f ca="1">IF($G129="Всього:",SUM($J$4:J128),IF(I129-SUM(K129:L129)&lt;0,0,I129-SUM(K129:L129)))</f>
        <v>#VALUE!</v>
      </c>
      <c r="K129" s="25" t="e">
        <f ca="1">IF(G129="Всього:",SUM($K$5:K128),F129*O128/36000*(G129-G128))</f>
        <v>#VALUE!</v>
      </c>
      <c r="L129" s="25" t="e">
        <f ca="1">IF(G129="Всього:",SUM($L$5:L128),$E$4)</f>
        <v>#VALUE!</v>
      </c>
      <c r="M129" s="25" t="e">
        <f ca="1">IF(G129="Всього:",SUM($M$5:M128),IF($E$5="UAH",J129+L129+K129,J129+K129))</f>
        <v>#VALUE!</v>
      </c>
      <c r="N129" s="27" t="e">
        <f ca="1">IF(G129="Всього:",SUM($N$4:N128),IF($E$5="UAH","",L129))</f>
        <v>#VALUE!</v>
      </c>
      <c r="O129" s="25" t="e">
        <f t="shared" ca="1" si="8"/>
        <v>#VALUE!</v>
      </c>
      <c r="P129" s="33" t="e">
        <f t="shared" ca="1" si="9"/>
        <v>#VALUE!</v>
      </c>
      <c r="Q129" s="8" t="e">
        <f t="shared" ca="1" si="12"/>
        <v>#VALUE!</v>
      </c>
    </row>
    <row r="130" spans="6:17" s="8" customFormat="1" ht="13.2" x14ac:dyDescent="0.25">
      <c r="F130" s="34" t="e">
        <f t="shared" ca="1" si="10"/>
        <v>#VALUE!</v>
      </c>
      <c r="G130" s="23" t="e">
        <f t="shared" ca="1" si="13"/>
        <v>#VALUE!</v>
      </c>
      <c r="H130" s="24" t="str">
        <f t="shared" si="11"/>
        <v/>
      </c>
      <c r="I130" s="25" t="e">
        <f ca="1">IF($G130="Всього:",SUM($I$4:I129),MAX($C$32,K130))</f>
        <v>#VALUE!</v>
      </c>
      <c r="J130" s="25" t="e">
        <f ca="1">IF($G130="Всього:",SUM($J$4:J129),IF(I130-SUM(K130:L130)&lt;0,0,I130-SUM(K130:L130)))</f>
        <v>#VALUE!</v>
      </c>
      <c r="K130" s="25" t="e">
        <f ca="1">IF(G130="Всього:",SUM($K$5:K129),F130*O129/36000*(G130-G129))</f>
        <v>#VALUE!</v>
      </c>
      <c r="L130" s="25" t="e">
        <f ca="1">IF(G130="Всього:",SUM($L$5:L129),$E$4)</f>
        <v>#VALUE!</v>
      </c>
      <c r="M130" s="25" t="e">
        <f ca="1">IF(G130="Всього:",SUM($M$5:M129),IF($E$5="UAH",J130+L130+K130,J130+K130))</f>
        <v>#VALUE!</v>
      </c>
      <c r="N130" s="27" t="e">
        <f ca="1">IF(G130="Всього:",SUM($N$4:N129),IF($E$5="UAH","",L130))</f>
        <v>#VALUE!</v>
      </c>
      <c r="O130" s="25" t="e">
        <f t="shared" ca="1" si="8"/>
        <v>#VALUE!</v>
      </c>
      <c r="P130" s="33" t="e">
        <f t="shared" ca="1" si="9"/>
        <v>#VALUE!</v>
      </c>
      <c r="Q130" s="8" t="e">
        <f t="shared" ca="1" si="12"/>
        <v>#VALUE!</v>
      </c>
    </row>
    <row r="131" spans="6:17" s="8" customFormat="1" ht="13.2" x14ac:dyDescent="0.25">
      <c r="F131" s="34" t="e">
        <f t="shared" ca="1" si="10"/>
        <v>#VALUE!</v>
      </c>
      <c r="G131" s="23" t="e">
        <f t="shared" ca="1" si="13"/>
        <v>#VALUE!</v>
      </c>
      <c r="H131" s="24" t="str">
        <f t="shared" si="11"/>
        <v/>
      </c>
      <c r="I131" s="25" t="e">
        <f ca="1">IF($G131="Всього:",SUM($I$4:I130),MAX($C$32,K131))</f>
        <v>#VALUE!</v>
      </c>
      <c r="J131" s="25" t="e">
        <f ca="1">IF($G131="Всього:",SUM($J$4:J130),IF(I131-SUM(K131:L131)&lt;0,0,I131-SUM(K131:L131)))</f>
        <v>#VALUE!</v>
      </c>
      <c r="K131" s="25" t="e">
        <f ca="1">IF(G131="Всього:",SUM($K$5:K130),F131*O130/36000*(G131-G130))</f>
        <v>#VALUE!</v>
      </c>
      <c r="L131" s="25" t="e">
        <f ca="1">IF(G131="Всього:",SUM($L$5:L130),$E$4)</f>
        <v>#VALUE!</v>
      </c>
      <c r="M131" s="25" t="e">
        <f ca="1">IF(G131="Всього:",SUM($M$5:M130),IF($E$5="UAH",J131+L131+K131,J131+K131))</f>
        <v>#VALUE!</v>
      </c>
      <c r="N131" s="27" t="e">
        <f ca="1">IF(G131="Всього:",SUM($N$4:N130),IF($E$5="UAH","",L131))</f>
        <v>#VALUE!</v>
      </c>
      <c r="O131" s="25" t="e">
        <f t="shared" ca="1" si="8"/>
        <v>#VALUE!</v>
      </c>
      <c r="P131" s="33" t="e">
        <f t="shared" ca="1" si="9"/>
        <v>#VALUE!</v>
      </c>
      <c r="Q131" s="8" t="e">
        <f t="shared" ca="1" si="12"/>
        <v>#VALUE!</v>
      </c>
    </row>
    <row r="132" spans="6:17" s="8" customFormat="1" ht="13.2" x14ac:dyDescent="0.25">
      <c r="F132" s="34" t="e">
        <f t="shared" ca="1" si="10"/>
        <v>#VALUE!</v>
      </c>
      <c r="G132" s="23" t="e">
        <f t="shared" ca="1" si="13"/>
        <v>#VALUE!</v>
      </c>
      <c r="H132" s="24" t="str">
        <f t="shared" si="11"/>
        <v/>
      </c>
      <c r="I132" s="25" t="e">
        <f ca="1">IF($G132="Всього:",SUM($I$4:I131),MAX($C$32,K132))</f>
        <v>#VALUE!</v>
      </c>
      <c r="J132" s="25" t="e">
        <f ca="1">IF($G132="Всього:",SUM($J$4:J131),IF(I132-SUM(K132:L132)&lt;0,0,I132-SUM(K132:L132)))</f>
        <v>#VALUE!</v>
      </c>
      <c r="K132" s="25" t="e">
        <f ca="1">IF(G132="Всього:",SUM($K$5:K131),F132*O131/36000*(G132-G131))</f>
        <v>#VALUE!</v>
      </c>
      <c r="L132" s="25" t="e">
        <f ca="1">IF(G132="Всього:",SUM($L$5:L131),$E$4)</f>
        <v>#VALUE!</v>
      </c>
      <c r="M132" s="25" t="e">
        <f ca="1">IF(G132="Всього:",SUM($M$5:M131),IF($E$5="UAH",J132+L132+K132,J132+K132))</f>
        <v>#VALUE!</v>
      </c>
      <c r="N132" s="27" t="e">
        <f ca="1">IF(G132="Всього:",SUM($N$4:N131),IF($E$5="UAH","",L132))</f>
        <v>#VALUE!</v>
      </c>
      <c r="O132" s="25" t="e">
        <f t="shared" ca="1" si="8"/>
        <v>#VALUE!</v>
      </c>
      <c r="P132" s="33" t="e">
        <f t="shared" ca="1" si="9"/>
        <v>#VALUE!</v>
      </c>
      <c r="Q132" s="8" t="e">
        <f t="shared" ca="1" si="12"/>
        <v>#VALUE!</v>
      </c>
    </row>
    <row r="133" spans="6:17" s="8" customFormat="1" ht="13.2" x14ac:dyDescent="0.25">
      <c r="F133" s="34" t="e">
        <f t="shared" ca="1" si="10"/>
        <v>#VALUE!</v>
      </c>
      <c r="G133" s="23" t="e">
        <f t="shared" ca="1" si="13"/>
        <v>#VALUE!</v>
      </c>
      <c r="H133" s="24" t="str">
        <f t="shared" si="11"/>
        <v/>
      </c>
      <c r="I133" s="25" t="e">
        <f ca="1">IF($G133="Всього:",SUM($I$4:I132),MAX($C$32,K133))</f>
        <v>#VALUE!</v>
      </c>
      <c r="J133" s="25" t="e">
        <f ca="1">IF($G133="Всього:",SUM($J$4:J132),IF(I133-SUM(K133:L133)&lt;0,0,I133-SUM(K133:L133)))</f>
        <v>#VALUE!</v>
      </c>
      <c r="K133" s="25" t="e">
        <f ca="1">IF(G133="Всього:",SUM($K$5:K132),F133*O132/36000*(G133-G132))</f>
        <v>#VALUE!</v>
      </c>
      <c r="L133" s="25" t="e">
        <f ca="1">IF(G133="Всього:",SUM($L$5:L132),$E$4)</f>
        <v>#VALUE!</v>
      </c>
      <c r="M133" s="25" t="e">
        <f ca="1">IF(G133="Всього:",SUM($M$5:M132),IF($E$5="UAH",J133+L133+K133,J133+K133))</f>
        <v>#VALUE!</v>
      </c>
      <c r="N133" s="27" t="e">
        <f ca="1">IF(G133="Всього:",SUM($N$4:N132),IF($E$5="UAH","",L133))</f>
        <v>#VALUE!</v>
      </c>
      <c r="O133" s="25" t="e">
        <f t="shared" ref="O133:O196" ca="1" si="14">O132-J133</f>
        <v>#VALUE!</v>
      </c>
      <c r="P133" s="33" t="e">
        <f t="shared" ref="P133:P196" ca="1" si="15">G133</f>
        <v>#VALUE!</v>
      </c>
      <c r="Q133" s="8" t="e">
        <f t="shared" ca="1" si="12"/>
        <v>#VALUE!</v>
      </c>
    </row>
    <row r="134" spans="6:17" s="8" customFormat="1" ht="13.2" x14ac:dyDescent="0.25">
      <c r="F134" s="34" t="e">
        <f t="shared" ref="F134:F197" ca="1" si="16">IF(G134="Всього:","",IF(AND(G134&gt;$B$9,G134&lt;=$B$10),$C$16,IF(AND(G134&gt;$B$9,G134&lt;=$B$11),$D$16,IF(AND(G134&gt;$B$10,G134&lt;=$B$14),$E$16,$B$16))))</f>
        <v>#VALUE!</v>
      </c>
      <c r="G134" s="23" t="e">
        <f t="shared" ca="1" si="13"/>
        <v>#VALUE!</v>
      </c>
      <c r="H134" s="24" t="str">
        <f t="shared" ref="H134:H197" si="17">IF(H133&gt;$E$8,"",H133+1)</f>
        <v/>
      </c>
      <c r="I134" s="25" t="e">
        <f ca="1">IF($G134="Всього:",SUM($I$4:I133),MAX($C$32,K134))</f>
        <v>#VALUE!</v>
      </c>
      <c r="J134" s="25" t="e">
        <f ca="1">IF($G134="Всього:",SUM($J$4:J133),IF(I134-SUM(K134:L134)&lt;0,0,I134-SUM(K134:L134)))</f>
        <v>#VALUE!</v>
      </c>
      <c r="K134" s="25" t="e">
        <f ca="1">IF(G134="Всього:",SUM($K$5:K133),F134*O133/36000*(G134-G133))</f>
        <v>#VALUE!</v>
      </c>
      <c r="L134" s="25" t="e">
        <f ca="1">IF(G134="Всього:",SUM($L$5:L133),$E$4)</f>
        <v>#VALUE!</v>
      </c>
      <c r="M134" s="25" t="e">
        <f ca="1">IF(G134="Всього:",SUM($M$5:M133),IF($E$5="UAH",J134+L134+K134,J134+K134))</f>
        <v>#VALUE!</v>
      </c>
      <c r="N134" s="27" t="e">
        <f ca="1">IF(G134="Всього:",SUM($N$4:N133),IF($E$5="UAH","",L134))</f>
        <v>#VALUE!</v>
      </c>
      <c r="O134" s="25" t="e">
        <f t="shared" ca="1" si="14"/>
        <v>#VALUE!</v>
      </c>
      <c r="P134" s="33" t="e">
        <f t="shared" ca="1" si="15"/>
        <v>#VALUE!</v>
      </c>
      <c r="Q134" s="8" t="e">
        <f t="shared" ref="Q134:Q159" ca="1" si="18">IF(R135="",I134,IFERROR(I134+R135,0))</f>
        <v>#VALUE!</v>
      </c>
    </row>
    <row r="135" spans="6:17" s="8" customFormat="1" ht="13.2" x14ac:dyDescent="0.25">
      <c r="F135" s="34" t="e">
        <f t="shared" ca="1" si="16"/>
        <v>#VALUE!</v>
      </c>
      <c r="G135" s="23" t="e">
        <f t="shared" ref="G135:G198" ca="1" si="19">IF(H134=$E$3,"Всього:",IF($E$3=H135,$B$14,DATE(YEAR(G134),MONTH(G134)+1,IF($B$7&lt;&gt;"",DAY(IF($B$7&gt;DAY(EOMONTH(G134,1)),EOMONTH(G134,1),$B$7)),DAY(1)))))</f>
        <v>#VALUE!</v>
      </c>
      <c r="H135" s="24" t="str">
        <f t="shared" si="17"/>
        <v/>
      </c>
      <c r="I135" s="25" t="e">
        <f ca="1">IF($G135="Всього:",SUM($I$4:I134),MAX($C$32,K135))</f>
        <v>#VALUE!</v>
      </c>
      <c r="J135" s="25" t="e">
        <f ca="1">IF($G135="Всього:",SUM($J$4:J134),IF(I135-SUM(K135:L135)&lt;0,0,I135-SUM(K135:L135)))</f>
        <v>#VALUE!</v>
      </c>
      <c r="K135" s="25" t="e">
        <f ca="1">IF(G135="Всього:",SUM($K$5:K134),F135*O134/36000*(G135-G134))</f>
        <v>#VALUE!</v>
      </c>
      <c r="L135" s="25" t="e">
        <f ca="1">IF(G135="Всього:",SUM($L$5:L134),$E$4)</f>
        <v>#VALUE!</v>
      </c>
      <c r="M135" s="25" t="e">
        <f ca="1">IF(G135="Всього:",SUM($M$5:M134),IF($E$5="UAH",J135+L135+K135,J135+K135))</f>
        <v>#VALUE!</v>
      </c>
      <c r="N135" s="27" t="e">
        <f ca="1">IF(G135="Всього:",SUM($N$4:N134),IF($E$5="UAH","",L135))</f>
        <v>#VALUE!</v>
      </c>
      <c r="O135" s="25" t="e">
        <f t="shared" ca="1" si="14"/>
        <v>#VALUE!</v>
      </c>
      <c r="P135" s="33" t="e">
        <f t="shared" ca="1" si="15"/>
        <v>#VALUE!</v>
      </c>
      <c r="Q135" s="8" t="e">
        <f t="shared" ca="1" si="18"/>
        <v>#VALUE!</v>
      </c>
    </row>
    <row r="136" spans="6:17" s="8" customFormat="1" ht="13.2" x14ac:dyDescent="0.25">
      <c r="F136" s="34" t="e">
        <f t="shared" ca="1" si="16"/>
        <v>#VALUE!</v>
      </c>
      <c r="G136" s="23" t="e">
        <f t="shared" ca="1" si="19"/>
        <v>#VALUE!</v>
      </c>
      <c r="H136" s="24" t="str">
        <f t="shared" si="17"/>
        <v/>
      </c>
      <c r="I136" s="25" t="e">
        <f ca="1">IF($G136="Всього:",SUM($I$4:I135),MAX($C$32,K136))</f>
        <v>#VALUE!</v>
      </c>
      <c r="J136" s="25" t="e">
        <f ca="1">IF($G136="Всього:",SUM($J$4:J135),IF(I136-SUM(K136:L136)&lt;0,0,I136-SUM(K136:L136)))</f>
        <v>#VALUE!</v>
      </c>
      <c r="K136" s="25" t="e">
        <f ca="1">IF(G136="Всього:",SUM($K$5:K135),F136*O135/36000*(G136-G135))</f>
        <v>#VALUE!</v>
      </c>
      <c r="L136" s="25" t="e">
        <f ca="1">IF(G136="Всього:",SUM($L$5:L135),$E$4)</f>
        <v>#VALUE!</v>
      </c>
      <c r="M136" s="25" t="e">
        <f ca="1">IF(G136="Всього:",SUM($M$5:M135),IF($E$5="UAH",J136+L136+K136,J136+K136))</f>
        <v>#VALUE!</v>
      </c>
      <c r="N136" s="27" t="e">
        <f ca="1">IF(G136="Всього:",SUM($N$4:N135),IF($E$5="UAH","",L136))</f>
        <v>#VALUE!</v>
      </c>
      <c r="O136" s="25" t="e">
        <f t="shared" ca="1" si="14"/>
        <v>#VALUE!</v>
      </c>
      <c r="P136" s="33" t="e">
        <f t="shared" ca="1" si="15"/>
        <v>#VALUE!</v>
      </c>
      <c r="Q136" s="8" t="e">
        <f t="shared" ca="1" si="18"/>
        <v>#VALUE!</v>
      </c>
    </row>
    <row r="137" spans="6:17" s="8" customFormat="1" ht="13.2" x14ac:dyDescent="0.25">
      <c r="F137" s="34" t="e">
        <f t="shared" ca="1" si="16"/>
        <v>#VALUE!</v>
      </c>
      <c r="G137" s="23" t="e">
        <f t="shared" ca="1" si="19"/>
        <v>#VALUE!</v>
      </c>
      <c r="H137" s="24" t="str">
        <f t="shared" si="17"/>
        <v/>
      </c>
      <c r="I137" s="25" t="e">
        <f ca="1">IF($G137="Всього:",SUM($I$4:I136),MAX($C$32,K137))</f>
        <v>#VALUE!</v>
      </c>
      <c r="J137" s="25" t="e">
        <f ca="1">IF($G137="Всього:",SUM($J$4:J136),IF(I137-SUM(K137:L137)&lt;0,0,I137-SUM(K137:L137)))</f>
        <v>#VALUE!</v>
      </c>
      <c r="K137" s="25" t="e">
        <f ca="1">IF(G137="Всього:",SUM($K$5:K136),F137*O136/36000*(G137-G136))</f>
        <v>#VALUE!</v>
      </c>
      <c r="L137" s="25" t="e">
        <f ca="1">IF(G137="Всього:",SUM($L$5:L136),$E$4)</f>
        <v>#VALUE!</v>
      </c>
      <c r="M137" s="25" t="e">
        <f ca="1">IF(G137="Всього:",SUM($M$5:M136),IF($E$5="UAH",J137+L137+K137,J137+K137))</f>
        <v>#VALUE!</v>
      </c>
      <c r="N137" s="27" t="e">
        <f ca="1">IF(G137="Всього:",SUM($N$4:N136),IF($E$5="UAH","",L137))</f>
        <v>#VALUE!</v>
      </c>
      <c r="O137" s="25" t="e">
        <f t="shared" ca="1" si="14"/>
        <v>#VALUE!</v>
      </c>
      <c r="P137" s="33" t="e">
        <f t="shared" ca="1" si="15"/>
        <v>#VALUE!</v>
      </c>
      <c r="Q137" s="8" t="e">
        <f t="shared" ca="1" si="18"/>
        <v>#VALUE!</v>
      </c>
    </row>
    <row r="138" spans="6:17" s="8" customFormat="1" ht="13.2" x14ac:dyDescent="0.25">
      <c r="F138" s="34" t="e">
        <f t="shared" ca="1" si="16"/>
        <v>#VALUE!</v>
      </c>
      <c r="G138" s="23" t="e">
        <f t="shared" ca="1" si="19"/>
        <v>#VALUE!</v>
      </c>
      <c r="H138" s="24" t="str">
        <f t="shared" si="17"/>
        <v/>
      </c>
      <c r="I138" s="25" t="e">
        <f ca="1">IF($G138="Всього:",SUM($I$4:I137),MAX($C$32,K138))</f>
        <v>#VALUE!</v>
      </c>
      <c r="J138" s="25" t="e">
        <f ca="1">IF($G138="Всього:",SUM($J$4:J137),IF(I138-SUM(K138:L138)&lt;0,0,I138-SUM(K138:L138)))</f>
        <v>#VALUE!</v>
      </c>
      <c r="K138" s="25" t="e">
        <f ca="1">IF(G138="Всього:",SUM($K$5:K137),F138*O137/36000*(G138-G137))</f>
        <v>#VALUE!</v>
      </c>
      <c r="L138" s="25" t="e">
        <f ca="1">IF(G138="Всього:",SUM($L$5:L137),$E$4)</f>
        <v>#VALUE!</v>
      </c>
      <c r="M138" s="25" t="e">
        <f ca="1">IF(G138="Всього:",SUM($M$5:M137),IF($E$5="UAH",J138+L138+K138,J138+K138))</f>
        <v>#VALUE!</v>
      </c>
      <c r="N138" s="27" t="e">
        <f ca="1">IF(G138="Всього:",SUM($N$4:N137),IF($E$5="UAH","",L138))</f>
        <v>#VALUE!</v>
      </c>
      <c r="O138" s="25" t="e">
        <f t="shared" ca="1" si="14"/>
        <v>#VALUE!</v>
      </c>
      <c r="P138" s="33" t="e">
        <f t="shared" ca="1" si="15"/>
        <v>#VALUE!</v>
      </c>
      <c r="Q138" s="8" t="e">
        <f t="shared" ca="1" si="18"/>
        <v>#VALUE!</v>
      </c>
    </row>
    <row r="139" spans="6:17" s="8" customFormat="1" ht="13.2" x14ac:dyDescent="0.25">
      <c r="F139" s="34" t="e">
        <f t="shared" ca="1" si="16"/>
        <v>#VALUE!</v>
      </c>
      <c r="G139" s="23" t="e">
        <f t="shared" ca="1" si="19"/>
        <v>#VALUE!</v>
      </c>
      <c r="H139" s="24" t="str">
        <f t="shared" si="17"/>
        <v/>
      </c>
      <c r="I139" s="25" t="e">
        <f ca="1">IF($G139="Всього:",SUM($I$4:I138),MAX($C$32,K139))</f>
        <v>#VALUE!</v>
      </c>
      <c r="J139" s="25" t="e">
        <f ca="1">IF($G139="Всього:",SUM($J$4:J138),IF(I139-SUM(K139:L139)&lt;0,0,I139-SUM(K139:L139)))</f>
        <v>#VALUE!</v>
      </c>
      <c r="K139" s="25" t="e">
        <f ca="1">IF(G139="Всього:",SUM($K$5:K138),F139*O138/36000*(G139-G138))</f>
        <v>#VALUE!</v>
      </c>
      <c r="L139" s="25" t="e">
        <f ca="1">IF(G139="Всього:",SUM($L$5:L138),$E$4)</f>
        <v>#VALUE!</v>
      </c>
      <c r="M139" s="25" t="e">
        <f ca="1">IF(G139="Всього:",SUM($M$5:M138),IF($E$5="UAH",J139+L139+K139,J139+K139))</f>
        <v>#VALUE!</v>
      </c>
      <c r="N139" s="27" t="e">
        <f ca="1">IF(G139="Всього:",SUM($N$4:N138),IF($E$5="UAH","",L139))</f>
        <v>#VALUE!</v>
      </c>
      <c r="O139" s="25" t="e">
        <f t="shared" ca="1" si="14"/>
        <v>#VALUE!</v>
      </c>
      <c r="P139" s="33" t="e">
        <f t="shared" ca="1" si="15"/>
        <v>#VALUE!</v>
      </c>
      <c r="Q139" s="8" t="e">
        <f t="shared" ca="1" si="18"/>
        <v>#VALUE!</v>
      </c>
    </row>
    <row r="140" spans="6:17" s="8" customFormat="1" ht="13.2" x14ac:dyDescent="0.25">
      <c r="F140" s="34" t="e">
        <f t="shared" ca="1" si="16"/>
        <v>#VALUE!</v>
      </c>
      <c r="G140" s="23" t="e">
        <f t="shared" ca="1" si="19"/>
        <v>#VALUE!</v>
      </c>
      <c r="H140" s="24" t="str">
        <f t="shared" si="17"/>
        <v/>
      </c>
      <c r="I140" s="25" t="e">
        <f ca="1">IF($G140="Всього:",SUM($I$4:I139),MAX($C$32,K140))</f>
        <v>#VALUE!</v>
      </c>
      <c r="J140" s="25" t="e">
        <f ca="1">IF($G140="Всього:",SUM($J$4:J139),IF(I140-SUM(K140:L140)&lt;0,0,I140-SUM(K140:L140)))</f>
        <v>#VALUE!</v>
      </c>
      <c r="K140" s="25" t="e">
        <f ca="1">IF(G140="Всього:",SUM($K$5:K139),F140*O139/36000*(G140-G139))</f>
        <v>#VALUE!</v>
      </c>
      <c r="L140" s="25" t="e">
        <f ca="1">IF(G140="Всього:",SUM($L$5:L139),$E$4)</f>
        <v>#VALUE!</v>
      </c>
      <c r="M140" s="25" t="e">
        <f ca="1">IF(G140="Всього:",SUM($M$5:M139),IF($E$5="UAH",J140+L140+K140,J140+K140))</f>
        <v>#VALUE!</v>
      </c>
      <c r="N140" s="27" t="e">
        <f ca="1">IF(G140="Всього:",SUM($N$4:N139),IF($E$5="UAH","",L140))</f>
        <v>#VALUE!</v>
      </c>
      <c r="O140" s="25" t="e">
        <f t="shared" ca="1" si="14"/>
        <v>#VALUE!</v>
      </c>
      <c r="P140" s="33" t="e">
        <f t="shared" ca="1" si="15"/>
        <v>#VALUE!</v>
      </c>
      <c r="Q140" s="8" t="e">
        <f t="shared" ca="1" si="18"/>
        <v>#VALUE!</v>
      </c>
    </row>
    <row r="141" spans="6:17" s="8" customFormat="1" ht="13.2" x14ac:dyDescent="0.25">
      <c r="F141" s="34" t="e">
        <f t="shared" ca="1" si="16"/>
        <v>#VALUE!</v>
      </c>
      <c r="G141" s="23" t="e">
        <f t="shared" ca="1" si="19"/>
        <v>#VALUE!</v>
      </c>
      <c r="H141" s="24" t="str">
        <f t="shared" si="17"/>
        <v/>
      </c>
      <c r="I141" s="25" t="e">
        <f ca="1">IF($G141="Всього:",SUM($I$4:I140),MAX($C$32,K141))</f>
        <v>#VALUE!</v>
      </c>
      <c r="J141" s="25" t="e">
        <f ca="1">IF($G141="Всього:",SUM($J$4:J140),IF(I141-SUM(K141:L141)&lt;0,0,I141-SUM(K141:L141)))</f>
        <v>#VALUE!</v>
      </c>
      <c r="K141" s="25" t="e">
        <f ca="1">IF(G141="Всього:",SUM($K$5:K140),F141*O140/36000*(G141-G140))</f>
        <v>#VALUE!</v>
      </c>
      <c r="L141" s="25" t="e">
        <f ca="1">IF(G141="Всього:",SUM($L$5:L140),$E$4)</f>
        <v>#VALUE!</v>
      </c>
      <c r="M141" s="25" t="e">
        <f ca="1">IF(G141="Всього:",SUM($M$5:M140),IF($E$5="UAH",J141+L141+K141,J141+K141))</f>
        <v>#VALUE!</v>
      </c>
      <c r="N141" s="27" t="e">
        <f ca="1">IF(G141="Всього:",SUM($N$4:N140),IF($E$5="UAH","",L141))</f>
        <v>#VALUE!</v>
      </c>
      <c r="O141" s="25" t="e">
        <f t="shared" ca="1" si="14"/>
        <v>#VALUE!</v>
      </c>
      <c r="P141" s="33" t="e">
        <f t="shared" ca="1" si="15"/>
        <v>#VALUE!</v>
      </c>
      <c r="Q141" s="8" t="e">
        <f t="shared" ca="1" si="18"/>
        <v>#VALUE!</v>
      </c>
    </row>
    <row r="142" spans="6:17" s="8" customFormat="1" ht="13.2" x14ac:dyDescent="0.25">
      <c r="F142" s="34" t="e">
        <f t="shared" ca="1" si="16"/>
        <v>#VALUE!</v>
      </c>
      <c r="G142" s="23" t="e">
        <f t="shared" ca="1" si="19"/>
        <v>#VALUE!</v>
      </c>
      <c r="H142" s="24" t="str">
        <f t="shared" si="17"/>
        <v/>
      </c>
      <c r="I142" s="25" t="e">
        <f ca="1">IF($G142="Всього:",SUM($I$4:I141),MAX($C$32,K142))</f>
        <v>#VALUE!</v>
      </c>
      <c r="J142" s="25" t="e">
        <f ca="1">IF($G142="Всього:",SUM($J$4:J141),IF(I142-SUM(K142:L142)&lt;0,0,I142-SUM(K142:L142)))</f>
        <v>#VALUE!</v>
      </c>
      <c r="K142" s="25" t="e">
        <f ca="1">IF(G142="Всього:",SUM($K$5:K141),F142*O141/36000*(G142-G141))</f>
        <v>#VALUE!</v>
      </c>
      <c r="L142" s="25" t="e">
        <f ca="1">IF(G142="Всього:",SUM($L$5:L141),$E$4)</f>
        <v>#VALUE!</v>
      </c>
      <c r="M142" s="25" t="e">
        <f ca="1">IF(G142="Всього:",SUM($M$5:M141),IF($E$5="UAH",J142+L142+K142,J142+K142))</f>
        <v>#VALUE!</v>
      </c>
      <c r="N142" s="27" t="e">
        <f ca="1">IF(G142="Всього:",SUM($N$4:N141),IF($E$5="UAH","",L142))</f>
        <v>#VALUE!</v>
      </c>
      <c r="O142" s="25" t="e">
        <f t="shared" ca="1" si="14"/>
        <v>#VALUE!</v>
      </c>
      <c r="P142" s="33" t="e">
        <f t="shared" ca="1" si="15"/>
        <v>#VALUE!</v>
      </c>
      <c r="Q142" s="8" t="e">
        <f t="shared" ca="1" si="18"/>
        <v>#VALUE!</v>
      </c>
    </row>
    <row r="143" spans="6:17" s="8" customFormat="1" ht="13.2" x14ac:dyDescent="0.25">
      <c r="F143" s="34" t="e">
        <f t="shared" ca="1" si="16"/>
        <v>#VALUE!</v>
      </c>
      <c r="G143" s="23" t="e">
        <f t="shared" ca="1" si="19"/>
        <v>#VALUE!</v>
      </c>
      <c r="H143" s="24" t="str">
        <f t="shared" si="17"/>
        <v/>
      </c>
      <c r="I143" s="25" t="e">
        <f ca="1">IF($G143="Всього:",SUM($I$4:I142),MAX($C$32,K143))</f>
        <v>#VALUE!</v>
      </c>
      <c r="J143" s="25" t="e">
        <f ca="1">IF($G143="Всього:",SUM($J$4:J142),IF(I143-SUM(K143:L143)&lt;0,0,I143-SUM(K143:L143)))</f>
        <v>#VALUE!</v>
      </c>
      <c r="K143" s="25" t="e">
        <f ca="1">IF(G143="Всього:",SUM($K$5:K142),F143*O142/36000*(G143-G142))</f>
        <v>#VALUE!</v>
      </c>
      <c r="L143" s="25" t="e">
        <f ca="1">IF(G143="Всього:",SUM($L$5:L142),$E$4)</f>
        <v>#VALUE!</v>
      </c>
      <c r="M143" s="25" t="e">
        <f ca="1">IF(G143="Всього:",SUM($M$5:M142),IF($E$5="UAH",J143+L143+K143,J143+K143))</f>
        <v>#VALUE!</v>
      </c>
      <c r="N143" s="27" t="e">
        <f ca="1">IF(G143="Всього:",SUM($N$4:N142),IF($E$5="UAH","",L143))</f>
        <v>#VALUE!</v>
      </c>
      <c r="O143" s="25" t="e">
        <f t="shared" ca="1" si="14"/>
        <v>#VALUE!</v>
      </c>
      <c r="P143" s="33" t="e">
        <f t="shared" ca="1" si="15"/>
        <v>#VALUE!</v>
      </c>
      <c r="Q143" s="8" t="e">
        <f t="shared" ca="1" si="18"/>
        <v>#VALUE!</v>
      </c>
    </row>
    <row r="144" spans="6:17" s="8" customFormat="1" ht="13.2" x14ac:dyDescent="0.25">
      <c r="F144" s="34" t="e">
        <f t="shared" ca="1" si="16"/>
        <v>#VALUE!</v>
      </c>
      <c r="G144" s="23" t="e">
        <f t="shared" ca="1" si="19"/>
        <v>#VALUE!</v>
      </c>
      <c r="H144" s="24" t="str">
        <f t="shared" si="17"/>
        <v/>
      </c>
      <c r="I144" s="25" t="e">
        <f ca="1">IF($G144="Всього:",SUM($I$4:I143),MAX($C$32,K144))</f>
        <v>#VALUE!</v>
      </c>
      <c r="J144" s="25" t="e">
        <f ca="1">IF($G144="Всього:",SUM($J$4:J143),IF(I144-SUM(K144:L144)&lt;0,0,I144-SUM(K144:L144)))</f>
        <v>#VALUE!</v>
      </c>
      <c r="K144" s="25" t="e">
        <f ca="1">IF(G144="Всього:",SUM($K$5:K143),F144*O143/36000*(G144-G143))</f>
        <v>#VALUE!</v>
      </c>
      <c r="L144" s="25" t="e">
        <f ca="1">IF(G144="Всього:",SUM($L$5:L143),$E$4)</f>
        <v>#VALUE!</v>
      </c>
      <c r="M144" s="25" t="e">
        <f ca="1">IF(G144="Всього:",SUM($M$5:M143),IF($E$5="UAH",J144+L144+K144,J144+K144))</f>
        <v>#VALUE!</v>
      </c>
      <c r="N144" s="27" t="e">
        <f ca="1">IF(G144="Всього:",SUM($N$4:N143),IF($E$5="UAH","",L144))</f>
        <v>#VALUE!</v>
      </c>
      <c r="O144" s="25" t="e">
        <f t="shared" ca="1" si="14"/>
        <v>#VALUE!</v>
      </c>
      <c r="P144" s="33" t="e">
        <f t="shared" ca="1" si="15"/>
        <v>#VALUE!</v>
      </c>
      <c r="Q144" s="8" t="e">
        <f t="shared" ca="1" si="18"/>
        <v>#VALUE!</v>
      </c>
    </row>
    <row r="145" spans="6:17" s="8" customFormat="1" ht="13.2" x14ac:dyDescent="0.25">
      <c r="F145" s="34" t="e">
        <f t="shared" ca="1" si="16"/>
        <v>#VALUE!</v>
      </c>
      <c r="G145" s="23" t="e">
        <f t="shared" ca="1" si="19"/>
        <v>#VALUE!</v>
      </c>
      <c r="H145" s="24" t="str">
        <f t="shared" si="17"/>
        <v/>
      </c>
      <c r="I145" s="25" t="e">
        <f ca="1">IF($G145="Всього:",SUM($I$4:I144),MAX($C$32,K145))</f>
        <v>#VALUE!</v>
      </c>
      <c r="J145" s="25" t="e">
        <f ca="1">IF($G145="Всього:",SUM($J$4:J144),IF(I145-SUM(K145:L145)&lt;0,0,I145-SUM(K145:L145)))</f>
        <v>#VALUE!</v>
      </c>
      <c r="K145" s="25" t="e">
        <f ca="1">IF(G145="Всього:",SUM($K$5:K144),F145*O144/36000*(G145-G144))</f>
        <v>#VALUE!</v>
      </c>
      <c r="L145" s="25" t="e">
        <f ca="1">IF(G145="Всього:",SUM($L$5:L144),$E$4)</f>
        <v>#VALUE!</v>
      </c>
      <c r="M145" s="25" t="e">
        <f ca="1">IF(G145="Всього:",SUM($M$5:M144),IF($E$5="UAH",J145+L145+K145,J145+K145))</f>
        <v>#VALUE!</v>
      </c>
      <c r="N145" s="27" t="e">
        <f ca="1">IF(G145="Всього:",SUM($N$4:N144),IF($E$5="UAH","",L145))</f>
        <v>#VALUE!</v>
      </c>
      <c r="O145" s="25" t="e">
        <f t="shared" ca="1" si="14"/>
        <v>#VALUE!</v>
      </c>
      <c r="P145" s="33" t="e">
        <f t="shared" ca="1" si="15"/>
        <v>#VALUE!</v>
      </c>
      <c r="Q145" s="8" t="e">
        <f t="shared" ca="1" si="18"/>
        <v>#VALUE!</v>
      </c>
    </row>
    <row r="146" spans="6:17" s="8" customFormat="1" ht="13.2" x14ac:dyDescent="0.25">
      <c r="F146" s="34" t="e">
        <f t="shared" ca="1" si="16"/>
        <v>#VALUE!</v>
      </c>
      <c r="G146" s="23" t="e">
        <f t="shared" ca="1" si="19"/>
        <v>#VALUE!</v>
      </c>
      <c r="H146" s="24" t="str">
        <f t="shared" si="17"/>
        <v/>
      </c>
      <c r="I146" s="25" t="e">
        <f ca="1">IF($G146="Всього:",SUM($I$4:I145),MAX($C$32,K146))</f>
        <v>#VALUE!</v>
      </c>
      <c r="J146" s="25" t="e">
        <f ca="1">IF($G146="Всього:",SUM($J$4:J145),IF(I146-SUM(K146:L146)&lt;0,0,I146-SUM(K146:L146)))</f>
        <v>#VALUE!</v>
      </c>
      <c r="K146" s="25" t="e">
        <f ca="1">IF(G146="Всього:",SUM($K$5:K145),F146*O145/36000*(G146-G145))</f>
        <v>#VALUE!</v>
      </c>
      <c r="L146" s="25" t="e">
        <f ca="1">IF(G146="Всього:",SUM($L$5:L145),$E$4)</f>
        <v>#VALUE!</v>
      </c>
      <c r="M146" s="25" t="e">
        <f ca="1">IF(G146="Всього:",SUM($M$5:M145),IF($E$5="UAH",J146+L146+K146,J146+K146))</f>
        <v>#VALUE!</v>
      </c>
      <c r="N146" s="27" t="e">
        <f ca="1">IF(G146="Всього:",SUM($N$4:N145),IF($E$5="UAH","",L146))</f>
        <v>#VALUE!</v>
      </c>
      <c r="O146" s="25" t="e">
        <f t="shared" ca="1" si="14"/>
        <v>#VALUE!</v>
      </c>
      <c r="P146" s="33" t="e">
        <f t="shared" ca="1" si="15"/>
        <v>#VALUE!</v>
      </c>
      <c r="Q146" s="8" t="e">
        <f t="shared" ca="1" si="18"/>
        <v>#VALUE!</v>
      </c>
    </row>
    <row r="147" spans="6:17" s="8" customFormat="1" ht="13.2" x14ac:dyDescent="0.25">
      <c r="F147" s="34" t="e">
        <f t="shared" ca="1" si="16"/>
        <v>#VALUE!</v>
      </c>
      <c r="G147" s="23" t="e">
        <f t="shared" ca="1" si="19"/>
        <v>#VALUE!</v>
      </c>
      <c r="H147" s="24" t="str">
        <f t="shared" si="17"/>
        <v/>
      </c>
      <c r="I147" s="25" t="e">
        <f ca="1">IF($G147="Всього:",SUM($I$4:I146),MAX($C$32,K147))</f>
        <v>#VALUE!</v>
      </c>
      <c r="J147" s="25" t="e">
        <f ca="1">IF($G147="Всього:",SUM($J$4:J146),IF(I147-SUM(K147:L147)&lt;0,0,I147-SUM(K147:L147)))</f>
        <v>#VALUE!</v>
      </c>
      <c r="K147" s="25" t="e">
        <f ca="1">IF(G147="Всього:",SUM($K$5:K146),F147*O146/36000*(G147-G146))</f>
        <v>#VALUE!</v>
      </c>
      <c r="L147" s="25" t="e">
        <f ca="1">IF(G147="Всього:",SUM($L$5:L146),$E$4)</f>
        <v>#VALUE!</v>
      </c>
      <c r="M147" s="25" t="e">
        <f ca="1">IF(G147="Всього:",SUM($M$5:M146),IF($E$5="UAH",J147+L147+K147,J147+K147))</f>
        <v>#VALUE!</v>
      </c>
      <c r="N147" s="27" t="e">
        <f ca="1">IF(G147="Всього:",SUM($N$4:N146),IF($E$5="UAH","",L147))</f>
        <v>#VALUE!</v>
      </c>
      <c r="O147" s="25" t="e">
        <f t="shared" ca="1" si="14"/>
        <v>#VALUE!</v>
      </c>
      <c r="P147" s="33" t="e">
        <f t="shared" ca="1" si="15"/>
        <v>#VALUE!</v>
      </c>
      <c r="Q147" s="8" t="e">
        <f t="shared" ca="1" si="18"/>
        <v>#VALUE!</v>
      </c>
    </row>
    <row r="148" spans="6:17" s="8" customFormat="1" ht="13.2" x14ac:dyDescent="0.25">
      <c r="F148" s="34" t="e">
        <f t="shared" ca="1" si="16"/>
        <v>#VALUE!</v>
      </c>
      <c r="G148" s="23" t="e">
        <f t="shared" ca="1" si="19"/>
        <v>#VALUE!</v>
      </c>
      <c r="H148" s="24" t="str">
        <f t="shared" si="17"/>
        <v/>
      </c>
      <c r="I148" s="25" t="e">
        <f ca="1">IF($G148="Всього:",SUM($I$4:I147),MAX($C$32,K148))</f>
        <v>#VALUE!</v>
      </c>
      <c r="J148" s="25" t="e">
        <f ca="1">IF($G148="Всього:",SUM($J$4:J147),IF(I148-SUM(K148:L148)&lt;0,0,I148-SUM(K148:L148)))</f>
        <v>#VALUE!</v>
      </c>
      <c r="K148" s="25" t="e">
        <f ca="1">IF(G148="Всього:",SUM($K$5:K147),F148*O147/36000*(G148-G147))</f>
        <v>#VALUE!</v>
      </c>
      <c r="L148" s="25" t="e">
        <f ca="1">IF(G148="Всього:",SUM($L$5:L147),$E$4)</f>
        <v>#VALUE!</v>
      </c>
      <c r="M148" s="25" t="e">
        <f ca="1">IF(G148="Всього:",SUM($M$5:M147),IF($E$5="UAH",J148+L148+K148,J148+K148))</f>
        <v>#VALUE!</v>
      </c>
      <c r="N148" s="27" t="e">
        <f ca="1">IF(G148="Всього:",SUM($N$4:N147),IF($E$5="UAH","",L148))</f>
        <v>#VALUE!</v>
      </c>
      <c r="O148" s="25" t="e">
        <f t="shared" ca="1" si="14"/>
        <v>#VALUE!</v>
      </c>
      <c r="P148" s="33" t="e">
        <f t="shared" ca="1" si="15"/>
        <v>#VALUE!</v>
      </c>
      <c r="Q148" s="8" t="e">
        <f t="shared" ca="1" si="18"/>
        <v>#VALUE!</v>
      </c>
    </row>
    <row r="149" spans="6:17" s="8" customFormat="1" ht="13.2" x14ac:dyDescent="0.25">
      <c r="F149" s="34" t="e">
        <f t="shared" ca="1" si="16"/>
        <v>#VALUE!</v>
      </c>
      <c r="G149" s="23" t="e">
        <f t="shared" ca="1" si="19"/>
        <v>#VALUE!</v>
      </c>
      <c r="H149" s="24" t="str">
        <f t="shared" si="17"/>
        <v/>
      </c>
      <c r="I149" s="25" t="e">
        <f ca="1">IF($G149="Всього:",SUM($I$4:I148),MAX($C$32,K149))</f>
        <v>#VALUE!</v>
      </c>
      <c r="J149" s="25" t="e">
        <f ca="1">IF($G149="Всього:",SUM($J$4:J148),IF(I149-SUM(K149:L149)&lt;0,0,I149-SUM(K149:L149)))</f>
        <v>#VALUE!</v>
      </c>
      <c r="K149" s="25" t="e">
        <f ca="1">IF(G149="Всього:",SUM($K$5:K148),F149*O148/36000*(G149-G148))</f>
        <v>#VALUE!</v>
      </c>
      <c r="L149" s="25" t="e">
        <f ca="1">IF(G149="Всього:",SUM($L$5:L148),$E$4)</f>
        <v>#VALUE!</v>
      </c>
      <c r="M149" s="25" t="e">
        <f ca="1">IF(G149="Всього:",SUM($M$5:M148),IF($E$5="UAH",J149+L149+K149,J149+K149))</f>
        <v>#VALUE!</v>
      </c>
      <c r="N149" s="27" t="e">
        <f ca="1">IF(G149="Всього:",SUM($N$4:N148),IF($E$5="UAH","",L149))</f>
        <v>#VALUE!</v>
      </c>
      <c r="O149" s="25" t="e">
        <f t="shared" ca="1" si="14"/>
        <v>#VALUE!</v>
      </c>
      <c r="P149" s="33" t="e">
        <f t="shared" ca="1" si="15"/>
        <v>#VALUE!</v>
      </c>
      <c r="Q149" s="8" t="e">
        <f t="shared" ca="1" si="18"/>
        <v>#VALUE!</v>
      </c>
    </row>
    <row r="150" spans="6:17" s="8" customFormat="1" ht="13.2" x14ac:dyDescent="0.25">
      <c r="F150" s="34" t="e">
        <f t="shared" ca="1" si="16"/>
        <v>#VALUE!</v>
      </c>
      <c r="G150" s="23" t="e">
        <f t="shared" ca="1" si="19"/>
        <v>#VALUE!</v>
      </c>
      <c r="H150" s="24" t="str">
        <f t="shared" si="17"/>
        <v/>
      </c>
      <c r="I150" s="25" t="e">
        <f ca="1">IF($G150="Всього:",SUM($I$4:I149),MAX($C$32,K150))</f>
        <v>#VALUE!</v>
      </c>
      <c r="J150" s="25" t="e">
        <f ca="1">IF($G150="Всього:",SUM($J$4:J149),IF(I150-SUM(K150:L150)&lt;0,0,I150-SUM(K150:L150)))</f>
        <v>#VALUE!</v>
      </c>
      <c r="K150" s="25" t="e">
        <f ca="1">IF(G150="Всього:",SUM($K$5:K149),F150*O149/36000*(G150-G149))</f>
        <v>#VALUE!</v>
      </c>
      <c r="L150" s="25" t="e">
        <f ca="1">IF(G150="Всього:",SUM($L$5:L149),$E$4)</f>
        <v>#VALUE!</v>
      </c>
      <c r="M150" s="25" t="e">
        <f ca="1">IF(G150="Всього:",SUM($M$5:M149),IF($E$5="UAH",J150+L150+K150,J150+K150))</f>
        <v>#VALUE!</v>
      </c>
      <c r="N150" s="27" t="e">
        <f ca="1">IF(G150="Всього:",SUM($N$4:N149),IF($E$5="UAH","",L150))</f>
        <v>#VALUE!</v>
      </c>
      <c r="O150" s="25" t="e">
        <f t="shared" ca="1" si="14"/>
        <v>#VALUE!</v>
      </c>
      <c r="P150" s="33" t="e">
        <f t="shared" ca="1" si="15"/>
        <v>#VALUE!</v>
      </c>
      <c r="Q150" s="8" t="e">
        <f t="shared" ca="1" si="18"/>
        <v>#VALUE!</v>
      </c>
    </row>
    <row r="151" spans="6:17" s="8" customFormat="1" ht="13.2" x14ac:dyDescent="0.25">
      <c r="F151" s="34" t="e">
        <f t="shared" ca="1" si="16"/>
        <v>#VALUE!</v>
      </c>
      <c r="G151" s="23" t="e">
        <f t="shared" ca="1" si="19"/>
        <v>#VALUE!</v>
      </c>
      <c r="H151" s="24" t="str">
        <f t="shared" si="17"/>
        <v/>
      </c>
      <c r="I151" s="25" t="e">
        <f ca="1">IF($G151="Всього:",SUM($I$4:I150),MAX($C$32,K151))</f>
        <v>#VALUE!</v>
      </c>
      <c r="J151" s="25" t="e">
        <f ca="1">IF($G151="Всього:",SUM($J$4:J150),IF(I151-SUM(K151:L151)&lt;0,0,I151-SUM(K151:L151)))</f>
        <v>#VALUE!</v>
      </c>
      <c r="K151" s="25" t="e">
        <f ca="1">IF(G151="Всього:",SUM($K$5:K150),F151*O150/36000*(G151-G150))</f>
        <v>#VALUE!</v>
      </c>
      <c r="L151" s="25" t="e">
        <f ca="1">IF(G151="Всього:",SUM($L$5:L150),$E$4)</f>
        <v>#VALUE!</v>
      </c>
      <c r="M151" s="25" t="e">
        <f ca="1">IF(G151="Всього:",SUM($M$5:M150),IF($E$5="UAH",J151+L151+K151,J151+K151))</f>
        <v>#VALUE!</v>
      </c>
      <c r="N151" s="27" t="e">
        <f ca="1">IF(G151="Всього:",SUM($N$4:N150),IF($E$5="UAH","",L151))</f>
        <v>#VALUE!</v>
      </c>
      <c r="O151" s="25" t="e">
        <f t="shared" ca="1" si="14"/>
        <v>#VALUE!</v>
      </c>
      <c r="P151" s="33" t="e">
        <f t="shared" ca="1" si="15"/>
        <v>#VALUE!</v>
      </c>
      <c r="Q151" s="8" t="e">
        <f t="shared" ca="1" si="18"/>
        <v>#VALUE!</v>
      </c>
    </row>
    <row r="152" spans="6:17" s="8" customFormat="1" ht="13.2" x14ac:dyDescent="0.25">
      <c r="F152" s="34" t="e">
        <f t="shared" ca="1" si="16"/>
        <v>#VALUE!</v>
      </c>
      <c r="G152" s="23" t="e">
        <f t="shared" ca="1" si="19"/>
        <v>#VALUE!</v>
      </c>
      <c r="H152" s="24" t="str">
        <f t="shared" si="17"/>
        <v/>
      </c>
      <c r="I152" s="25" t="e">
        <f ca="1">IF($G152="Всього:",SUM($I$4:I151),MAX($C$32,K152))</f>
        <v>#VALUE!</v>
      </c>
      <c r="J152" s="25" t="e">
        <f ca="1">IF($G152="Всього:",SUM($J$4:J151),IF(I152-SUM(K152:L152)&lt;0,0,I152-SUM(K152:L152)))</f>
        <v>#VALUE!</v>
      </c>
      <c r="K152" s="25" t="e">
        <f ca="1">IF(G152="Всього:",SUM($K$5:K151),F152*O151/36000*(G152-G151))</f>
        <v>#VALUE!</v>
      </c>
      <c r="L152" s="25" t="e">
        <f ca="1">IF(G152="Всього:",SUM($L$5:L151),$E$4)</f>
        <v>#VALUE!</v>
      </c>
      <c r="M152" s="25" t="e">
        <f ca="1">IF(G152="Всього:",SUM($M$5:M151),IF($E$5="UAH",J152+L152+K152,J152+K152))</f>
        <v>#VALUE!</v>
      </c>
      <c r="N152" s="27" t="e">
        <f ca="1">IF(G152="Всього:",SUM($N$4:N151),IF($E$5="UAH","",L152))</f>
        <v>#VALUE!</v>
      </c>
      <c r="O152" s="25" t="e">
        <f t="shared" ca="1" si="14"/>
        <v>#VALUE!</v>
      </c>
      <c r="P152" s="33" t="e">
        <f t="shared" ca="1" si="15"/>
        <v>#VALUE!</v>
      </c>
      <c r="Q152" s="8" t="e">
        <f t="shared" ca="1" si="18"/>
        <v>#VALUE!</v>
      </c>
    </row>
    <row r="153" spans="6:17" s="8" customFormat="1" ht="13.2" x14ac:dyDescent="0.25">
      <c r="F153" s="34" t="e">
        <f t="shared" ca="1" si="16"/>
        <v>#VALUE!</v>
      </c>
      <c r="G153" s="23" t="e">
        <f t="shared" ca="1" si="19"/>
        <v>#VALUE!</v>
      </c>
      <c r="H153" s="24" t="str">
        <f t="shared" si="17"/>
        <v/>
      </c>
      <c r="I153" s="25" t="e">
        <f ca="1">IF($G153="Всього:",SUM($I$4:I152),MAX($C$32,K153))</f>
        <v>#VALUE!</v>
      </c>
      <c r="J153" s="25" t="e">
        <f ca="1">IF($G153="Всього:",SUM($J$4:J152),IF(I153-SUM(K153:L153)&lt;0,0,I153-SUM(K153:L153)))</f>
        <v>#VALUE!</v>
      </c>
      <c r="K153" s="25" t="e">
        <f ca="1">IF(G153="Всього:",SUM($K$5:K152),F153*O152/36000*(G153-G152))</f>
        <v>#VALUE!</v>
      </c>
      <c r="L153" s="25" t="e">
        <f ca="1">IF(G153="Всього:",SUM($L$5:L152),$E$4)</f>
        <v>#VALUE!</v>
      </c>
      <c r="M153" s="25" t="e">
        <f ca="1">IF(G153="Всього:",SUM($M$5:M152),IF($E$5="UAH",J153+L153+K153,J153+K153))</f>
        <v>#VALUE!</v>
      </c>
      <c r="N153" s="27" t="e">
        <f ca="1">IF(G153="Всього:",SUM($N$4:N152),IF($E$5="UAH","",L153))</f>
        <v>#VALUE!</v>
      </c>
      <c r="O153" s="25" t="e">
        <f t="shared" ca="1" si="14"/>
        <v>#VALUE!</v>
      </c>
      <c r="P153" s="33" t="e">
        <f t="shared" ca="1" si="15"/>
        <v>#VALUE!</v>
      </c>
      <c r="Q153" s="8" t="e">
        <f t="shared" ca="1" si="18"/>
        <v>#VALUE!</v>
      </c>
    </row>
    <row r="154" spans="6:17" s="8" customFormat="1" ht="13.2" x14ac:dyDescent="0.25">
      <c r="F154" s="34" t="e">
        <f t="shared" ca="1" si="16"/>
        <v>#VALUE!</v>
      </c>
      <c r="G154" s="23" t="e">
        <f t="shared" ca="1" si="19"/>
        <v>#VALUE!</v>
      </c>
      <c r="H154" s="24" t="str">
        <f t="shared" si="17"/>
        <v/>
      </c>
      <c r="I154" s="25" t="e">
        <f ca="1">IF($G154="Всього:",SUM($I$4:I153),MAX($C$32,K154))</f>
        <v>#VALUE!</v>
      </c>
      <c r="J154" s="25" t="e">
        <f ca="1">IF($G154="Всього:",SUM($J$4:J153),IF(I154-SUM(K154:L154)&lt;0,0,I154-SUM(K154:L154)))</f>
        <v>#VALUE!</v>
      </c>
      <c r="K154" s="25" t="e">
        <f ca="1">IF(G154="Всього:",SUM($K$5:K153),F154*O153/36000*(G154-G153))</f>
        <v>#VALUE!</v>
      </c>
      <c r="L154" s="25" t="e">
        <f ca="1">IF(G154="Всього:",SUM($L$5:L153),$E$4)</f>
        <v>#VALUE!</v>
      </c>
      <c r="M154" s="25" t="e">
        <f ca="1">IF(G154="Всього:",SUM($M$5:M153),IF($E$5="UAH",J154+L154+K154,J154+K154))</f>
        <v>#VALUE!</v>
      </c>
      <c r="N154" s="27" t="e">
        <f ca="1">IF(G154="Всього:",SUM($N$4:N153),IF($E$5="UAH","",L154))</f>
        <v>#VALUE!</v>
      </c>
      <c r="O154" s="25" t="e">
        <f t="shared" ca="1" si="14"/>
        <v>#VALUE!</v>
      </c>
      <c r="P154" s="33" t="e">
        <f t="shared" ca="1" si="15"/>
        <v>#VALUE!</v>
      </c>
      <c r="Q154" s="8" t="e">
        <f t="shared" ca="1" si="18"/>
        <v>#VALUE!</v>
      </c>
    </row>
    <row r="155" spans="6:17" s="8" customFormat="1" ht="13.2" x14ac:dyDescent="0.25">
      <c r="F155" s="34" t="e">
        <f t="shared" ca="1" si="16"/>
        <v>#VALUE!</v>
      </c>
      <c r="G155" s="23" t="e">
        <f t="shared" ca="1" si="19"/>
        <v>#VALUE!</v>
      </c>
      <c r="H155" s="24" t="str">
        <f t="shared" si="17"/>
        <v/>
      </c>
      <c r="I155" s="25" t="e">
        <f ca="1">IF($G155="Всього:",SUM($I$4:I154),MAX($C$32,K155))</f>
        <v>#VALUE!</v>
      </c>
      <c r="J155" s="25" t="e">
        <f ca="1">IF($G155="Всього:",SUM($J$4:J154),IF(I155-SUM(K155:L155)&lt;0,0,I155-SUM(K155:L155)))</f>
        <v>#VALUE!</v>
      </c>
      <c r="K155" s="25" t="e">
        <f ca="1">IF(G155="Всього:",SUM($K$5:K154),F155*O154/36000*(G155-G154))</f>
        <v>#VALUE!</v>
      </c>
      <c r="L155" s="25" t="e">
        <f ca="1">IF(G155="Всього:",SUM($L$5:L154),$E$4)</f>
        <v>#VALUE!</v>
      </c>
      <c r="M155" s="25" t="e">
        <f ca="1">IF(G155="Всього:",SUM($M$5:M154),IF($E$5="UAH",J155+L155+K155,J155+K155))</f>
        <v>#VALUE!</v>
      </c>
      <c r="N155" s="27" t="e">
        <f ca="1">IF(G155="Всього:",SUM($N$4:N154),IF($E$5="UAH","",L155))</f>
        <v>#VALUE!</v>
      </c>
      <c r="O155" s="25" t="e">
        <f t="shared" ca="1" si="14"/>
        <v>#VALUE!</v>
      </c>
      <c r="P155" s="33" t="e">
        <f t="shared" ca="1" si="15"/>
        <v>#VALUE!</v>
      </c>
      <c r="Q155" s="8" t="e">
        <f t="shared" ca="1" si="18"/>
        <v>#VALUE!</v>
      </c>
    </row>
    <row r="156" spans="6:17" s="8" customFormat="1" ht="13.2" x14ac:dyDescent="0.25">
      <c r="F156" s="34" t="e">
        <f t="shared" ca="1" si="16"/>
        <v>#VALUE!</v>
      </c>
      <c r="G156" s="23" t="e">
        <f t="shared" ca="1" si="19"/>
        <v>#VALUE!</v>
      </c>
      <c r="H156" s="24" t="str">
        <f t="shared" si="17"/>
        <v/>
      </c>
      <c r="I156" s="25" t="e">
        <f ca="1">IF($G156="Всього:",SUM($I$4:I155),MAX($C$32,K156))</f>
        <v>#VALUE!</v>
      </c>
      <c r="J156" s="25" t="e">
        <f ca="1">IF($G156="Всього:",SUM($J$4:J155),IF(I156-SUM(K156:L156)&lt;0,0,I156-SUM(K156:L156)))</f>
        <v>#VALUE!</v>
      </c>
      <c r="K156" s="25" t="e">
        <f ca="1">IF(G156="Всього:",SUM($K$5:K155),F156*O155/36000*(G156-G155))</f>
        <v>#VALUE!</v>
      </c>
      <c r="L156" s="25" t="e">
        <f ca="1">IF(G156="Всього:",SUM($L$5:L155),$E$4)</f>
        <v>#VALUE!</v>
      </c>
      <c r="M156" s="25" t="e">
        <f ca="1">IF(G156="Всього:",SUM($M$5:M155),IF($E$5="UAH",J156+L156+K156,J156+K156))</f>
        <v>#VALUE!</v>
      </c>
      <c r="N156" s="27" t="e">
        <f ca="1">IF(G156="Всього:",SUM($N$4:N155),IF($E$5="UAH","",L156))</f>
        <v>#VALUE!</v>
      </c>
      <c r="O156" s="25" t="e">
        <f t="shared" ca="1" si="14"/>
        <v>#VALUE!</v>
      </c>
      <c r="P156" s="33" t="e">
        <f t="shared" ca="1" si="15"/>
        <v>#VALUE!</v>
      </c>
      <c r="Q156" s="8" t="e">
        <f t="shared" ca="1" si="18"/>
        <v>#VALUE!</v>
      </c>
    </row>
    <row r="157" spans="6:17" s="8" customFormat="1" ht="13.2" x14ac:dyDescent="0.25">
      <c r="F157" s="34" t="e">
        <f t="shared" ca="1" si="16"/>
        <v>#VALUE!</v>
      </c>
      <c r="G157" s="23" t="e">
        <f t="shared" ca="1" si="19"/>
        <v>#VALUE!</v>
      </c>
      <c r="H157" s="24" t="str">
        <f t="shared" si="17"/>
        <v/>
      </c>
      <c r="I157" s="25" t="e">
        <f ca="1">IF($G157="Всього:",SUM($I$4:I156),MAX($C$32,K157))</f>
        <v>#VALUE!</v>
      </c>
      <c r="J157" s="25" t="e">
        <f ca="1">IF($G157="Всього:",SUM($J$4:J156),IF(I157-SUM(K157:L157)&lt;0,0,I157-SUM(K157:L157)))</f>
        <v>#VALUE!</v>
      </c>
      <c r="K157" s="25" t="e">
        <f ca="1">IF(G157="Всього:",SUM($K$5:K156),F157*O156/36000*(G157-G156))</f>
        <v>#VALUE!</v>
      </c>
      <c r="L157" s="25" t="e">
        <f ca="1">IF(G157="Всього:",SUM($L$5:L156),$E$4)</f>
        <v>#VALUE!</v>
      </c>
      <c r="M157" s="25" t="e">
        <f ca="1">IF(G157="Всього:",SUM($M$5:M156),IF($E$5="UAH",J157+L157+K157,J157+K157))</f>
        <v>#VALUE!</v>
      </c>
      <c r="N157" s="27" t="e">
        <f ca="1">IF(G157="Всього:",SUM($N$4:N156),IF($E$5="UAH","",L157))</f>
        <v>#VALUE!</v>
      </c>
      <c r="O157" s="25" t="e">
        <f t="shared" ca="1" si="14"/>
        <v>#VALUE!</v>
      </c>
      <c r="P157" s="33" t="e">
        <f t="shared" ca="1" si="15"/>
        <v>#VALUE!</v>
      </c>
      <c r="Q157" s="8" t="e">
        <f t="shared" ca="1" si="18"/>
        <v>#VALUE!</v>
      </c>
    </row>
    <row r="158" spans="6:17" s="8" customFormat="1" ht="13.2" x14ac:dyDescent="0.25">
      <c r="F158" s="34" t="e">
        <f t="shared" ca="1" si="16"/>
        <v>#VALUE!</v>
      </c>
      <c r="G158" s="23" t="e">
        <f t="shared" ca="1" si="19"/>
        <v>#VALUE!</v>
      </c>
      <c r="H158" s="24" t="str">
        <f t="shared" si="17"/>
        <v/>
      </c>
      <c r="I158" s="25" t="e">
        <f ca="1">IF($G158="Всього:",SUM($I$4:I157),MAX($C$32,K158))</f>
        <v>#VALUE!</v>
      </c>
      <c r="J158" s="25" t="e">
        <f ca="1">IF($G158="Всього:",SUM($J$4:J157),IF(I158-SUM(K158:L158)&lt;0,0,I158-SUM(K158:L158)))</f>
        <v>#VALUE!</v>
      </c>
      <c r="K158" s="25" t="e">
        <f ca="1">IF(G158="Всього:",SUM($K$5:K157),F158*O157/36000*(G158-G157))</f>
        <v>#VALUE!</v>
      </c>
      <c r="L158" s="25" t="e">
        <f ca="1">IF(G158="Всього:",SUM($L$5:L157),$E$4)</f>
        <v>#VALUE!</v>
      </c>
      <c r="M158" s="25" t="e">
        <f ca="1">IF(G158="Всього:",SUM($M$5:M157),IF($E$5="UAH",J158+L158+K158,J158+K158))</f>
        <v>#VALUE!</v>
      </c>
      <c r="N158" s="27" t="e">
        <f ca="1">IF(G158="Всього:",SUM($N$4:N157),IF($E$5="UAH","",L158))</f>
        <v>#VALUE!</v>
      </c>
      <c r="O158" s="25" t="e">
        <f t="shared" ca="1" si="14"/>
        <v>#VALUE!</v>
      </c>
      <c r="P158" s="33" t="e">
        <f t="shared" ca="1" si="15"/>
        <v>#VALUE!</v>
      </c>
      <c r="Q158" s="8" t="e">
        <f t="shared" ca="1" si="18"/>
        <v>#VALUE!</v>
      </c>
    </row>
    <row r="159" spans="6:17" s="8" customFormat="1" ht="13.2" x14ac:dyDescent="0.25">
      <c r="F159" s="34" t="e">
        <f t="shared" ca="1" si="16"/>
        <v>#VALUE!</v>
      </c>
      <c r="G159" s="23" t="e">
        <f t="shared" ca="1" si="19"/>
        <v>#VALUE!</v>
      </c>
      <c r="H159" s="24" t="str">
        <f t="shared" si="17"/>
        <v/>
      </c>
      <c r="I159" s="25" t="e">
        <f ca="1">IF($G159="Всього:",SUM($I$4:I158),MAX($C$32,K159))</f>
        <v>#VALUE!</v>
      </c>
      <c r="J159" s="25" t="e">
        <f ca="1">IF($G159="Всього:",SUM($J$4:J158),IF(I159-SUM(K159:L159)&lt;0,0,I159-SUM(K159:L159)))</f>
        <v>#VALUE!</v>
      </c>
      <c r="K159" s="25" t="e">
        <f ca="1">IF(G159="Всього:",SUM($K$5:K158),F159*O158/36000*(G159-G158))</f>
        <v>#VALUE!</v>
      </c>
      <c r="L159" s="25" t="e">
        <f ca="1">IF(G159="Всього:",SUM($L$5:L158),$E$4)</f>
        <v>#VALUE!</v>
      </c>
      <c r="M159" s="25" t="e">
        <f ca="1">IF(G159="Всього:",SUM($M$5:M158),IF($E$5="UAH",J159+L159+K159,J159+K159))</f>
        <v>#VALUE!</v>
      </c>
      <c r="N159" s="27" t="e">
        <f ca="1">IF(G159="Всього:",SUM($N$4:N158),IF($E$5="UAH","",L159))</f>
        <v>#VALUE!</v>
      </c>
      <c r="O159" s="25" t="e">
        <f t="shared" ca="1" si="14"/>
        <v>#VALUE!</v>
      </c>
      <c r="P159" s="33" t="e">
        <f t="shared" ca="1" si="15"/>
        <v>#VALUE!</v>
      </c>
      <c r="Q159" s="8" t="e">
        <f t="shared" ca="1" si="18"/>
        <v>#VALUE!</v>
      </c>
    </row>
    <row r="160" spans="6:17" s="8" customFormat="1" ht="13.2" x14ac:dyDescent="0.25">
      <c r="F160" s="34" t="e">
        <f t="shared" ca="1" si="16"/>
        <v>#VALUE!</v>
      </c>
      <c r="G160" s="23" t="e">
        <f t="shared" ca="1" si="19"/>
        <v>#VALUE!</v>
      </c>
      <c r="H160" s="24" t="str">
        <f t="shared" si="17"/>
        <v/>
      </c>
      <c r="I160" s="25" t="e">
        <f ca="1">IF($G160="Всього:",SUM($I$4:I159),MAX($C$32,K160))</f>
        <v>#VALUE!</v>
      </c>
      <c r="J160" s="25" t="e">
        <f ca="1">IF($G160="Всього:",SUM($J$4:J159),IF(I160-SUM(K160:L160)&lt;0,0,I160-SUM(K160:L160)))</f>
        <v>#VALUE!</v>
      </c>
      <c r="K160" s="25" t="e">
        <f ca="1">IF(G160="Всього:",SUM($K$5:K159),F160*O159/36000*(G160-G159))</f>
        <v>#VALUE!</v>
      </c>
      <c r="L160" s="25" t="e">
        <f ca="1">IF(G160="Всього:",SUM($L$5:L159),$E$4)</f>
        <v>#VALUE!</v>
      </c>
      <c r="M160" s="25" t="e">
        <f ca="1">IF(G160="Всього:",SUM($M$5:M159),IF($E$5="UAH",J160+L160+K160,J160+K160))</f>
        <v>#VALUE!</v>
      </c>
      <c r="N160" s="27" t="e">
        <f ca="1">IF(G160="Всього:",SUM($N$4:N159),IF($E$5="UAH","",L160))</f>
        <v>#VALUE!</v>
      </c>
      <c r="O160" s="25" t="e">
        <f t="shared" ca="1" si="14"/>
        <v>#VALUE!</v>
      </c>
      <c r="P160" s="33" t="e">
        <f t="shared" ca="1" si="15"/>
        <v>#VALUE!</v>
      </c>
      <c r="Q160" s="8" t="e">
        <f t="shared" ref="Q160:Q197" ca="1" si="20">IF(R161="",I160,IFERROR(I160+R161,0))</f>
        <v>#VALUE!</v>
      </c>
    </row>
    <row r="161" spans="6:17" s="8" customFormat="1" ht="13.2" x14ac:dyDescent="0.25">
      <c r="F161" s="34" t="e">
        <f t="shared" ca="1" si="16"/>
        <v>#VALUE!</v>
      </c>
      <c r="G161" s="23" t="e">
        <f t="shared" ca="1" si="19"/>
        <v>#VALUE!</v>
      </c>
      <c r="H161" s="24" t="str">
        <f t="shared" si="17"/>
        <v/>
      </c>
      <c r="I161" s="25" t="e">
        <f ca="1">IF($G161="Всього:",SUM($I$4:I160),MAX($C$32,K161))</f>
        <v>#VALUE!</v>
      </c>
      <c r="J161" s="25" t="e">
        <f ca="1">IF($G161="Всього:",SUM($J$4:J160),IF(I161-SUM(K161:L161)&lt;0,0,I161-SUM(K161:L161)))</f>
        <v>#VALUE!</v>
      </c>
      <c r="K161" s="25" t="e">
        <f ca="1">IF(G161="Всього:",SUM($K$5:K160),F161*O160/36000*(G161-G160))</f>
        <v>#VALUE!</v>
      </c>
      <c r="L161" s="25" t="e">
        <f ca="1">IF(G161="Всього:",SUM($L$5:L160),$E$4)</f>
        <v>#VALUE!</v>
      </c>
      <c r="M161" s="25" t="e">
        <f ca="1">IF(G161="Всього:",SUM($M$5:M160),IF($E$5="UAH",J161+L161+K161,J161+K161))</f>
        <v>#VALUE!</v>
      </c>
      <c r="N161" s="27" t="e">
        <f ca="1">IF(G161="Всього:",SUM($N$4:N160),IF($E$5="UAH","",L161))</f>
        <v>#VALUE!</v>
      </c>
      <c r="O161" s="25" t="e">
        <f t="shared" ca="1" si="14"/>
        <v>#VALUE!</v>
      </c>
      <c r="P161" s="33" t="e">
        <f t="shared" ca="1" si="15"/>
        <v>#VALUE!</v>
      </c>
      <c r="Q161" s="8" t="e">
        <f t="shared" ca="1" si="20"/>
        <v>#VALUE!</v>
      </c>
    </row>
    <row r="162" spans="6:17" s="8" customFormat="1" ht="13.2" x14ac:dyDescent="0.25">
      <c r="F162" s="34" t="e">
        <f t="shared" ca="1" si="16"/>
        <v>#VALUE!</v>
      </c>
      <c r="G162" s="23" t="e">
        <f t="shared" ca="1" si="19"/>
        <v>#VALUE!</v>
      </c>
      <c r="H162" s="24" t="str">
        <f t="shared" si="17"/>
        <v/>
      </c>
      <c r="I162" s="25" t="e">
        <f ca="1">IF($G162="Всього:",SUM($I$4:I161),MAX($C$32,K162))</f>
        <v>#VALUE!</v>
      </c>
      <c r="J162" s="25" t="e">
        <f ca="1">IF($G162="Всього:",SUM($J$4:J161),IF(I162-SUM(K162:L162)&lt;0,0,I162-SUM(K162:L162)))</f>
        <v>#VALUE!</v>
      </c>
      <c r="K162" s="25" t="e">
        <f ca="1">IF(G162="Всього:",SUM($K$5:K161),F162*O161/36000*(G162-G161))</f>
        <v>#VALUE!</v>
      </c>
      <c r="L162" s="25" t="e">
        <f ca="1">IF(G162="Всього:",SUM($L$5:L161),$E$4)</f>
        <v>#VALUE!</v>
      </c>
      <c r="M162" s="25" t="e">
        <f ca="1">IF(G162="Всього:",SUM($M$5:M161),IF($E$5="UAH",J162+L162+K162,J162+K162))</f>
        <v>#VALUE!</v>
      </c>
      <c r="N162" s="27" t="e">
        <f ca="1">IF(G162="Всього:",SUM($N$4:N161),IF($E$5="UAH","",L162))</f>
        <v>#VALUE!</v>
      </c>
      <c r="O162" s="25" t="e">
        <f t="shared" ca="1" si="14"/>
        <v>#VALUE!</v>
      </c>
      <c r="P162" s="33" t="e">
        <f t="shared" ca="1" si="15"/>
        <v>#VALUE!</v>
      </c>
      <c r="Q162" s="8" t="e">
        <f t="shared" ca="1" si="20"/>
        <v>#VALUE!</v>
      </c>
    </row>
    <row r="163" spans="6:17" s="8" customFormat="1" ht="13.2" x14ac:dyDescent="0.25">
      <c r="F163" s="34" t="e">
        <f t="shared" ca="1" si="16"/>
        <v>#VALUE!</v>
      </c>
      <c r="G163" s="23" t="e">
        <f t="shared" ca="1" si="19"/>
        <v>#VALUE!</v>
      </c>
      <c r="H163" s="24" t="str">
        <f t="shared" si="17"/>
        <v/>
      </c>
      <c r="I163" s="25" t="e">
        <f ca="1">IF($G163="Всього:",SUM($I$4:I162),MAX($C$32,K163))</f>
        <v>#VALUE!</v>
      </c>
      <c r="J163" s="25" t="e">
        <f ca="1">IF($G163="Всього:",SUM($J$4:J162),IF(I163-SUM(K163:L163)&lt;0,0,I163-SUM(K163:L163)))</f>
        <v>#VALUE!</v>
      </c>
      <c r="K163" s="25" t="e">
        <f ca="1">IF(G163="Всього:",SUM($K$5:K162),F163*O162/36000*(G163-G162))</f>
        <v>#VALUE!</v>
      </c>
      <c r="L163" s="25" t="e">
        <f ca="1">IF(G163="Всього:",SUM($L$5:L162),$E$4)</f>
        <v>#VALUE!</v>
      </c>
      <c r="M163" s="25" t="e">
        <f ca="1">IF(G163="Всього:",SUM($M$5:M162),IF($E$5="UAH",J163+L163+K163,J163+K163))</f>
        <v>#VALUE!</v>
      </c>
      <c r="N163" s="27" t="e">
        <f ca="1">IF(G163="Всього:",SUM($N$4:N162),IF($E$5="UAH","",L163))</f>
        <v>#VALUE!</v>
      </c>
      <c r="O163" s="25" t="e">
        <f t="shared" ca="1" si="14"/>
        <v>#VALUE!</v>
      </c>
      <c r="P163" s="33" t="e">
        <f t="shared" ca="1" si="15"/>
        <v>#VALUE!</v>
      </c>
      <c r="Q163" s="8" t="e">
        <f t="shared" ca="1" si="20"/>
        <v>#VALUE!</v>
      </c>
    </row>
    <row r="164" spans="6:17" s="8" customFormat="1" ht="13.2" x14ac:dyDescent="0.25">
      <c r="F164" s="34" t="e">
        <f t="shared" ca="1" si="16"/>
        <v>#VALUE!</v>
      </c>
      <c r="G164" s="23" t="e">
        <f t="shared" ca="1" si="19"/>
        <v>#VALUE!</v>
      </c>
      <c r="H164" s="24" t="str">
        <f t="shared" si="17"/>
        <v/>
      </c>
      <c r="I164" s="25" t="e">
        <f ca="1">IF($G164="Всього:",SUM($I$4:I163),MAX($C$32,K164))</f>
        <v>#VALUE!</v>
      </c>
      <c r="J164" s="25" t="e">
        <f ca="1">IF($G164="Всього:",SUM($J$4:J163),IF(I164-SUM(K164:L164)&lt;0,0,I164-SUM(K164:L164)))</f>
        <v>#VALUE!</v>
      </c>
      <c r="K164" s="25" t="e">
        <f ca="1">IF(G164="Всього:",SUM($K$5:K163),F164*O163/36000*(G164-G163))</f>
        <v>#VALUE!</v>
      </c>
      <c r="L164" s="25" t="e">
        <f ca="1">IF(G164="Всього:",SUM($L$5:L163),$E$4)</f>
        <v>#VALUE!</v>
      </c>
      <c r="M164" s="25" t="e">
        <f ca="1">IF(G164="Всього:",SUM($M$5:M163),IF($E$5="UAH",J164+L164+K164,J164+K164))</f>
        <v>#VALUE!</v>
      </c>
      <c r="N164" s="27" t="e">
        <f ca="1">IF(G164="Всього:",SUM($N$4:N163),IF($E$5="UAH","",L164))</f>
        <v>#VALUE!</v>
      </c>
      <c r="O164" s="25" t="e">
        <f t="shared" ca="1" si="14"/>
        <v>#VALUE!</v>
      </c>
      <c r="P164" s="33" t="e">
        <f t="shared" ca="1" si="15"/>
        <v>#VALUE!</v>
      </c>
      <c r="Q164" s="8" t="e">
        <f t="shared" ca="1" si="20"/>
        <v>#VALUE!</v>
      </c>
    </row>
    <row r="165" spans="6:17" s="8" customFormat="1" ht="13.2" x14ac:dyDescent="0.25">
      <c r="F165" s="34" t="e">
        <f t="shared" ca="1" si="16"/>
        <v>#VALUE!</v>
      </c>
      <c r="G165" s="23" t="e">
        <f t="shared" ca="1" si="19"/>
        <v>#VALUE!</v>
      </c>
      <c r="H165" s="24" t="str">
        <f t="shared" si="17"/>
        <v/>
      </c>
      <c r="I165" s="25" t="e">
        <f ca="1">IF($G165="Всього:",SUM($I$4:I164),MAX($C$32,K165))</f>
        <v>#VALUE!</v>
      </c>
      <c r="J165" s="25" t="e">
        <f ca="1">IF($G165="Всього:",SUM($J$4:J164),IF(I165-SUM(K165:L165)&lt;0,0,I165-SUM(K165:L165)))</f>
        <v>#VALUE!</v>
      </c>
      <c r="K165" s="25" t="e">
        <f ca="1">IF(G165="Всього:",SUM($K$5:K164),F165*O164/36000*(G165-G164))</f>
        <v>#VALUE!</v>
      </c>
      <c r="L165" s="25" t="e">
        <f ca="1">IF(G165="Всього:",SUM($L$5:L164),$E$4)</f>
        <v>#VALUE!</v>
      </c>
      <c r="M165" s="25" t="e">
        <f ca="1">IF(G165="Всього:",SUM($M$5:M164),IF($E$5="UAH",J165+L165+K165,J165+K165))</f>
        <v>#VALUE!</v>
      </c>
      <c r="N165" s="27" t="e">
        <f ca="1">IF(G165="Всього:",SUM($N$4:N164),IF($E$5="UAH","",L165))</f>
        <v>#VALUE!</v>
      </c>
      <c r="O165" s="25" t="e">
        <f t="shared" ca="1" si="14"/>
        <v>#VALUE!</v>
      </c>
      <c r="P165" s="33" t="e">
        <f t="shared" ca="1" si="15"/>
        <v>#VALUE!</v>
      </c>
      <c r="Q165" s="8" t="e">
        <f t="shared" ca="1" si="20"/>
        <v>#VALUE!</v>
      </c>
    </row>
    <row r="166" spans="6:17" s="8" customFormat="1" ht="13.2" x14ac:dyDescent="0.25">
      <c r="F166" s="34" t="e">
        <f t="shared" ca="1" si="16"/>
        <v>#VALUE!</v>
      </c>
      <c r="G166" s="23" t="e">
        <f t="shared" ca="1" si="19"/>
        <v>#VALUE!</v>
      </c>
      <c r="H166" s="24" t="str">
        <f t="shared" si="17"/>
        <v/>
      </c>
      <c r="I166" s="25" t="e">
        <f ca="1">IF($G166="Всього:",SUM($I$4:I165),MAX($C$32,K166))</f>
        <v>#VALUE!</v>
      </c>
      <c r="J166" s="25" t="e">
        <f ca="1">IF($G166="Всього:",SUM($J$4:J165),IF(I166-SUM(K166:L166)&lt;0,0,I166-SUM(K166:L166)))</f>
        <v>#VALUE!</v>
      </c>
      <c r="K166" s="25" t="e">
        <f ca="1">IF(G166="Всього:",SUM($K$5:K165),F166*O165/36000*(G166-G165))</f>
        <v>#VALUE!</v>
      </c>
      <c r="L166" s="25" t="e">
        <f ca="1">IF(G166="Всього:",SUM($L$5:L165),$E$4)</f>
        <v>#VALUE!</v>
      </c>
      <c r="M166" s="25" t="e">
        <f ca="1">IF(G166="Всього:",SUM($M$5:M165),IF($E$5="UAH",J166+L166+K166,J166+K166))</f>
        <v>#VALUE!</v>
      </c>
      <c r="N166" s="27" t="e">
        <f ca="1">IF(G166="Всього:",SUM($N$4:N165),IF($E$5="UAH","",L166))</f>
        <v>#VALUE!</v>
      </c>
      <c r="O166" s="25" t="e">
        <f t="shared" ca="1" si="14"/>
        <v>#VALUE!</v>
      </c>
      <c r="P166" s="33" t="e">
        <f t="shared" ca="1" si="15"/>
        <v>#VALUE!</v>
      </c>
      <c r="Q166" s="8" t="e">
        <f t="shared" ca="1" si="20"/>
        <v>#VALUE!</v>
      </c>
    </row>
    <row r="167" spans="6:17" s="8" customFormat="1" ht="13.2" x14ac:dyDescent="0.25">
      <c r="F167" s="34" t="e">
        <f t="shared" ca="1" si="16"/>
        <v>#VALUE!</v>
      </c>
      <c r="G167" s="23" t="e">
        <f t="shared" ca="1" si="19"/>
        <v>#VALUE!</v>
      </c>
      <c r="H167" s="24" t="str">
        <f t="shared" si="17"/>
        <v/>
      </c>
      <c r="I167" s="25" t="e">
        <f ca="1">IF($G167="Всього:",SUM($I$4:I166),MAX($C$32,K167))</f>
        <v>#VALUE!</v>
      </c>
      <c r="J167" s="25" t="e">
        <f ca="1">IF($G167="Всього:",SUM($J$4:J166),IF(I167-SUM(K167:L167)&lt;0,0,I167-SUM(K167:L167)))</f>
        <v>#VALUE!</v>
      </c>
      <c r="K167" s="25" t="e">
        <f ca="1">IF(G167="Всього:",SUM($K$5:K166),F167*O166/36000*(G167-G166))</f>
        <v>#VALUE!</v>
      </c>
      <c r="L167" s="25" t="e">
        <f ca="1">IF(G167="Всього:",SUM($L$5:L166),$E$4)</f>
        <v>#VALUE!</v>
      </c>
      <c r="M167" s="25" t="e">
        <f ca="1">IF(G167="Всього:",SUM($M$5:M166),IF($E$5="UAH",J167+L167+K167,J167+K167))</f>
        <v>#VALUE!</v>
      </c>
      <c r="N167" s="27" t="e">
        <f ca="1">IF(G167="Всього:",SUM($N$4:N166),IF($E$5="UAH","",L167))</f>
        <v>#VALUE!</v>
      </c>
      <c r="O167" s="25" t="e">
        <f t="shared" ca="1" si="14"/>
        <v>#VALUE!</v>
      </c>
      <c r="P167" s="33" t="e">
        <f t="shared" ca="1" si="15"/>
        <v>#VALUE!</v>
      </c>
      <c r="Q167" s="8" t="e">
        <f t="shared" ca="1" si="20"/>
        <v>#VALUE!</v>
      </c>
    </row>
    <row r="168" spans="6:17" s="8" customFormat="1" ht="13.2" x14ac:dyDescent="0.25">
      <c r="F168" s="34" t="e">
        <f t="shared" ca="1" si="16"/>
        <v>#VALUE!</v>
      </c>
      <c r="G168" s="23" t="e">
        <f t="shared" ca="1" si="19"/>
        <v>#VALUE!</v>
      </c>
      <c r="H168" s="24" t="str">
        <f t="shared" si="17"/>
        <v/>
      </c>
      <c r="I168" s="25" t="e">
        <f ca="1">IF($G168="Всього:",SUM($I$4:I167),MAX($C$32,K168))</f>
        <v>#VALUE!</v>
      </c>
      <c r="J168" s="25" t="e">
        <f ca="1">IF($G168="Всього:",SUM($J$4:J167),IF(I168-SUM(K168:L168)&lt;0,0,I168-SUM(K168:L168)))</f>
        <v>#VALUE!</v>
      </c>
      <c r="K168" s="25" t="e">
        <f ca="1">IF(G168="Всього:",SUM($K$5:K167),F168*O167/36000*(G168-G167))</f>
        <v>#VALUE!</v>
      </c>
      <c r="L168" s="25" t="e">
        <f ca="1">IF(G168="Всього:",SUM($L$5:L167),$E$4)</f>
        <v>#VALUE!</v>
      </c>
      <c r="M168" s="25" t="e">
        <f ca="1">IF(G168="Всього:",SUM($M$5:M167),IF($E$5="UAH",J168+L168+K168,J168+K168))</f>
        <v>#VALUE!</v>
      </c>
      <c r="N168" s="27" t="e">
        <f ca="1">IF(G168="Всього:",SUM($N$4:N167),IF($E$5="UAH","",L168))</f>
        <v>#VALUE!</v>
      </c>
      <c r="O168" s="25" t="e">
        <f t="shared" ca="1" si="14"/>
        <v>#VALUE!</v>
      </c>
      <c r="P168" s="33" t="e">
        <f t="shared" ca="1" si="15"/>
        <v>#VALUE!</v>
      </c>
      <c r="Q168" s="8" t="e">
        <f t="shared" ca="1" si="20"/>
        <v>#VALUE!</v>
      </c>
    </row>
    <row r="169" spans="6:17" s="8" customFormat="1" ht="13.2" x14ac:dyDescent="0.25">
      <c r="F169" s="34" t="e">
        <f t="shared" ca="1" si="16"/>
        <v>#VALUE!</v>
      </c>
      <c r="G169" s="23" t="e">
        <f t="shared" ca="1" si="19"/>
        <v>#VALUE!</v>
      </c>
      <c r="H169" s="24" t="str">
        <f t="shared" si="17"/>
        <v/>
      </c>
      <c r="I169" s="25" t="e">
        <f ca="1">IF($G169="Всього:",SUM($I$4:I168),MAX($C$32,K169))</f>
        <v>#VALUE!</v>
      </c>
      <c r="J169" s="25" t="e">
        <f ca="1">IF($G169="Всього:",SUM($J$4:J168),IF(I169-SUM(K169:L169)&lt;0,0,I169-SUM(K169:L169)))</f>
        <v>#VALUE!</v>
      </c>
      <c r="K169" s="25" t="e">
        <f ca="1">IF(G169="Всього:",SUM($K$5:K168),F169*O168/36000*(G169-G168))</f>
        <v>#VALUE!</v>
      </c>
      <c r="L169" s="25" t="e">
        <f ca="1">IF(G169="Всього:",SUM($L$5:L168),$E$4)</f>
        <v>#VALUE!</v>
      </c>
      <c r="M169" s="25" t="e">
        <f ca="1">IF(G169="Всього:",SUM($M$5:M168),IF($E$5="UAH",J169+L169+K169,J169+K169))</f>
        <v>#VALUE!</v>
      </c>
      <c r="N169" s="27" t="e">
        <f ca="1">IF(G169="Всього:",SUM($N$4:N168),IF($E$5="UAH","",L169))</f>
        <v>#VALUE!</v>
      </c>
      <c r="O169" s="25" t="e">
        <f t="shared" ca="1" si="14"/>
        <v>#VALUE!</v>
      </c>
      <c r="P169" s="33" t="e">
        <f t="shared" ca="1" si="15"/>
        <v>#VALUE!</v>
      </c>
      <c r="Q169" s="8" t="e">
        <f t="shared" ca="1" si="20"/>
        <v>#VALUE!</v>
      </c>
    </row>
    <row r="170" spans="6:17" s="8" customFormat="1" ht="13.2" x14ac:dyDescent="0.25">
      <c r="F170" s="34" t="e">
        <f t="shared" ca="1" si="16"/>
        <v>#VALUE!</v>
      </c>
      <c r="G170" s="23" t="e">
        <f t="shared" ca="1" si="19"/>
        <v>#VALUE!</v>
      </c>
      <c r="H170" s="24" t="str">
        <f t="shared" si="17"/>
        <v/>
      </c>
      <c r="I170" s="25" t="e">
        <f ca="1">IF($G170="Всього:",SUM($I$4:I169),MAX($C$32,K170))</f>
        <v>#VALUE!</v>
      </c>
      <c r="J170" s="25" t="e">
        <f ca="1">IF($G170="Всього:",SUM($J$4:J169),IF(I170-SUM(K170:L170)&lt;0,0,I170-SUM(K170:L170)))</f>
        <v>#VALUE!</v>
      </c>
      <c r="K170" s="25" t="e">
        <f ca="1">IF(G170="Всього:",SUM($K$5:K169),F170*O169/36000*(G170-G169))</f>
        <v>#VALUE!</v>
      </c>
      <c r="L170" s="25" t="e">
        <f ca="1">IF(G170="Всього:",SUM($L$5:L169),$E$4)</f>
        <v>#VALUE!</v>
      </c>
      <c r="M170" s="25" t="e">
        <f ca="1">IF(G170="Всього:",SUM($M$5:M169),IF($E$5="UAH",J170+L170+K170,J170+K170))</f>
        <v>#VALUE!</v>
      </c>
      <c r="N170" s="27" t="e">
        <f ca="1">IF(G170="Всього:",SUM($N$4:N169),IF($E$5="UAH","",L170))</f>
        <v>#VALUE!</v>
      </c>
      <c r="O170" s="25" t="e">
        <f t="shared" ca="1" si="14"/>
        <v>#VALUE!</v>
      </c>
      <c r="P170" s="33" t="e">
        <f t="shared" ca="1" si="15"/>
        <v>#VALUE!</v>
      </c>
      <c r="Q170" s="8" t="e">
        <f t="shared" ca="1" si="20"/>
        <v>#VALUE!</v>
      </c>
    </row>
    <row r="171" spans="6:17" s="8" customFormat="1" ht="13.2" x14ac:dyDescent="0.25">
      <c r="F171" s="34" t="e">
        <f t="shared" ca="1" si="16"/>
        <v>#VALUE!</v>
      </c>
      <c r="G171" s="23" t="e">
        <f t="shared" ca="1" si="19"/>
        <v>#VALUE!</v>
      </c>
      <c r="H171" s="24" t="str">
        <f t="shared" si="17"/>
        <v/>
      </c>
      <c r="I171" s="25" t="e">
        <f ca="1">IF($G171="Всього:",SUM($I$4:I170),MAX($C$32,K171))</f>
        <v>#VALUE!</v>
      </c>
      <c r="J171" s="25" t="e">
        <f ca="1">IF($G171="Всього:",SUM($J$4:J170),IF(I171-SUM(K171:L171)&lt;0,0,I171-SUM(K171:L171)))</f>
        <v>#VALUE!</v>
      </c>
      <c r="K171" s="25" t="e">
        <f ca="1">IF(G171="Всього:",SUM($K$5:K170),F171*O170/36000*(G171-G170))</f>
        <v>#VALUE!</v>
      </c>
      <c r="L171" s="25" t="e">
        <f ca="1">IF(G171="Всього:",SUM($L$5:L170),$E$4)</f>
        <v>#VALUE!</v>
      </c>
      <c r="M171" s="25" t="e">
        <f ca="1">IF(G171="Всього:",SUM($M$5:M170),IF($E$5="UAH",J171+L171+K171,J171+K171))</f>
        <v>#VALUE!</v>
      </c>
      <c r="N171" s="27" t="e">
        <f ca="1">IF(G171="Всього:",SUM($N$4:N170),IF($E$5="UAH","",L171))</f>
        <v>#VALUE!</v>
      </c>
      <c r="O171" s="25" t="e">
        <f t="shared" ca="1" si="14"/>
        <v>#VALUE!</v>
      </c>
      <c r="P171" s="33" t="e">
        <f t="shared" ca="1" si="15"/>
        <v>#VALUE!</v>
      </c>
      <c r="Q171" s="8" t="e">
        <f t="shared" ca="1" si="20"/>
        <v>#VALUE!</v>
      </c>
    </row>
    <row r="172" spans="6:17" s="8" customFormat="1" ht="13.2" x14ac:dyDescent="0.25">
      <c r="F172" s="34" t="e">
        <f t="shared" ca="1" si="16"/>
        <v>#VALUE!</v>
      </c>
      <c r="G172" s="23" t="e">
        <f t="shared" ca="1" si="19"/>
        <v>#VALUE!</v>
      </c>
      <c r="H172" s="24" t="str">
        <f t="shared" si="17"/>
        <v/>
      </c>
      <c r="I172" s="25" t="e">
        <f ca="1">IF($G172="Всього:",SUM($I$4:I171),MAX($C$32,K172))</f>
        <v>#VALUE!</v>
      </c>
      <c r="J172" s="25" t="e">
        <f ca="1">IF($G172="Всього:",SUM($J$4:J171),IF(I172-SUM(K172:L172)&lt;0,0,I172-SUM(K172:L172)))</f>
        <v>#VALUE!</v>
      </c>
      <c r="K172" s="25" t="e">
        <f ca="1">IF(G172="Всього:",SUM($K$5:K171),F172*O171/36000*(G172-G171))</f>
        <v>#VALUE!</v>
      </c>
      <c r="L172" s="25" t="e">
        <f ca="1">IF(G172="Всього:",SUM($L$5:L171),$E$4)</f>
        <v>#VALUE!</v>
      </c>
      <c r="M172" s="25" t="e">
        <f ca="1">IF(G172="Всього:",SUM($M$5:M171),IF($E$5="UAH",J172+L172+K172,J172+K172))</f>
        <v>#VALUE!</v>
      </c>
      <c r="N172" s="27" t="e">
        <f ca="1">IF(G172="Всього:",SUM($N$4:N171),IF($E$5="UAH","",L172))</f>
        <v>#VALUE!</v>
      </c>
      <c r="O172" s="25" t="e">
        <f t="shared" ca="1" si="14"/>
        <v>#VALUE!</v>
      </c>
      <c r="P172" s="33" t="e">
        <f t="shared" ca="1" si="15"/>
        <v>#VALUE!</v>
      </c>
      <c r="Q172" s="8" t="e">
        <f t="shared" ca="1" si="20"/>
        <v>#VALUE!</v>
      </c>
    </row>
    <row r="173" spans="6:17" s="8" customFormat="1" ht="13.2" x14ac:dyDescent="0.25">
      <c r="F173" s="34" t="e">
        <f t="shared" ca="1" si="16"/>
        <v>#VALUE!</v>
      </c>
      <c r="G173" s="23" t="e">
        <f t="shared" ca="1" si="19"/>
        <v>#VALUE!</v>
      </c>
      <c r="H173" s="24" t="str">
        <f t="shared" si="17"/>
        <v/>
      </c>
      <c r="I173" s="25" t="e">
        <f ca="1">IF($G173="Всього:",SUM($I$4:I172),MAX($C$32,K173))</f>
        <v>#VALUE!</v>
      </c>
      <c r="J173" s="25" t="e">
        <f ca="1">IF($G173="Всього:",SUM($J$4:J172),IF(I173-SUM(K173:L173)&lt;0,0,I173-SUM(K173:L173)))</f>
        <v>#VALUE!</v>
      </c>
      <c r="K173" s="25" t="e">
        <f ca="1">IF(G173="Всього:",SUM($K$5:K172),F173*O172/36000*(G173-G172))</f>
        <v>#VALUE!</v>
      </c>
      <c r="L173" s="25" t="e">
        <f ca="1">IF(G173="Всього:",SUM($L$5:L172),$E$4)</f>
        <v>#VALUE!</v>
      </c>
      <c r="M173" s="25" t="e">
        <f ca="1">IF(G173="Всього:",SUM($M$5:M172),IF($E$5="UAH",J173+L173+K173,J173+K173))</f>
        <v>#VALUE!</v>
      </c>
      <c r="N173" s="27" t="e">
        <f ca="1">IF(G173="Всього:",SUM($N$4:N172),IF($E$5="UAH","",L173))</f>
        <v>#VALUE!</v>
      </c>
      <c r="O173" s="25" t="e">
        <f t="shared" ca="1" si="14"/>
        <v>#VALUE!</v>
      </c>
      <c r="P173" s="33" t="e">
        <f t="shared" ca="1" si="15"/>
        <v>#VALUE!</v>
      </c>
      <c r="Q173" s="8" t="e">
        <f t="shared" ca="1" si="20"/>
        <v>#VALUE!</v>
      </c>
    </row>
    <row r="174" spans="6:17" s="8" customFormat="1" ht="13.2" x14ac:dyDescent="0.25">
      <c r="F174" s="34" t="e">
        <f t="shared" ca="1" si="16"/>
        <v>#VALUE!</v>
      </c>
      <c r="G174" s="23" t="e">
        <f t="shared" ca="1" si="19"/>
        <v>#VALUE!</v>
      </c>
      <c r="H174" s="24" t="str">
        <f t="shared" si="17"/>
        <v/>
      </c>
      <c r="I174" s="25" t="e">
        <f ca="1">IF($G174="Всього:",SUM($I$4:I173),MAX($C$32,K174))</f>
        <v>#VALUE!</v>
      </c>
      <c r="J174" s="25" t="e">
        <f ca="1">IF($G174="Всього:",SUM($J$4:J173),IF(I174-SUM(K174:L174)&lt;0,0,I174-SUM(K174:L174)))</f>
        <v>#VALUE!</v>
      </c>
      <c r="K174" s="25" t="e">
        <f ca="1">IF(G174="Всього:",SUM($K$5:K173),F174*O173/36000*(G174-G173))</f>
        <v>#VALUE!</v>
      </c>
      <c r="L174" s="25" t="e">
        <f ca="1">IF(G174="Всього:",SUM($L$5:L173),$E$4)</f>
        <v>#VALUE!</v>
      </c>
      <c r="M174" s="25" t="e">
        <f ca="1">IF(G174="Всього:",SUM($M$5:M173),IF($E$5="UAH",J174+L174+K174,J174+K174))</f>
        <v>#VALUE!</v>
      </c>
      <c r="N174" s="27" t="e">
        <f ca="1">IF(G174="Всього:",SUM($N$4:N173),IF($E$5="UAH","",L174))</f>
        <v>#VALUE!</v>
      </c>
      <c r="O174" s="25" t="e">
        <f t="shared" ca="1" si="14"/>
        <v>#VALUE!</v>
      </c>
      <c r="P174" s="33" t="e">
        <f t="shared" ca="1" si="15"/>
        <v>#VALUE!</v>
      </c>
      <c r="Q174" s="8" t="e">
        <f t="shared" ca="1" si="20"/>
        <v>#VALUE!</v>
      </c>
    </row>
    <row r="175" spans="6:17" s="8" customFormat="1" ht="13.2" x14ac:dyDescent="0.25">
      <c r="F175" s="34" t="e">
        <f t="shared" ca="1" si="16"/>
        <v>#VALUE!</v>
      </c>
      <c r="G175" s="23" t="e">
        <f t="shared" ca="1" si="19"/>
        <v>#VALUE!</v>
      </c>
      <c r="H175" s="24" t="str">
        <f t="shared" si="17"/>
        <v/>
      </c>
      <c r="I175" s="25" t="e">
        <f ca="1">IF($G175="Всього:",SUM($I$4:I174),MAX($C$32,K175))</f>
        <v>#VALUE!</v>
      </c>
      <c r="J175" s="25" t="e">
        <f ca="1">IF($G175="Всього:",SUM($J$4:J174),IF(I175-SUM(K175:L175)&lt;0,0,I175-SUM(K175:L175)))</f>
        <v>#VALUE!</v>
      </c>
      <c r="K175" s="25" t="e">
        <f ca="1">IF(G175="Всього:",SUM($K$5:K174),F175*O174/36000*(G175-G174))</f>
        <v>#VALUE!</v>
      </c>
      <c r="L175" s="25" t="e">
        <f ca="1">IF(G175="Всього:",SUM($L$5:L174),$E$4)</f>
        <v>#VALUE!</v>
      </c>
      <c r="M175" s="25" t="e">
        <f ca="1">IF(G175="Всього:",SUM($M$5:M174),IF($E$5="UAH",J175+L175+K175,J175+K175))</f>
        <v>#VALUE!</v>
      </c>
      <c r="N175" s="27" t="e">
        <f ca="1">IF(G175="Всього:",SUM($N$4:N174),IF($E$5="UAH","",L175))</f>
        <v>#VALUE!</v>
      </c>
      <c r="O175" s="25" t="e">
        <f t="shared" ca="1" si="14"/>
        <v>#VALUE!</v>
      </c>
      <c r="P175" s="33" t="e">
        <f t="shared" ca="1" si="15"/>
        <v>#VALUE!</v>
      </c>
      <c r="Q175" s="8" t="e">
        <f t="shared" ca="1" si="20"/>
        <v>#VALUE!</v>
      </c>
    </row>
    <row r="176" spans="6:17" s="8" customFormat="1" ht="13.2" x14ac:dyDescent="0.25">
      <c r="F176" s="34" t="e">
        <f t="shared" ca="1" si="16"/>
        <v>#VALUE!</v>
      </c>
      <c r="G176" s="23" t="e">
        <f t="shared" ca="1" si="19"/>
        <v>#VALUE!</v>
      </c>
      <c r="H176" s="24" t="str">
        <f t="shared" si="17"/>
        <v/>
      </c>
      <c r="I176" s="25" t="e">
        <f ca="1">IF($G176="Всього:",SUM($I$4:I175),MAX($C$32,K176))</f>
        <v>#VALUE!</v>
      </c>
      <c r="J176" s="25" t="e">
        <f ca="1">IF($G176="Всього:",SUM($J$4:J175),IF(I176-SUM(K176:L176)&lt;0,0,I176-SUM(K176:L176)))</f>
        <v>#VALUE!</v>
      </c>
      <c r="K176" s="25" t="e">
        <f ca="1">IF(G176="Всього:",SUM($K$5:K175),F176*O175/36000*(G176-G175))</f>
        <v>#VALUE!</v>
      </c>
      <c r="L176" s="25" t="e">
        <f ca="1">IF(G176="Всього:",SUM($L$5:L175),$E$4)</f>
        <v>#VALUE!</v>
      </c>
      <c r="M176" s="25" t="e">
        <f ca="1">IF(G176="Всього:",SUM($M$5:M175),IF($E$5="UAH",J176+L176+K176,J176+K176))</f>
        <v>#VALUE!</v>
      </c>
      <c r="N176" s="27" t="e">
        <f ca="1">IF(G176="Всього:",SUM($N$4:N175),IF($E$5="UAH","",L176))</f>
        <v>#VALUE!</v>
      </c>
      <c r="O176" s="25" t="e">
        <f t="shared" ca="1" si="14"/>
        <v>#VALUE!</v>
      </c>
      <c r="P176" s="33" t="e">
        <f t="shared" ca="1" si="15"/>
        <v>#VALUE!</v>
      </c>
      <c r="Q176" s="8" t="e">
        <f t="shared" ca="1" si="20"/>
        <v>#VALUE!</v>
      </c>
    </row>
    <row r="177" spans="6:17" s="8" customFormat="1" ht="13.2" x14ac:dyDescent="0.25">
      <c r="F177" s="34" t="e">
        <f t="shared" ca="1" si="16"/>
        <v>#VALUE!</v>
      </c>
      <c r="G177" s="23" t="e">
        <f t="shared" ca="1" si="19"/>
        <v>#VALUE!</v>
      </c>
      <c r="H177" s="24" t="str">
        <f t="shared" si="17"/>
        <v/>
      </c>
      <c r="I177" s="25" t="e">
        <f ca="1">IF($G177="Всього:",SUM($I$4:I176),MAX($C$32,K177))</f>
        <v>#VALUE!</v>
      </c>
      <c r="J177" s="25" t="e">
        <f ca="1">IF($G177="Всього:",SUM($J$4:J176),IF(I177-SUM(K177:L177)&lt;0,0,I177-SUM(K177:L177)))</f>
        <v>#VALUE!</v>
      </c>
      <c r="K177" s="25" t="e">
        <f ca="1">IF(G177="Всього:",SUM($K$5:K176),F177*O176/36000*(G177-G176))</f>
        <v>#VALUE!</v>
      </c>
      <c r="L177" s="25" t="e">
        <f ca="1">IF(G177="Всього:",SUM($L$5:L176),$E$4)</f>
        <v>#VALUE!</v>
      </c>
      <c r="M177" s="25" t="e">
        <f ca="1">IF(G177="Всього:",SUM($M$5:M176),IF($E$5="UAH",J177+L177+K177,J177+K177))</f>
        <v>#VALUE!</v>
      </c>
      <c r="N177" s="27" t="e">
        <f ca="1">IF(G177="Всього:",SUM($N$4:N176),IF($E$5="UAH","",L177))</f>
        <v>#VALUE!</v>
      </c>
      <c r="O177" s="25" t="e">
        <f t="shared" ca="1" si="14"/>
        <v>#VALUE!</v>
      </c>
      <c r="P177" s="33" t="e">
        <f t="shared" ca="1" si="15"/>
        <v>#VALUE!</v>
      </c>
      <c r="Q177" s="8" t="e">
        <f t="shared" ca="1" si="20"/>
        <v>#VALUE!</v>
      </c>
    </row>
    <row r="178" spans="6:17" s="8" customFormat="1" ht="13.2" x14ac:dyDescent="0.25">
      <c r="F178" s="34" t="e">
        <f t="shared" ca="1" si="16"/>
        <v>#VALUE!</v>
      </c>
      <c r="G178" s="23" t="e">
        <f t="shared" ca="1" si="19"/>
        <v>#VALUE!</v>
      </c>
      <c r="H178" s="24" t="str">
        <f t="shared" si="17"/>
        <v/>
      </c>
      <c r="I178" s="25" t="e">
        <f ca="1">IF($G178="Всього:",SUM($I$4:I177),MAX($C$32,K178))</f>
        <v>#VALUE!</v>
      </c>
      <c r="J178" s="25" t="e">
        <f ca="1">IF($G178="Всього:",SUM($J$4:J177),IF(I178-SUM(K178:L178)&lt;0,0,I178-SUM(K178:L178)))</f>
        <v>#VALUE!</v>
      </c>
      <c r="K178" s="25" t="e">
        <f ca="1">IF(G178="Всього:",SUM($K$5:K177),F178*O177/36000*(G178-G177))</f>
        <v>#VALUE!</v>
      </c>
      <c r="L178" s="25" t="e">
        <f ca="1">IF(G178="Всього:",SUM($L$5:L177),$E$4)</f>
        <v>#VALUE!</v>
      </c>
      <c r="M178" s="25" t="e">
        <f ca="1">IF(G178="Всього:",SUM($M$5:M177),IF($E$5="UAH",J178+L178+K178,J178+K178))</f>
        <v>#VALUE!</v>
      </c>
      <c r="N178" s="27" t="e">
        <f ca="1">IF(G178="Всього:",SUM($N$4:N177),IF($E$5="UAH","",L178))</f>
        <v>#VALUE!</v>
      </c>
      <c r="O178" s="25" t="e">
        <f t="shared" ca="1" si="14"/>
        <v>#VALUE!</v>
      </c>
      <c r="P178" s="33" t="e">
        <f t="shared" ca="1" si="15"/>
        <v>#VALUE!</v>
      </c>
      <c r="Q178" s="8" t="e">
        <f t="shared" ca="1" si="20"/>
        <v>#VALUE!</v>
      </c>
    </row>
    <row r="179" spans="6:17" s="8" customFormat="1" ht="13.2" x14ac:dyDescent="0.25">
      <c r="F179" s="34" t="e">
        <f t="shared" ca="1" si="16"/>
        <v>#VALUE!</v>
      </c>
      <c r="G179" s="23" t="e">
        <f t="shared" ca="1" si="19"/>
        <v>#VALUE!</v>
      </c>
      <c r="H179" s="24" t="str">
        <f t="shared" si="17"/>
        <v/>
      </c>
      <c r="I179" s="25" t="e">
        <f ca="1">IF($G179="Всього:",SUM($I$4:I178),MAX($C$32,K179))</f>
        <v>#VALUE!</v>
      </c>
      <c r="J179" s="25" t="e">
        <f ca="1">IF($G179="Всього:",SUM($J$4:J178),IF(I179-SUM(K179:L179)&lt;0,0,I179-SUM(K179:L179)))</f>
        <v>#VALUE!</v>
      </c>
      <c r="K179" s="25" t="e">
        <f ca="1">IF(G179="Всього:",SUM($K$5:K178),F179*O178/36000*(G179-G178))</f>
        <v>#VALUE!</v>
      </c>
      <c r="L179" s="25" t="e">
        <f ca="1">IF(G179="Всього:",SUM($L$5:L178),$E$4)</f>
        <v>#VALUE!</v>
      </c>
      <c r="M179" s="25" t="e">
        <f ca="1">IF(G179="Всього:",SUM($M$5:M178),IF($E$5="UAH",J179+L179+K179,J179+K179))</f>
        <v>#VALUE!</v>
      </c>
      <c r="N179" s="27" t="e">
        <f ca="1">IF(G179="Всього:",SUM($N$4:N178),IF($E$5="UAH","",L179))</f>
        <v>#VALUE!</v>
      </c>
      <c r="O179" s="25" t="e">
        <f t="shared" ca="1" si="14"/>
        <v>#VALUE!</v>
      </c>
      <c r="P179" s="33" t="e">
        <f t="shared" ca="1" si="15"/>
        <v>#VALUE!</v>
      </c>
      <c r="Q179" s="8" t="e">
        <f t="shared" ca="1" si="20"/>
        <v>#VALUE!</v>
      </c>
    </row>
    <row r="180" spans="6:17" s="8" customFormat="1" ht="13.2" x14ac:dyDescent="0.25">
      <c r="F180" s="34" t="e">
        <f t="shared" ca="1" si="16"/>
        <v>#VALUE!</v>
      </c>
      <c r="G180" s="23" t="e">
        <f t="shared" ca="1" si="19"/>
        <v>#VALUE!</v>
      </c>
      <c r="H180" s="24" t="str">
        <f t="shared" si="17"/>
        <v/>
      </c>
      <c r="I180" s="25" t="e">
        <f ca="1">IF($G180="Всього:",SUM($I$4:I179),MAX($C$32,K180))</f>
        <v>#VALUE!</v>
      </c>
      <c r="J180" s="25" t="e">
        <f ca="1">IF($G180="Всього:",SUM($J$4:J179),IF(I180-SUM(K180:L180)&lt;0,0,I180-SUM(K180:L180)))</f>
        <v>#VALUE!</v>
      </c>
      <c r="K180" s="25" t="e">
        <f ca="1">IF(G180="Всього:",SUM($K$5:K179),F180*O179/36000*(G180-G179))</f>
        <v>#VALUE!</v>
      </c>
      <c r="L180" s="25" t="e">
        <f ca="1">IF(G180="Всього:",SUM($L$5:L179),$E$4)</f>
        <v>#VALUE!</v>
      </c>
      <c r="M180" s="25" t="e">
        <f ca="1">IF(G180="Всього:",SUM($M$5:M179),IF($E$5="UAH",J180+L180+K180,J180+K180))</f>
        <v>#VALUE!</v>
      </c>
      <c r="N180" s="27" t="e">
        <f ca="1">IF(G180="Всього:",SUM($N$4:N179),IF($E$5="UAH","",L180))</f>
        <v>#VALUE!</v>
      </c>
      <c r="O180" s="25" t="e">
        <f t="shared" ca="1" si="14"/>
        <v>#VALUE!</v>
      </c>
      <c r="P180" s="33" t="e">
        <f t="shared" ca="1" si="15"/>
        <v>#VALUE!</v>
      </c>
      <c r="Q180" s="8" t="e">
        <f t="shared" ca="1" si="20"/>
        <v>#VALUE!</v>
      </c>
    </row>
    <row r="181" spans="6:17" s="8" customFormat="1" ht="13.2" x14ac:dyDescent="0.25">
      <c r="F181" s="34" t="e">
        <f t="shared" ca="1" si="16"/>
        <v>#VALUE!</v>
      </c>
      <c r="G181" s="23" t="e">
        <f t="shared" ca="1" si="19"/>
        <v>#VALUE!</v>
      </c>
      <c r="H181" s="24" t="str">
        <f t="shared" si="17"/>
        <v/>
      </c>
      <c r="I181" s="25" t="e">
        <f ca="1">IF($G181="Всього:",SUM($I$4:I180),MAX($C$32,K181))</f>
        <v>#VALUE!</v>
      </c>
      <c r="J181" s="25" t="e">
        <f ca="1">IF($G181="Всього:",SUM($J$4:J180),IF(I181-SUM(K181:L181)&lt;0,0,I181-SUM(K181:L181)))</f>
        <v>#VALUE!</v>
      </c>
      <c r="K181" s="25" t="e">
        <f ca="1">IF(G181="Всього:",SUM($K$5:K180),F181*O180/36000*(G181-G180))</f>
        <v>#VALUE!</v>
      </c>
      <c r="L181" s="25" t="e">
        <f ca="1">IF(G181="Всього:",SUM($L$5:L180),$E$4)</f>
        <v>#VALUE!</v>
      </c>
      <c r="M181" s="25" t="e">
        <f ca="1">IF(G181="Всього:",SUM($M$5:M180),IF($E$5="UAH",J181+L181+K181,J181+K181))</f>
        <v>#VALUE!</v>
      </c>
      <c r="N181" s="27" t="e">
        <f ca="1">IF(G181="Всього:",SUM($N$4:N180),IF($E$5="UAH","",L181))</f>
        <v>#VALUE!</v>
      </c>
      <c r="O181" s="25" t="e">
        <f t="shared" ca="1" si="14"/>
        <v>#VALUE!</v>
      </c>
      <c r="P181" s="33" t="e">
        <f t="shared" ca="1" si="15"/>
        <v>#VALUE!</v>
      </c>
      <c r="Q181" s="8" t="e">
        <f t="shared" ca="1" si="20"/>
        <v>#VALUE!</v>
      </c>
    </row>
    <row r="182" spans="6:17" s="8" customFormat="1" ht="13.2" x14ac:dyDescent="0.25">
      <c r="F182" s="34" t="e">
        <f t="shared" ca="1" si="16"/>
        <v>#VALUE!</v>
      </c>
      <c r="G182" s="23" t="e">
        <f t="shared" ca="1" si="19"/>
        <v>#VALUE!</v>
      </c>
      <c r="H182" s="24" t="str">
        <f t="shared" si="17"/>
        <v/>
      </c>
      <c r="I182" s="25" t="e">
        <f ca="1">IF($G182="Всього:",SUM($I$4:I181),MAX($C$32,K182))</f>
        <v>#VALUE!</v>
      </c>
      <c r="J182" s="25" t="e">
        <f ca="1">IF($G182="Всього:",SUM($J$4:J181),IF(I182-SUM(K182:L182)&lt;0,0,I182-SUM(K182:L182)))</f>
        <v>#VALUE!</v>
      </c>
      <c r="K182" s="25" t="e">
        <f ca="1">IF(G182="Всього:",SUM($K$5:K181),F182*O181/36000*(G182-G181))</f>
        <v>#VALUE!</v>
      </c>
      <c r="L182" s="25" t="e">
        <f ca="1">IF(G182="Всього:",SUM($L$5:L181),$E$4)</f>
        <v>#VALUE!</v>
      </c>
      <c r="M182" s="25" t="e">
        <f ca="1">IF(G182="Всього:",SUM($M$5:M181),IF($E$5="UAH",J182+L182+K182,J182+K182))</f>
        <v>#VALUE!</v>
      </c>
      <c r="N182" s="27" t="e">
        <f ca="1">IF(G182="Всього:",SUM($N$4:N181),IF($E$5="UAH","",L182))</f>
        <v>#VALUE!</v>
      </c>
      <c r="O182" s="25" t="e">
        <f t="shared" ca="1" si="14"/>
        <v>#VALUE!</v>
      </c>
      <c r="P182" s="33" t="e">
        <f t="shared" ca="1" si="15"/>
        <v>#VALUE!</v>
      </c>
      <c r="Q182" s="8" t="e">
        <f t="shared" ca="1" si="20"/>
        <v>#VALUE!</v>
      </c>
    </row>
    <row r="183" spans="6:17" s="8" customFormat="1" ht="13.2" x14ac:dyDescent="0.25">
      <c r="F183" s="34" t="e">
        <f t="shared" ca="1" si="16"/>
        <v>#VALUE!</v>
      </c>
      <c r="G183" s="23" t="e">
        <f t="shared" ca="1" si="19"/>
        <v>#VALUE!</v>
      </c>
      <c r="H183" s="24" t="str">
        <f t="shared" si="17"/>
        <v/>
      </c>
      <c r="I183" s="25" t="e">
        <f ca="1">IF($G183="Всього:",SUM($I$4:I182),MAX($C$32,K183))</f>
        <v>#VALUE!</v>
      </c>
      <c r="J183" s="25" t="e">
        <f ca="1">IF($G183="Всього:",SUM($J$4:J182),IF(I183-SUM(K183:L183)&lt;0,0,I183-SUM(K183:L183)))</f>
        <v>#VALUE!</v>
      </c>
      <c r="K183" s="25" t="e">
        <f ca="1">IF(G183="Всього:",SUM($K$5:K182),F183*O182/36000*(G183-G182))</f>
        <v>#VALUE!</v>
      </c>
      <c r="L183" s="25" t="e">
        <f ca="1">IF(G183="Всього:",SUM($L$5:L182),$E$4)</f>
        <v>#VALUE!</v>
      </c>
      <c r="M183" s="25" t="e">
        <f ca="1">IF(G183="Всього:",SUM($M$5:M182),IF($E$5="UAH",J183+L183+K183,J183+K183))</f>
        <v>#VALUE!</v>
      </c>
      <c r="N183" s="27" t="e">
        <f ca="1">IF(G183="Всього:",SUM($N$4:N182),IF($E$5="UAH","",L183))</f>
        <v>#VALUE!</v>
      </c>
      <c r="O183" s="25" t="e">
        <f t="shared" ca="1" si="14"/>
        <v>#VALUE!</v>
      </c>
      <c r="P183" s="33" t="e">
        <f t="shared" ca="1" si="15"/>
        <v>#VALUE!</v>
      </c>
      <c r="Q183" s="8" t="e">
        <f t="shared" ca="1" si="20"/>
        <v>#VALUE!</v>
      </c>
    </row>
    <row r="184" spans="6:17" s="8" customFormat="1" ht="13.2" x14ac:dyDescent="0.25">
      <c r="F184" s="34" t="e">
        <f t="shared" ca="1" si="16"/>
        <v>#VALUE!</v>
      </c>
      <c r="G184" s="23" t="e">
        <f t="shared" ca="1" si="19"/>
        <v>#VALUE!</v>
      </c>
      <c r="H184" s="24" t="str">
        <f t="shared" si="17"/>
        <v/>
      </c>
      <c r="I184" s="25" t="e">
        <f ca="1">IF($G184="Всього:",SUM($I$4:I183),MAX($C$32,K184))</f>
        <v>#VALUE!</v>
      </c>
      <c r="J184" s="25" t="e">
        <f ca="1">IF($G184="Всього:",SUM($J$4:J183),IF(I184-SUM(K184:L184)&lt;0,0,I184-SUM(K184:L184)))</f>
        <v>#VALUE!</v>
      </c>
      <c r="K184" s="25" t="e">
        <f ca="1">IF(G184="Всього:",SUM($K$5:K183),F184*O183/36000*(G184-G183))</f>
        <v>#VALUE!</v>
      </c>
      <c r="L184" s="25" t="e">
        <f ca="1">IF(G184="Всього:",SUM($L$5:L183),$E$4)</f>
        <v>#VALUE!</v>
      </c>
      <c r="M184" s="25" t="e">
        <f ca="1">IF(G184="Всього:",SUM($M$5:M183),IF($E$5="UAH",J184+L184+K184,J184+K184))</f>
        <v>#VALUE!</v>
      </c>
      <c r="N184" s="27" t="e">
        <f ca="1">IF(G184="Всього:",SUM($N$4:N183),IF($E$5="UAH","",L184))</f>
        <v>#VALUE!</v>
      </c>
      <c r="O184" s="25" t="e">
        <f t="shared" ca="1" si="14"/>
        <v>#VALUE!</v>
      </c>
      <c r="P184" s="33" t="e">
        <f t="shared" ca="1" si="15"/>
        <v>#VALUE!</v>
      </c>
      <c r="Q184" s="8" t="e">
        <f t="shared" ca="1" si="20"/>
        <v>#VALUE!</v>
      </c>
    </row>
    <row r="185" spans="6:17" s="8" customFormat="1" ht="13.2" x14ac:dyDescent="0.25">
      <c r="F185" s="34" t="e">
        <f t="shared" ca="1" si="16"/>
        <v>#VALUE!</v>
      </c>
      <c r="G185" s="23" t="e">
        <f t="shared" ca="1" si="19"/>
        <v>#VALUE!</v>
      </c>
      <c r="H185" s="24" t="str">
        <f t="shared" si="17"/>
        <v/>
      </c>
      <c r="I185" s="25" t="e">
        <f ca="1">IF($G185="Всього:",SUM($I$4:I184),MAX($C$32,K185))</f>
        <v>#VALUE!</v>
      </c>
      <c r="J185" s="25" t="e">
        <f ca="1">IF($G185="Всього:",SUM($J$4:J184),IF(I185-SUM(K185:L185)&lt;0,0,I185-SUM(K185:L185)))</f>
        <v>#VALUE!</v>
      </c>
      <c r="K185" s="25" t="e">
        <f ca="1">IF(G185="Всього:",SUM($K$5:K184),F185*O184/36000*(G185-G184))</f>
        <v>#VALUE!</v>
      </c>
      <c r="L185" s="25" t="e">
        <f ca="1">IF(G185="Всього:",SUM($L$5:L184),$E$4)</f>
        <v>#VALUE!</v>
      </c>
      <c r="M185" s="25" t="e">
        <f ca="1">IF(G185="Всього:",SUM($M$5:M184),IF($E$5="UAH",J185+L185+K185,J185+K185))</f>
        <v>#VALUE!</v>
      </c>
      <c r="N185" s="27" t="e">
        <f ca="1">IF(G185="Всього:",SUM($N$4:N184),IF($E$5="UAH","",L185))</f>
        <v>#VALUE!</v>
      </c>
      <c r="O185" s="25" t="e">
        <f t="shared" ca="1" si="14"/>
        <v>#VALUE!</v>
      </c>
      <c r="P185" s="33" t="e">
        <f t="shared" ca="1" si="15"/>
        <v>#VALUE!</v>
      </c>
      <c r="Q185" s="8" t="e">
        <f t="shared" ca="1" si="20"/>
        <v>#VALUE!</v>
      </c>
    </row>
    <row r="186" spans="6:17" s="8" customFormat="1" ht="13.2" x14ac:dyDescent="0.25">
      <c r="F186" s="34" t="e">
        <f t="shared" ca="1" si="16"/>
        <v>#VALUE!</v>
      </c>
      <c r="G186" s="23" t="e">
        <f t="shared" ca="1" si="19"/>
        <v>#VALUE!</v>
      </c>
      <c r="H186" s="24" t="str">
        <f t="shared" si="17"/>
        <v/>
      </c>
      <c r="I186" s="25" t="e">
        <f ca="1">IF($G186="Всього:",SUM($I$4:I185),MAX($C$32,K186))</f>
        <v>#VALUE!</v>
      </c>
      <c r="J186" s="25" t="e">
        <f ca="1">IF($G186="Всього:",SUM($J$4:J185),IF(I186-SUM(K186:L186)&lt;0,0,I186-SUM(K186:L186)))</f>
        <v>#VALUE!</v>
      </c>
      <c r="K186" s="25" t="e">
        <f ca="1">IF(G186="Всього:",SUM($K$5:K185),F186*O185/36000*(G186-G185))</f>
        <v>#VALUE!</v>
      </c>
      <c r="L186" s="25" t="e">
        <f ca="1">IF(G186="Всього:",SUM($L$5:L185),$E$4)</f>
        <v>#VALUE!</v>
      </c>
      <c r="M186" s="25" t="e">
        <f ca="1">IF(G186="Всього:",SUM($M$5:M185),IF($E$5="UAH",J186+L186+K186,J186+K186))</f>
        <v>#VALUE!</v>
      </c>
      <c r="N186" s="27" t="e">
        <f ca="1">IF(G186="Всього:",SUM($N$4:N185),IF($E$5="UAH","",L186))</f>
        <v>#VALUE!</v>
      </c>
      <c r="O186" s="25" t="e">
        <f t="shared" ca="1" si="14"/>
        <v>#VALUE!</v>
      </c>
      <c r="P186" s="33" t="e">
        <f t="shared" ca="1" si="15"/>
        <v>#VALUE!</v>
      </c>
      <c r="Q186" s="8" t="e">
        <f t="shared" ca="1" si="20"/>
        <v>#VALUE!</v>
      </c>
    </row>
    <row r="187" spans="6:17" s="8" customFormat="1" ht="13.2" x14ac:dyDescent="0.25">
      <c r="F187" s="34" t="e">
        <f t="shared" ca="1" si="16"/>
        <v>#VALUE!</v>
      </c>
      <c r="G187" s="23" t="e">
        <f t="shared" ca="1" si="19"/>
        <v>#VALUE!</v>
      </c>
      <c r="H187" s="24" t="str">
        <f t="shared" si="17"/>
        <v/>
      </c>
      <c r="I187" s="25" t="e">
        <f ca="1">IF($G187="Всього:",SUM($I$4:I186),MAX($C$32,K187))</f>
        <v>#VALUE!</v>
      </c>
      <c r="J187" s="25" t="e">
        <f ca="1">IF($G187="Всього:",SUM($J$4:J186),IF(I187-SUM(K187:L187)&lt;0,0,I187-SUM(K187:L187)))</f>
        <v>#VALUE!</v>
      </c>
      <c r="K187" s="25" t="e">
        <f ca="1">IF(G187="Всього:",SUM($K$5:K186),F187*O186/36000*(G187-G186))</f>
        <v>#VALUE!</v>
      </c>
      <c r="L187" s="25" t="e">
        <f ca="1">IF(G187="Всього:",SUM($L$5:L186),$E$4)</f>
        <v>#VALUE!</v>
      </c>
      <c r="M187" s="25" t="e">
        <f ca="1">IF(G187="Всього:",SUM($M$5:M186),IF($E$5="UAH",J187+L187+K187,J187+K187))</f>
        <v>#VALUE!</v>
      </c>
      <c r="N187" s="27" t="e">
        <f ca="1">IF(G187="Всього:",SUM($N$4:N186),IF($E$5="UAH","",L187))</f>
        <v>#VALUE!</v>
      </c>
      <c r="O187" s="25" t="e">
        <f t="shared" ca="1" si="14"/>
        <v>#VALUE!</v>
      </c>
      <c r="P187" s="33" t="e">
        <f t="shared" ca="1" si="15"/>
        <v>#VALUE!</v>
      </c>
      <c r="Q187" s="8" t="e">
        <f t="shared" ca="1" si="20"/>
        <v>#VALUE!</v>
      </c>
    </row>
    <row r="188" spans="6:17" s="8" customFormat="1" ht="13.2" x14ac:dyDescent="0.25">
      <c r="F188" s="34" t="e">
        <f t="shared" ca="1" si="16"/>
        <v>#VALUE!</v>
      </c>
      <c r="G188" s="23" t="e">
        <f t="shared" ca="1" si="19"/>
        <v>#VALUE!</v>
      </c>
      <c r="H188" s="24" t="str">
        <f t="shared" si="17"/>
        <v/>
      </c>
      <c r="I188" s="25" t="e">
        <f ca="1">IF($G188="Всього:",SUM($I$4:I187),MAX($C$32,K188))</f>
        <v>#VALUE!</v>
      </c>
      <c r="J188" s="25" t="e">
        <f ca="1">IF($G188="Всього:",SUM($J$4:J187),IF(I188-SUM(K188:L188)&lt;0,0,I188-SUM(K188:L188)))</f>
        <v>#VALUE!</v>
      </c>
      <c r="K188" s="25" t="e">
        <f ca="1">IF(G188="Всього:",SUM($K$5:K187),F188*O187/36000*(G188-G187))</f>
        <v>#VALUE!</v>
      </c>
      <c r="L188" s="25" t="e">
        <f ca="1">IF(G188="Всього:",SUM($L$5:L187),$E$4)</f>
        <v>#VALUE!</v>
      </c>
      <c r="M188" s="25" t="e">
        <f ca="1">IF(G188="Всього:",SUM($M$5:M187),IF($E$5="UAH",J188+L188+K188,J188+K188))</f>
        <v>#VALUE!</v>
      </c>
      <c r="N188" s="27" t="e">
        <f ca="1">IF(G188="Всього:",SUM($N$4:N187),IF($E$5="UAH","",L188))</f>
        <v>#VALUE!</v>
      </c>
      <c r="O188" s="25" t="e">
        <f t="shared" ca="1" si="14"/>
        <v>#VALUE!</v>
      </c>
      <c r="P188" s="33" t="e">
        <f t="shared" ca="1" si="15"/>
        <v>#VALUE!</v>
      </c>
      <c r="Q188" s="8" t="e">
        <f t="shared" ca="1" si="20"/>
        <v>#VALUE!</v>
      </c>
    </row>
    <row r="189" spans="6:17" s="8" customFormat="1" ht="13.2" x14ac:dyDescent="0.25">
      <c r="F189" s="34" t="e">
        <f t="shared" ca="1" si="16"/>
        <v>#VALUE!</v>
      </c>
      <c r="G189" s="23" t="e">
        <f t="shared" ca="1" si="19"/>
        <v>#VALUE!</v>
      </c>
      <c r="H189" s="24" t="str">
        <f t="shared" si="17"/>
        <v/>
      </c>
      <c r="I189" s="25" t="e">
        <f ca="1">IF($G189="Всього:",SUM($I$4:I188),MAX($C$32,K189))</f>
        <v>#VALUE!</v>
      </c>
      <c r="J189" s="25" t="e">
        <f ca="1">IF($G189="Всього:",SUM($J$4:J188),IF(I189-SUM(K189:L189)&lt;0,0,I189-SUM(K189:L189)))</f>
        <v>#VALUE!</v>
      </c>
      <c r="K189" s="25" t="e">
        <f ca="1">IF(G189="Всього:",SUM($K$5:K188),F189*O188/36000*(G189-G188))</f>
        <v>#VALUE!</v>
      </c>
      <c r="L189" s="25" t="e">
        <f ca="1">IF(G189="Всього:",SUM($L$5:L188),$E$4)</f>
        <v>#VALUE!</v>
      </c>
      <c r="M189" s="25" t="e">
        <f ca="1">IF(G189="Всього:",SUM($M$5:M188),IF($E$5="UAH",J189+L189+K189,J189+K189))</f>
        <v>#VALUE!</v>
      </c>
      <c r="N189" s="27" t="e">
        <f ca="1">IF(G189="Всього:",SUM($N$4:N188),IF($E$5="UAH","",L189))</f>
        <v>#VALUE!</v>
      </c>
      <c r="O189" s="25" t="e">
        <f t="shared" ca="1" si="14"/>
        <v>#VALUE!</v>
      </c>
      <c r="P189" s="33" t="e">
        <f t="shared" ca="1" si="15"/>
        <v>#VALUE!</v>
      </c>
      <c r="Q189" s="8" t="e">
        <f t="shared" ca="1" si="20"/>
        <v>#VALUE!</v>
      </c>
    </row>
    <row r="190" spans="6:17" s="8" customFormat="1" ht="13.2" x14ac:dyDescent="0.25">
      <c r="F190" s="34" t="e">
        <f t="shared" ca="1" si="16"/>
        <v>#VALUE!</v>
      </c>
      <c r="G190" s="23" t="e">
        <f t="shared" ca="1" si="19"/>
        <v>#VALUE!</v>
      </c>
      <c r="H190" s="24" t="str">
        <f t="shared" si="17"/>
        <v/>
      </c>
      <c r="I190" s="25" t="e">
        <f ca="1">IF($G190="Всього:",SUM($I$4:I189),MAX($C$32,K190))</f>
        <v>#VALUE!</v>
      </c>
      <c r="J190" s="25" t="e">
        <f ca="1">IF($G190="Всього:",SUM($J$4:J189),IF(I190-SUM(K190:L190)&lt;0,0,I190-SUM(K190:L190)))</f>
        <v>#VALUE!</v>
      </c>
      <c r="K190" s="25" t="e">
        <f ca="1">IF(G190="Всього:",SUM($K$5:K189),F190*O189/36000*(G190-G189))</f>
        <v>#VALUE!</v>
      </c>
      <c r="L190" s="25" t="e">
        <f ca="1">IF(G190="Всього:",SUM($L$5:L189),$E$4)</f>
        <v>#VALUE!</v>
      </c>
      <c r="M190" s="25" t="e">
        <f ca="1">IF(G190="Всього:",SUM($M$5:M189),IF($E$5="UAH",J190+L190+K190,J190+K190))</f>
        <v>#VALUE!</v>
      </c>
      <c r="N190" s="27" t="e">
        <f ca="1">IF(G190="Всього:",SUM($N$4:N189),IF($E$5="UAH","",L190))</f>
        <v>#VALUE!</v>
      </c>
      <c r="O190" s="25" t="e">
        <f t="shared" ca="1" si="14"/>
        <v>#VALUE!</v>
      </c>
      <c r="P190" s="33" t="e">
        <f t="shared" ca="1" si="15"/>
        <v>#VALUE!</v>
      </c>
      <c r="Q190" s="8" t="e">
        <f t="shared" ca="1" si="20"/>
        <v>#VALUE!</v>
      </c>
    </row>
    <row r="191" spans="6:17" s="8" customFormat="1" ht="13.2" x14ac:dyDescent="0.25">
      <c r="F191" s="34" t="e">
        <f t="shared" ca="1" si="16"/>
        <v>#VALUE!</v>
      </c>
      <c r="G191" s="23" t="e">
        <f t="shared" ca="1" si="19"/>
        <v>#VALUE!</v>
      </c>
      <c r="H191" s="24" t="str">
        <f t="shared" si="17"/>
        <v/>
      </c>
      <c r="I191" s="25" t="e">
        <f ca="1">IF($G191="Всього:",SUM($I$4:I190),MAX($C$32,K191))</f>
        <v>#VALUE!</v>
      </c>
      <c r="J191" s="25" t="e">
        <f ca="1">IF($G191="Всього:",SUM($J$4:J190),IF(I191-SUM(K191:L191)&lt;0,0,I191-SUM(K191:L191)))</f>
        <v>#VALUE!</v>
      </c>
      <c r="K191" s="25" t="e">
        <f ca="1">IF(G191="Всього:",SUM($K$5:K190),F191*O190/36000*(G191-G190))</f>
        <v>#VALUE!</v>
      </c>
      <c r="L191" s="25" t="e">
        <f ca="1">IF(G191="Всього:",SUM($L$5:L190),$E$4)</f>
        <v>#VALUE!</v>
      </c>
      <c r="M191" s="25" t="e">
        <f ca="1">IF(G191="Всього:",SUM($M$5:M190),IF($E$5="UAH",J191+L191+K191,J191+K191))</f>
        <v>#VALUE!</v>
      </c>
      <c r="N191" s="27" t="e">
        <f ca="1">IF(G191="Всього:",SUM($N$4:N190),IF($E$5="UAH","",L191))</f>
        <v>#VALUE!</v>
      </c>
      <c r="O191" s="25" t="e">
        <f t="shared" ca="1" si="14"/>
        <v>#VALUE!</v>
      </c>
      <c r="P191" s="33" t="e">
        <f t="shared" ca="1" si="15"/>
        <v>#VALUE!</v>
      </c>
      <c r="Q191" s="8" t="e">
        <f t="shared" ca="1" si="20"/>
        <v>#VALUE!</v>
      </c>
    </row>
    <row r="192" spans="6:17" s="8" customFormat="1" ht="13.2" x14ac:dyDescent="0.25">
      <c r="F192" s="34" t="e">
        <f t="shared" ca="1" si="16"/>
        <v>#VALUE!</v>
      </c>
      <c r="G192" s="23" t="e">
        <f t="shared" ca="1" si="19"/>
        <v>#VALUE!</v>
      </c>
      <c r="H192" s="24" t="str">
        <f t="shared" si="17"/>
        <v/>
      </c>
      <c r="I192" s="25" t="e">
        <f ca="1">IF($G192="Всього:",SUM($I$4:I191),MAX($C$32,K192))</f>
        <v>#VALUE!</v>
      </c>
      <c r="J192" s="25" t="e">
        <f ca="1">IF($G192="Всього:",SUM($J$4:J191),IF(I192-SUM(K192:L192)&lt;0,0,I192-SUM(K192:L192)))</f>
        <v>#VALUE!</v>
      </c>
      <c r="K192" s="25" t="e">
        <f ca="1">IF(G192="Всього:",SUM($K$5:K191),F192*O191/36000*(G192-G191))</f>
        <v>#VALUE!</v>
      </c>
      <c r="L192" s="25" t="e">
        <f ca="1">IF(G192="Всього:",SUM($L$5:L191),$E$4)</f>
        <v>#VALUE!</v>
      </c>
      <c r="M192" s="25" t="e">
        <f ca="1">IF(G192="Всього:",SUM($M$5:M191),IF($E$5="UAH",J192+L192+K192,J192+K192))</f>
        <v>#VALUE!</v>
      </c>
      <c r="N192" s="27" t="e">
        <f ca="1">IF(G192="Всього:",SUM($N$4:N191),IF($E$5="UAH","",L192))</f>
        <v>#VALUE!</v>
      </c>
      <c r="O192" s="25" t="e">
        <f t="shared" ca="1" si="14"/>
        <v>#VALUE!</v>
      </c>
      <c r="P192" s="33" t="e">
        <f t="shared" ca="1" si="15"/>
        <v>#VALUE!</v>
      </c>
      <c r="Q192" s="8" t="e">
        <f t="shared" ca="1" si="20"/>
        <v>#VALUE!</v>
      </c>
    </row>
    <row r="193" spans="6:17" s="8" customFormat="1" ht="13.2" x14ac:dyDescent="0.25">
      <c r="F193" s="34" t="e">
        <f t="shared" ca="1" si="16"/>
        <v>#VALUE!</v>
      </c>
      <c r="G193" s="23" t="e">
        <f t="shared" ca="1" si="19"/>
        <v>#VALUE!</v>
      </c>
      <c r="H193" s="24" t="str">
        <f t="shared" si="17"/>
        <v/>
      </c>
      <c r="I193" s="25" t="e">
        <f ca="1">IF($G193="Всього:",SUM($I$4:I192),MAX($C$32,K193))</f>
        <v>#VALUE!</v>
      </c>
      <c r="J193" s="25" t="e">
        <f ca="1">IF($G193="Всього:",SUM($J$4:J192),IF(I193-SUM(K193:L193)&lt;0,0,I193-SUM(K193:L193)))</f>
        <v>#VALUE!</v>
      </c>
      <c r="K193" s="25" t="e">
        <f ca="1">IF(G193="Всього:",SUM($K$5:K192),F193*O192/36000*(G193-G192))</f>
        <v>#VALUE!</v>
      </c>
      <c r="L193" s="25" t="e">
        <f ca="1">IF(G193="Всього:",SUM($L$5:L192),$E$4)</f>
        <v>#VALUE!</v>
      </c>
      <c r="M193" s="25" t="e">
        <f ca="1">IF(G193="Всього:",SUM($M$5:M192),IF($E$5="UAH",J193+L193+K193,J193+K193))</f>
        <v>#VALUE!</v>
      </c>
      <c r="N193" s="27" t="e">
        <f ca="1">IF(G193="Всього:",SUM($N$4:N192),IF($E$5="UAH","",L193))</f>
        <v>#VALUE!</v>
      </c>
      <c r="O193" s="25" t="e">
        <f t="shared" ca="1" si="14"/>
        <v>#VALUE!</v>
      </c>
      <c r="P193" s="33" t="e">
        <f t="shared" ca="1" si="15"/>
        <v>#VALUE!</v>
      </c>
      <c r="Q193" s="8" t="e">
        <f t="shared" ca="1" si="20"/>
        <v>#VALUE!</v>
      </c>
    </row>
    <row r="194" spans="6:17" s="8" customFormat="1" ht="13.2" x14ac:dyDescent="0.25">
      <c r="F194" s="34" t="e">
        <f t="shared" ca="1" si="16"/>
        <v>#VALUE!</v>
      </c>
      <c r="G194" s="23" t="e">
        <f t="shared" ca="1" si="19"/>
        <v>#VALUE!</v>
      </c>
      <c r="H194" s="24" t="str">
        <f t="shared" si="17"/>
        <v/>
      </c>
      <c r="I194" s="25" t="e">
        <f ca="1">IF($G194="Всього:",SUM($I$4:I193),MAX($C$32,K194))</f>
        <v>#VALUE!</v>
      </c>
      <c r="J194" s="25" t="e">
        <f ca="1">IF($G194="Всього:",SUM($J$4:J193),IF(I194-SUM(K194:L194)&lt;0,0,I194-SUM(K194:L194)))</f>
        <v>#VALUE!</v>
      </c>
      <c r="K194" s="25" t="e">
        <f ca="1">IF(G194="Всього:",SUM($K$5:K193),F194*O193/36000*(G194-G193))</f>
        <v>#VALUE!</v>
      </c>
      <c r="L194" s="25" t="e">
        <f ca="1">IF(G194="Всього:",SUM($L$5:L193),$E$4)</f>
        <v>#VALUE!</v>
      </c>
      <c r="M194" s="25" t="e">
        <f ca="1">IF(G194="Всього:",SUM($M$5:M193),IF($E$5="UAH",J194+L194+K194,J194+K194))</f>
        <v>#VALUE!</v>
      </c>
      <c r="N194" s="27" t="e">
        <f ca="1">IF(G194="Всього:",SUM($N$4:N193),IF($E$5="UAH","",L194))</f>
        <v>#VALUE!</v>
      </c>
      <c r="O194" s="25" t="e">
        <f t="shared" ca="1" si="14"/>
        <v>#VALUE!</v>
      </c>
      <c r="P194" s="33" t="e">
        <f t="shared" ca="1" si="15"/>
        <v>#VALUE!</v>
      </c>
      <c r="Q194" s="8" t="e">
        <f t="shared" ca="1" si="20"/>
        <v>#VALUE!</v>
      </c>
    </row>
    <row r="195" spans="6:17" s="8" customFormat="1" ht="13.2" x14ac:dyDescent="0.25">
      <c r="F195" s="34" t="e">
        <f t="shared" ca="1" si="16"/>
        <v>#VALUE!</v>
      </c>
      <c r="G195" s="23" t="e">
        <f t="shared" ca="1" si="19"/>
        <v>#VALUE!</v>
      </c>
      <c r="H195" s="24" t="str">
        <f t="shared" si="17"/>
        <v/>
      </c>
      <c r="I195" s="25" t="e">
        <f ca="1">IF($G195="Всього:",SUM($I$4:I194),MAX($C$32,K195))</f>
        <v>#VALUE!</v>
      </c>
      <c r="J195" s="25" t="e">
        <f ca="1">IF($G195="Всього:",SUM($J$4:J194),IF(I195-SUM(K195:L195)&lt;0,0,I195-SUM(K195:L195)))</f>
        <v>#VALUE!</v>
      </c>
      <c r="K195" s="25" t="e">
        <f ca="1">IF(G195="Всього:",SUM($K$5:K194),F195*O194/36000*(G195-G194))</f>
        <v>#VALUE!</v>
      </c>
      <c r="L195" s="25" t="e">
        <f ca="1">IF(G195="Всього:",SUM($L$5:L194),$E$4)</f>
        <v>#VALUE!</v>
      </c>
      <c r="M195" s="25" t="e">
        <f ca="1">IF(G195="Всього:",SUM($M$5:M194),IF($E$5="UAH",J195+L195+K195,J195+K195))</f>
        <v>#VALUE!</v>
      </c>
      <c r="N195" s="27" t="e">
        <f ca="1">IF(G195="Всього:",SUM($N$4:N194),IF($E$5="UAH","",L195))</f>
        <v>#VALUE!</v>
      </c>
      <c r="O195" s="25" t="e">
        <f t="shared" ca="1" si="14"/>
        <v>#VALUE!</v>
      </c>
      <c r="P195" s="33" t="e">
        <f t="shared" ca="1" si="15"/>
        <v>#VALUE!</v>
      </c>
      <c r="Q195" s="8" t="e">
        <f t="shared" ca="1" si="20"/>
        <v>#VALUE!</v>
      </c>
    </row>
    <row r="196" spans="6:17" s="8" customFormat="1" ht="13.2" x14ac:dyDescent="0.25">
      <c r="F196" s="34" t="e">
        <f t="shared" ca="1" si="16"/>
        <v>#VALUE!</v>
      </c>
      <c r="G196" s="23" t="e">
        <f t="shared" ca="1" si="19"/>
        <v>#VALUE!</v>
      </c>
      <c r="H196" s="24" t="str">
        <f t="shared" si="17"/>
        <v/>
      </c>
      <c r="I196" s="25" t="e">
        <f ca="1">IF($G196="Всього:",SUM($I$4:I195),MAX($C$32,K196))</f>
        <v>#VALUE!</v>
      </c>
      <c r="J196" s="25" t="e">
        <f ca="1">IF($G196="Всього:",SUM($J$4:J195),IF(I196-SUM(K196:L196)&lt;0,0,I196-SUM(K196:L196)))</f>
        <v>#VALUE!</v>
      </c>
      <c r="K196" s="25" t="e">
        <f ca="1">IF(G196="Всього:",SUM($K$5:K195),F196*O195/36000*(G196-G195))</f>
        <v>#VALUE!</v>
      </c>
      <c r="L196" s="25" t="e">
        <f ca="1">IF(G196="Всього:",SUM($L$5:L195),$E$4)</f>
        <v>#VALUE!</v>
      </c>
      <c r="M196" s="25" t="e">
        <f ca="1">IF(G196="Всього:",SUM($M$5:M195),IF($E$5="UAH",J196+L196+K196,J196+K196))</f>
        <v>#VALUE!</v>
      </c>
      <c r="N196" s="27" t="e">
        <f ca="1">IF(G196="Всього:",SUM($N$4:N195),IF($E$5="UAH","",L196))</f>
        <v>#VALUE!</v>
      </c>
      <c r="O196" s="25" t="e">
        <f t="shared" ca="1" si="14"/>
        <v>#VALUE!</v>
      </c>
      <c r="P196" s="33" t="e">
        <f t="shared" ca="1" si="15"/>
        <v>#VALUE!</v>
      </c>
      <c r="Q196" s="8" t="e">
        <f t="shared" ca="1" si="20"/>
        <v>#VALUE!</v>
      </c>
    </row>
    <row r="197" spans="6:17" s="8" customFormat="1" ht="13.2" x14ac:dyDescent="0.25">
      <c r="F197" s="34" t="e">
        <f t="shared" ca="1" si="16"/>
        <v>#VALUE!</v>
      </c>
      <c r="G197" s="23" t="e">
        <f t="shared" ca="1" si="19"/>
        <v>#VALUE!</v>
      </c>
      <c r="H197" s="24" t="str">
        <f t="shared" si="17"/>
        <v/>
      </c>
      <c r="I197" s="25" t="e">
        <f ca="1">IF($G197="Всього:",SUM($I$4:I196),MAX($C$32,K197))</f>
        <v>#VALUE!</v>
      </c>
      <c r="J197" s="25" t="e">
        <f ca="1">IF($G197="Всього:",SUM($J$4:J196),IF(I197-SUM(K197:L197)&lt;0,0,I197-SUM(K197:L197)))</f>
        <v>#VALUE!</v>
      </c>
      <c r="K197" s="25" t="e">
        <f ca="1">IF(G197="Всього:",SUM($K$5:K196),F197*O196/36000*(G197-G196))</f>
        <v>#VALUE!</v>
      </c>
      <c r="L197" s="25" t="e">
        <f ca="1">IF(G197="Всього:",SUM($L$5:L196),$E$4)</f>
        <v>#VALUE!</v>
      </c>
      <c r="M197" s="25" t="e">
        <f ca="1">IF(G197="Всього:",SUM($M$5:M196),IF($E$5="UAH",J197+L197+K197,J197+K197))</f>
        <v>#VALUE!</v>
      </c>
      <c r="N197" s="27" t="e">
        <f ca="1">IF(G197="Всього:",SUM($N$4:N196),IF($E$5="UAH","",L197))</f>
        <v>#VALUE!</v>
      </c>
      <c r="O197" s="25" t="e">
        <f t="shared" ref="O197:O248" ca="1" si="21">O196-J197</f>
        <v>#VALUE!</v>
      </c>
      <c r="P197" s="33" t="e">
        <f t="shared" ref="P197:P246" ca="1" si="22">G197</f>
        <v>#VALUE!</v>
      </c>
      <c r="Q197" s="8" t="e">
        <f t="shared" ca="1" si="20"/>
        <v>#VALUE!</v>
      </c>
    </row>
    <row r="198" spans="6:17" s="8" customFormat="1" ht="13.2" x14ac:dyDescent="0.25">
      <c r="F198" s="34" t="e">
        <f t="shared" ref="F198:F247" ca="1" si="23">IF(G198="Всього:","",IF(AND(G198&gt;$B$9,G198&lt;=$B$10),$C$16,IF(AND(G198&gt;$B$9,G198&lt;=$B$11),$D$16,IF(AND(G198&gt;$B$10,G198&lt;=$B$14),$E$16,$B$16))))</f>
        <v>#VALUE!</v>
      </c>
      <c r="G198" s="23" t="e">
        <f t="shared" ca="1" si="19"/>
        <v>#VALUE!</v>
      </c>
      <c r="H198" s="24" t="str">
        <f t="shared" ref="H198:H247" si="24">IF(H197&gt;$E$8,"",H197+1)</f>
        <v/>
      </c>
      <c r="I198" s="25" t="e">
        <f ca="1">IF($G198="Всього:",SUM($I$4:I197),MAX($C$32,K198))</f>
        <v>#VALUE!</v>
      </c>
      <c r="J198" s="25" t="e">
        <f ca="1">IF($G198="Всього:",SUM($J$4:J197),IF(I198-SUM(K198:L198)&lt;0,0,I198-SUM(K198:L198)))</f>
        <v>#VALUE!</v>
      </c>
      <c r="K198" s="25" t="e">
        <f ca="1">IF(G198="Всього:",SUM($K$5:K197),F198*O197/36000*(G198-G197))</f>
        <v>#VALUE!</v>
      </c>
      <c r="L198" s="25" t="e">
        <f ca="1">IF(G198="Всього:",SUM($L$5:L197),$E$4)</f>
        <v>#VALUE!</v>
      </c>
      <c r="M198" s="25" t="e">
        <f ca="1">IF(G198="Всього:",SUM($M$5:M197),IF($E$5="UAH",J198+L198+K198,J198+K198))</f>
        <v>#VALUE!</v>
      </c>
      <c r="N198" s="27" t="e">
        <f ca="1">IF(G198="Всього:",SUM($N$4:N197),IF($E$5="UAH","",L198))</f>
        <v>#VALUE!</v>
      </c>
      <c r="O198" s="25" t="e">
        <f t="shared" ca="1" si="21"/>
        <v>#VALUE!</v>
      </c>
      <c r="P198" s="33" t="e">
        <f t="shared" ca="1" si="22"/>
        <v>#VALUE!</v>
      </c>
      <c r="Q198" s="8" t="e">
        <f t="shared" ref="Q198:Q246" ca="1" si="25">IF(R199="",I198,IFERROR(I198+R199,0))</f>
        <v>#VALUE!</v>
      </c>
    </row>
    <row r="199" spans="6:17" s="8" customFormat="1" ht="13.2" x14ac:dyDescent="0.25">
      <c r="F199" s="34" t="e">
        <f t="shared" ca="1" si="23"/>
        <v>#VALUE!</v>
      </c>
      <c r="G199" s="23" t="e">
        <f t="shared" ref="G199:G247" ca="1" si="26">IF(H198=$E$3,"Всього:",IF($E$3=H199,$B$14,DATE(YEAR(G198),MONTH(G198)+1,IF($B$7&lt;&gt;"",DAY(IF($B$7&gt;DAY(EOMONTH(G198,1)),EOMONTH(G198,1),$B$7)),DAY(1)))))</f>
        <v>#VALUE!</v>
      </c>
      <c r="H199" s="24" t="str">
        <f t="shared" si="24"/>
        <v/>
      </c>
      <c r="I199" s="25" t="e">
        <f ca="1">IF($G199="Всього:",SUM($I$4:I198),MAX($C$32,K199))</f>
        <v>#VALUE!</v>
      </c>
      <c r="J199" s="25" t="e">
        <f ca="1">IF($G199="Всього:",SUM($J$4:J198),IF(I199-SUM(K199:L199)&lt;0,0,I199-SUM(K199:L199)))</f>
        <v>#VALUE!</v>
      </c>
      <c r="K199" s="25" t="e">
        <f ca="1">IF(G199="Всього:",SUM($K$5:K198),F199*O198/36000*(G199-G198))</f>
        <v>#VALUE!</v>
      </c>
      <c r="L199" s="25" t="e">
        <f ca="1">IF(G199="Всього:",SUM($L$5:L198),$E$4)</f>
        <v>#VALUE!</v>
      </c>
      <c r="M199" s="25" t="e">
        <f ca="1">IF(G199="Всього:",SUM($M$5:M198),IF($E$5="UAH",J199+L199+K199,J199+K199))</f>
        <v>#VALUE!</v>
      </c>
      <c r="N199" s="27" t="e">
        <f ca="1">IF(G199="Всього:",SUM($N$4:N198),IF($E$5="UAH","",L199))</f>
        <v>#VALUE!</v>
      </c>
      <c r="O199" s="25" t="e">
        <f t="shared" ca="1" si="21"/>
        <v>#VALUE!</v>
      </c>
      <c r="P199" s="33" t="e">
        <f t="shared" ca="1" si="22"/>
        <v>#VALUE!</v>
      </c>
      <c r="Q199" s="8" t="e">
        <f t="shared" ca="1" si="25"/>
        <v>#VALUE!</v>
      </c>
    </row>
    <row r="200" spans="6:17" s="8" customFormat="1" ht="13.2" x14ac:dyDescent="0.25">
      <c r="F200" s="34" t="e">
        <f t="shared" ca="1" si="23"/>
        <v>#VALUE!</v>
      </c>
      <c r="G200" s="23" t="e">
        <f t="shared" ca="1" si="26"/>
        <v>#VALUE!</v>
      </c>
      <c r="H200" s="24" t="str">
        <f t="shared" si="24"/>
        <v/>
      </c>
      <c r="I200" s="25" t="e">
        <f ca="1">IF($G200="Всього:",SUM($I$4:I199),MAX($C$32,K200))</f>
        <v>#VALUE!</v>
      </c>
      <c r="J200" s="25" t="e">
        <f ca="1">IF($G200="Всього:",SUM($J$4:J199),IF(I200-SUM(K200:L200)&lt;0,0,I200-SUM(K200:L200)))</f>
        <v>#VALUE!</v>
      </c>
      <c r="K200" s="25" t="e">
        <f ca="1">IF(G200="Всього:",SUM($K$5:K199),F200*O199/36000*(G200-G199))</f>
        <v>#VALUE!</v>
      </c>
      <c r="L200" s="25" t="e">
        <f ca="1">IF(G200="Всього:",SUM($L$5:L199),$E$4)</f>
        <v>#VALUE!</v>
      </c>
      <c r="M200" s="25" t="e">
        <f ca="1">IF(G200="Всього:",SUM($M$5:M199),IF($E$5="UAH",J200+L200+K200,J200+K200))</f>
        <v>#VALUE!</v>
      </c>
      <c r="N200" s="27" t="e">
        <f ca="1">IF(G200="Всього:",SUM($N$4:N199),IF($E$5="UAH","",L200))</f>
        <v>#VALUE!</v>
      </c>
      <c r="O200" s="25" t="e">
        <f t="shared" ca="1" si="21"/>
        <v>#VALUE!</v>
      </c>
      <c r="P200" s="33" t="e">
        <f t="shared" ca="1" si="22"/>
        <v>#VALUE!</v>
      </c>
      <c r="Q200" s="8" t="e">
        <f t="shared" ca="1" si="25"/>
        <v>#VALUE!</v>
      </c>
    </row>
    <row r="201" spans="6:17" s="8" customFormat="1" ht="13.2" x14ac:dyDescent="0.25">
      <c r="F201" s="34" t="e">
        <f t="shared" ca="1" si="23"/>
        <v>#VALUE!</v>
      </c>
      <c r="G201" s="23" t="e">
        <f t="shared" ca="1" si="26"/>
        <v>#VALUE!</v>
      </c>
      <c r="H201" s="24" t="str">
        <f t="shared" si="24"/>
        <v/>
      </c>
      <c r="I201" s="25" t="e">
        <f ca="1">IF($G201="Всього:",SUM($I$4:I200),MAX($C$32,K201))</f>
        <v>#VALUE!</v>
      </c>
      <c r="J201" s="25" t="e">
        <f ca="1">IF($G201="Всього:",SUM($J$4:J200),IF(I201-SUM(K201:L201)&lt;0,0,I201-SUM(K201:L201)))</f>
        <v>#VALUE!</v>
      </c>
      <c r="K201" s="25" t="e">
        <f ca="1">IF(G201="Всього:",SUM($K$5:K200),F201*O200/36000*(G201-G200))</f>
        <v>#VALUE!</v>
      </c>
      <c r="L201" s="25" t="e">
        <f ca="1">IF(G201="Всього:",SUM($L$5:L200),$E$4)</f>
        <v>#VALUE!</v>
      </c>
      <c r="M201" s="25" t="e">
        <f ca="1">IF(G201="Всього:",SUM($M$5:M200),IF($E$5="UAH",J201+L201+K201,J201+K201))</f>
        <v>#VALUE!</v>
      </c>
      <c r="N201" s="27" t="e">
        <f ca="1">IF(G201="Всього:",SUM($N$4:N200),IF($E$5="UAH","",L201))</f>
        <v>#VALUE!</v>
      </c>
      <c r="O201" s="25" t="e">
        <f t="shared" ca="1" si="21"/>
        <v>#VALUE!</v>
      </c>
      <c r="P201" s="33" t="e">
        <f t="shared" ca="1" si="22"/>
        <v>#VALUE!</v>
      </c>
      <c r="Q201" s="8" t="e">
        <f t="shared" ca="1" si="25"/>
        <v>#VALUE!</v>
      </c>
    </row>
    <row r="202" spans="6:17" s="8" customFormat="1" ht="13.2" x14ac:dyDescent="0.25">
      <c r="F202" s="34" t="e">
        <f t="shared" ca="1" si="23"/>
        <v>#VALUE!</v>
      </c>
      <c r="G202" s="23" t="e">
        <f t="shared" ca="1" si="26"/>
        <v>#VALUE!</v>
      </c>
      <c r="H202" s="24" t="str">
        <f t="shared" si="24"/>
        <v/>
      </c>
      <c r="I202" s="25" t="e">
        <f ca="1">IF($G202="Всього:",SUM($I$4:I201),MAX($C$32,K202))</f>
        <v>#VALUE!</v>
      </c>
      <c r="J202" s="25" t="e">
        <f ca="1">IF($G202="Всього:",SUM($J$4:J201),IF(I202-SUM(K202:L202)&lt;0,0,I202-SUM(K202:L202)))</f>
        <v>#VALUE!</v>
      </c>
      <c r="K202" s="25" t="e">
        <f ca="1">IF(G202="Всього:",SUM($K$5:K201),F202*O201/36000*(G202-G201))</f>
        <v>#VALUE!</v>
      </c>
      <c r="L202" s="25" t="e">
        <f ca="1">IF(G202="Всього:",SUM($L$5:L201),$E$4)</f>
        <v>#VALUE!</v>
      </c>
      <c r="M202" s="25" t="e">
        <f ca="1">IF(G202="Всього:",SUM($M$5:M201),IF($E$5="UAH",J202+L202+K202,J202+K202))</f>
        <v>#VALUE!</v>
      </c>
      <c r="N202" s="27" t="e">
        <f ca="1">IF(G202="Всього:",SUM($N$4:N201),IF($E$5="UAH","",L202))</f>
        <v>#VALUE!</v>
      </c>
      <c r="O202" s="25" t="e">
        <f t="shared" ca="1" si="21"/>
        <v>#VALUE!</v>
      </c>
      <c r="P202" s="33" t="e">
        <f t="shared" ca="1" si="22"/>
        <v>#VALUE!</v>
      </c>
      <c r="Q202" s="8" t="e">
        <f t="shared" ca="1" si="25"/>
        <v>#VALUE!</v>
      </c>
    </row>
    <row r="203" spans="6:17" s="8" customFormat="1" ht="13.2" x14ac:dyDescent="0.25">
      <c r="F203" s="34" t="e">
        <f t="shared" ca="1" si="23"/>
        <v>#VALUE!</v>
      </c>
      <c r="G203" s="23" t="e">
        <f t="shared" ca="1" si="26"/>
        <v>#VALUE!</v>
      </c>
      <c r="H203" s="24" t="str">
        <f t="shared" si="24"/>
        <v/>
      </c>
      <c r="I203" s="25" t="e">
        <f ca="1">IF($G203="Всього:",SUM($I$4:I202),MAX($C$32,K203))</f>
        <v>#VALUE!</v>
      </c>
      <c r="J203" s="25" t="e">
        <f ca="1">IF($G203="Всього:",SUM($J$4:J202),IF(I203-SUM(K203:L203)&lt;0,0,I203-SUM(K203:L203)))</f>
        <v>#VALUE!</v>
      </c>
      <c r="K203" s="25" t="e">
        <f ca="1">IF(G203="Всього:",SUM($K$5:K202),F203*O202/36000*(G203-G202))</f>
        <v>#VALUE!</v>
      </c>
      <c r="L203" s="25" t="e">
        <f ca="1">IF(G203="Всього:",SUM($L$5:L202),$E$4)</f>
        <v>#VALUE!</v>
      </c>
      <c r="M203" s="25" t="e">
        <f ca="1">IF(G203="Всього:",SUM($M$5:M202),IF($E$5="UAH",J203+L203+K203,J203+K203))</f>
        <v>#VALUE!</v>
      </c>
      <c r="N203" s="27" t="e">
        <f ca="1">IF(G203="Всього:",SUM($N$4:N202),IF($E$5="UAH","",L203))</f>
        <v>#VALUE!</v>
      </c>
      <c r="O203" s="25" t="e">
        <f t="shared" ca="1" si="21"/>
        <v>#VALUE!</v>
      </c>
      <c r="P203" s="33" t="e">
        <f t="shared" ca="1" si="22"/>
        <v>#VALUE!</v>
      </c>
      <c r="Q203" s="8" t="e">
        <f t="shared" ca="1" si="25"/>
        <v>#VALUE!</v>
      </c>
    </row>
    <row r="204" spans="6:17" s="8" customFormat="1" ht="13.2" x14ac:dyDescent="0.25">
      <c r="F204" s="34" t="e">
        <f t="shared" ca="1" si="23"/>
        <v>#VALUE!</v>
      </c>
      <c r="G204" s="23" t="e">
        <f t="shared" ca="1" si="26"/>
        <v>#VALUE!</v>
      </c>
      <c r="H204" s="24" t="str">
        <f t="shared" si="24"/>
        <v/>
      </c>
      <c r="I204" s="25" t="e">
        <f ca="1">IF($G204="Всього:",SUM($I$4:I203),MAX($C$32,K204))</f>
        <v>#VALUE!</v>
      </c>
      <c r="J204" s="25" t="e">
        <f ca="1">IF($G204="Всього:",SUM($J$4:J203),IF(I204-SUM(K204:L204)&lt;0,0,I204-SUM(K204:L204)))</f>
        <v>#VALUE!</v>
      </c>
      <c r="K204" s="25" t="e">
        <f ca="1">IF(G204="Всього:",SUM($K$5:K203),F204*O203/36000*(G204-G203))</f>
        <v>#VALUE!</v>
      </c>
      <c r="L204" s="25" t="e">
        <f ca="1">IF(G204="Всього:",SUM($L$5:L203),$E$4)</f>
        <v>#VALUE!</v>
      </c>
      <c r="M204" s="25" t="e">
        <f ca="1">IF(G204="Всього:",SUM($M$5:M203),IF($E$5="UAH",J204+L204+K204,J204+K204))</f>
        <v>#VALUE!</v>
      </c>
      <c r="N204" s="27" t="e">
        <f ca="1">IF(G204="Всього:",SUM($N$4:N203),IF($E$5="UAH","",L204))</f>
        <v>#VALUE!</v>
      </c>
      <c r="O204" s="25" t="e">
        <f t="shared" ca="1" si="21"/>
        <v>#VALUE!</v>
      </c>
      <c r="P204" s="33" t="e">
        <f t="shared" ca="1" si="22"/>
        <v>#VALUE!</v>
      </c>
      <c r="Q204" s="8" t="e">
        <f t="shared" ca="1" si="25"/>
        <v>#VALUE!</v>
      </c>
    </row>
    <row r="205" spans="6:17" s="8" customFormat="1" ht="13.2" x14ac:dyDescent="0.25">
      <c r="F205" s="34" t="e">
        <f t="shared" ca="1" si="23"/>
        <v>#VALUE!</v>
      </c>
      <c r="G205" s="23" t="e">
        <f t="shared" ca="1" si="26"/>
        <v>#VALUE!</v>
      </c>
      <c r="H205" s="24" t="str">
        <f t="shared" si="24"/>
        <v/>
      </c>
      <c r="I205" s="25" t="e">
        <f ca="1">IF($G205="Всього:",SUM($I$4:I204),MAX($C$32,K205))</f>
        <v>#VALUE!</v>
      </c>
      <c r="J205" s="25" t="e">
        <f ca="1">IF($G205="Всього:",SUM($J$4:J204),IF(I205-SUM(K205:L205)&lt;0,0,I205-SUM(K205:L205)))</f>
        <v>#VALUE!</v>
      </c>
      <c r="K205" s="25" t="e">
        <f ca="1">IF(G205="Всього:",SUM($K$5:K204),F205*O204/36000*(G205-G204))</f>
        <v>#VALUE!</v>
      </c>
      <c r="L205" s="25" t="e">
        <f ca="1">IF(G205="Всього:",SUM($L$5:L204),$E$4)</f>
        <v>#VALUE!</v>
      </c>
      <c r="M205" s="25" t="e">
        <f ca="1">IF(G205="Всього:",SUM($M$5:M204),IF($E$5="UAH",J205+L205+K205,J205+K205))</f>
        <v>#VALUE!</v>
      </c>
      <c r="N205" s="27" t="e">
        <f ca="1">IF(G205="Всього:",SUM($N$4:N204),IF($E$5="UAH","",L205))</f>
        <v>#VALUE!</v>
      </c>
      <c r="O205" s="25" t="e">
        <f t="shared" ca="1" si="21"/>
        <v>#VALUE!</v>
      </c>
      <c r="P205" s="33" t="e">
        <f t="shared" ca="1" si="22"/>
        <v>#VALUE!</v>
      </c>
      <c r="Q205" s="8" t="e">
        <f t="shared" ca="1" si="25"/>
        <v>#VALUE!</v>
      </c>
    </row>
    <row r="206" spans="6:17" s="8" customFormat="1" ht="13.2" x14ac:dyDescent="0.25">
      <c r="F206" s="34" t="e">
        <f t="shared" ca="1" si="23"/>
        <v>#VALUE!</v>
      </c>
      <c r="G206" s="23" t="e">
        <f t="shared" ca="1" si="26"/>
        <v>#VALUE!</v>
      </c>
      <c r="H206" s="24" t="str">
        <f t="shared" si="24"/>
        <v/>
      </c>
      <c r="I206" s="25" t="e">
        <f ca="1">IF($G206="Всього:",SUM($I$4:I205),MAX($C$32,K206))</f>
        <v>#VALUE!</v>
      </c>
      <c r="J206" s="25" t="e">
        <f ca="1">IF($G206="Всього:",SUM($J$4:J205),IF(I206-SUM(K206:L206)&lt;0,0,I206-SUM(K206:L206)))</f>
        <v>#VALUE!</v>
      </c>
      <c r="K206" s="25" t="e">
        <f ca="1">IF(G206="Всього:",SUM($K$5:K205),F206*O205/36000*(G206-G205))</f>
        <v>#VALUE!</v>
      </c>
      <c r="L206" s="25" t="e">
        <f ca="1">IF(G206="Всього:",SUM($L$5:L205),$E$4)</f>
        <v>#VALUE!</v>
      </c>
      <c r="M206" s="25" t="e">
        <f ca="1">IF(G206="Всього:",SUM($M$5:M205),IF($E$5="UAH",J206+L206+K206,J206+K206))</f>
        <v>#VALUE!</v>
      </c>
      <c r="N206" s="27" t="e">
        <f ca="1">IF(G206="Всього:",SUM($N$4:N205),IF($E$5="UAH","",L206))</f>
        <v>#VALUE!</v>
      </c>
      <c r="O206" s="25" t="e">
        <f t="shared" ca="1" si="21"/>
        <v>#VALUE!</v>
      </c>
      <c r="P206" s="33" t="e">
        <f t="shared" ca="1" si="22"/>
        <v>#VALUE!</v>
      </c>
      <c r="Q206" s="8" t="e">
        <f t="shared" ca="1" si="25"/>
        <v>#VALUE!</v>
      </c>
    </row>
    <row r="207" spans="6:17" s="8" customFormat="1" ht="13.2" x14ac:dyDescent="0.25">
      <c r="F207" s="34" t="e">
        <f t="shared" ca="1" si="23"/>
        <v>#VALUE!</v>
      </c>
      <c r="G207" s="23" t="e">
        <f t="shared" ca="1" si="26"/>
        <v>#VALUE!</v>
      </c>
      <c r="H207" s="24" t="str">
        <f t="shared" si="24"/>
        <v/>
      </c>
      <c r="I207" s="25" t="e">
        <f ca="1">IF($G207="Всього:",SUM($I$4:I206),MAX($C$32,K207))</f>
        <v>#VALUE!</v>
      </c>
      <c r="J207" s="25" t="e">
        <f ca="1">IF($G207="Всього:",SUM($J$4:J206),IF(I207-SUM(K207:L207)&lt;0,0,I207-SUM(K207:L207)))</f>
        <v>#VALUE!</v>
      </c>
      <c r="K207" s="25" t="e">
        <f ca="1">IF(G207="Всього:",SUM($K$5:K206),F207*O206/36000*(G207-G206))</f>
        <v>#VALUE!</v>
      </c>
      <c r="L207" s="25" t="e">
        <f ca="1">IF(G207="Всього:",SUM($L$5:L206),$E$4)</f>
        <v>#VALUE!</v>
      </c>
      <c r="M207" s="25" t="e">
        <f ca="1">IF(G207="Всього:",SUM($M$5:M206),IF($E$5="UAH",J207+L207+K207,J207+K207))</f>
        <v>#VALUE!</v>
      </c>
      <c r="N207" s="27" t="e">
        <f ca="1">IF(G207="Всього:",SUM($N$4:N206),IF($E$5="UAH","",L207))</f>
        <v>#VALUE!</v>
      </c>
      <c r="O207" s="25" t="e">
        <f t="shared" ca="1" si="21"/>
        <v>#VALUE!</v>
      </c>
      <c r="P207" s="33" t="e">
        <f t="shared" ca="1" si="22"/>
        <v>#VALUE!</v>
      </c>
      <c r="Q207" s="8" t="e">
        <f t="shared" ca="1" si="25"/>
        <v>#VALUE!</v>
      </c>
    </row>
    <row r="208" spans="6:17" s="8" customFormat="1" ht="13.2" x14ac:dyDescent="0.25">
      <c r="F208" s="34" t="e">
        <f t="shared" ca="1" si="23"/>
        <v>#VALUE!</v>
      </c>
      <c r="G208" s="23" t="e">
        <f t="shared" ca="1" si="26"/>
        <v>#VALUE!</v>
      </c>
      <c r="H208" s="24" t="str">
        <f t="shared" si="24"/>
        <v/>
      </c>
      <c r="I208" s="25" t="e">
        <f ca="1">IF($G208="Всього:",SUM($I$4:I207),MAX($C$32,K208))</f>
        <v>#VALUE!</v>
      </c>
      <c r="J208" s="25" t="e">
        <f ca="1">IF($G208="Всього:",SUM($J$4:J207),IF(I208-SUM(K208:L208)&lt;0,0,I208-SUM(K208:L208)))</f>
        <v>#VALUE!</v>
      </c>
      <c r="K208" s="25" t="e">
        <f ca="1">IF(G208="Всього:",SUM($K$5:K207),F208*O207/36000*(G208-G207))</f>
        <v>#VALUE!</v>
      </c>
      <c r="L208" s="25" t="e">
        <f ca="1">IF(G208="Всього:",SUM($L$5:L207),$E$4)</f>
        <v>#VALUE!</v>
      </c>
      <c r="M208" s="25" t="e">
        <f ca="1">IF(G208="Всього:",SUM($M$5:M207),IF($E$5="UAH",J208+L208+K208,J208+K208))</f>
        <v>#VALUE!</v>
      </c>
      <c r="N208" s="27" t="e">
        <f ca="1">IF(G208="Всього:",SUM($N$4:N207),IF($E$5="UAH","",L208))</f>
        <v>#VALUE!</v>
      </c>
      <c r="O208" s="25" t="e">
        <f t="shared" ca="1" si="21"/>
        <v>#VALUE!</v>
      </c>
      <c r="P208" s="33" t="e">
        <f t="shared" ca="1" si="22"/>
        <v>#VALUE!</v>
      </c>
      <c r="Q208" s="8" t="e">
        <f t="shared" ca="1" si="25"/>
        <v>#VALUE!</v>
      </c>
    </row>
    <row r="209" spans="6:17" s="8" customFormat="1" ht="13.2" x14ac:dyDescent="0.25">
      <c r="F209" s="34" t="e">
        <f t="shared" ca="1" si="23"/>
        <v>#VALUE!</v>
      </c>
      <c r="G209" s="23" t="e">
        <f t="shared" ca="1" si="26"/>
        <v>#VALUE!</v>
      </c>
      <c r="H209" s="24" t="str">
        <f t="shared" si="24"/>
        <v/>
      </c>
      <c r="I209" s="25" t="e">
        <f ca="1">IF($G209="Всього:",SUM($I$4:I208),MAX($C$32,K209))</f>
        <v>#VALUE!</v>
      </c>
      <c r="J209" s="25" t="e">
        <f ca="1">IF($G209="Всього:",SUM($J$4:J208),IF(I209-SUM(K209:L209)&lt;0,0,I209-SUM(K209:L209)))</f>
        <v>#VALUE!</v>
      </c>
      <c r="K209" s="25" t="e">
        <f ca="1">IF(G209="Всього:",SUM($K$5:K208),F209*O208/36000*(G209-G208))</f>
        <v>#VALUE!</v>
      </c>
      <c r="L209" s="25" t="e">
        <f ca="1">IF(G209="Всього:",SUM($L$5:L208),$E$4)</f>
        <v>#VALUE!</v>
      </c>
      <c r="M209" s="25" t="e">
        <f ca="1">IF(G209="Всього:",SUM($M$5:M208),IF($E$5="UAH",J209+L209+K209,J209+K209))</f>
        <v>#VALUE!</v>
      </c>
      <c r="N209" s="27" t="e">
        <f ca="1">IF(G209="Всього:",SUM($N$4:N208),IF($E$5="UAH","",L209))</f>
        <v>#VALUE!</v>
      </c>
      <c r="O209" s="25" t="e">
        <f t="shared" ca="1" si="21"/>
        <v>#VALUE!</v>
      </c>
      <c r="P209" s="33" t="e">
        <f t="shared" ca="1" si="22"/>
        <v>#VALUE!</v>
      </c>
      <c r="Q209" s="8" t="e">
        <f t="shared" ca="1" si="25"/>
        <v>#VALUE!</v>
      </c>
    </row>
    <row r="210" spans="6:17" s="8" customFormat="1" ht="13.2" x14ac:dyDescent="0.25">
      <c r="F210" s="34" t="e">
        <f t="shared" ca="1" si="23"/>
        <v>#VALUE!</v>
      </c>
      <c r="G210" s="23" t="e">
        <f t="shared" ca="1" si="26"/>
        <v>#VALUE!</v>
      </c>
      <c r="H210" s="24" t="str">
        <f t="shared" si="24"/>
        <v/>
      </c>
      <c r="I210" s="25" t="e">
        <f ca="1">IF($G210="Всього:",SUM($I$4:I209),MAX($C$32,K210))</f>
        <v>#VALUE!</v>
      </c>
      <c r="J210" s="25" t="e">
        <f ca="1">IF($G210="Всього:",SUM($J$4:J209),IF(I210-SUM(K210:L210)&lt;0,0,I210-SUM(K210:L210)))</f>
        <v>#VALUE!</v>
      </c>
      <c r="K210" s="25" t="e">
        <f ca="1">IF(G210="Всього:",SUM($K$5:K209),F210*O209/36000*(G210-G209))</f>
        <v>#VALUE!</v>
      </c>
      <c r="L210" s="25" t="e">
        <f ca="1">IF(G210="Всього:",SUM($L$5:L209),$E$4)</f>
        <v>#VALUE!</v>
      </c>
      <c r="M210" s="25" t="e">
        <f ca="1">IF(G210="Всього:",SUM($M$5:M209),IF($E$5="UAH",J210+L210+K210,J210+K210))</f>
        <v>#VALUE!</v>
      </c>
      <c r="N210" s="27" t="e">
        <f ca="1">IF(G210="Всього:",SUM($N$4:N209),IF($E$5="UAH","",L210))</f>
        <v>#VALUE!</v>
      </c>
      <c r="O210" s="25" t="e">
        <f t="shared" ca="1" si="21"/>
        <v>#VALUE!</v>
      </c>
      <c r="P210" s="33" t="e">
        <f t="shared" ca="1" si="22"/>
        <v>#VALUE!</v>
      </c>
      <c r="Q210" s="8" t="e">
        <f t="shared" ca="1" si="25"/>
        <v>#VALUE!</v>
      </c>
    </row>
    <row r="211" spans="6:17" s="8" customFormat="1" ht="13.2" x14ac:dyDescent="0.25">
      <c r="F211" s="34" t="e">
        <f t="shared" ca="1" si="23"/>
        <v>#VALUE!</v>
      </c>
      <c r="G211" s="23" t="e">
        <f t="shared" ca="1" si="26"/>
        <v>#VALUE!</v>
      </c>
      <c r="H211" s="24" t="str">
        <f t="shared" si="24"/>
        <v/>
      </c>
      <c r="I211" s="25" t="e">
        <f ca="1">IF($G211="Всього:",SUM($I$4:I210),MAX($C$32,K211))</f>
        <v>#VALUE!</v>
      </c>
      <c r="J211" s="25" t="e">
        <f ca="1">IF($G211="Всього:",SUM($J$4:J210),IF(I211-SUM(K211:L211)&lt;0,0,I211-SUM(K211:L211)))</f>
        <v>#VALUE!</v>
      </c>
      <c r="K211" s="25" t="e">
        <f ca="1">IF(G211="Всього:",SUM($K$5:K210),F211*O210/36000*(G211-G210))</f>
        <v>#VALUE!</v>
      </c>
      <c r="L211" s="25" t="e">
        <f ca="1">IF(G211="Всього:",SUM($L$5:L210),$E$4)</f>
        <v>#VALUE!</v>
      </c>
      <c r="M211" s="25" t="e">
        <f ca="1">IF(G211="Всього:",SUM($M$5:M210),IF($E$5="UAH",J211+L211+K211,J211+K211))</f>
        <v>#VALUE!</v>
      </c>
      <c r="N211" s="27" t="e">
        <f ca="1">IF(G211="Всього:",SUM($N$4:N210),IF($E$5="UAH","",L211))</f>
        <v>#VALUE!</v>
      </c>
      <c r="O211" s="25" t="e">
        <f t="shared" ca="1" si="21"/>
        <v>#VALUE!</v>
      </c>
      <c r="P211" s="33" t="e">
        <f t="shared" ca="1" si="22"/>
        <v>#VALUE!</v>
      </c>
      <c r="Q211" s="8" t="e">
        <f t="shared" ca="1" si="25"/>
        <v>#VALUE!</v>
      </c>
    </row>
    <row r="212" spans="6:17" s="8" customFormat="1" ht="13.2" x14ac:dyDescent="0.25">
      <c r="F212" s="34" t="e">
        <f t="shared" ca="1" si="23"/>
        <v>#VALUE!</v>
      </c>
      <c r="G212" s="23" t="e">
        <f t="shared" ca="1" si="26"/>
        <v>#VALUE!</v>
      </c>
      <c r="H212" s="24" t="str">
        <f t="shared" si="24"/>
        <v/>
      </c>
      <c r="I212" s="25" t="e">
        <f ca="1">IF($G212="Всього:",SUM($I$4:I211),MAX($C$32,K212))</f>
        <v>#VALUE!</v>
      </c>
      <c r="J212" s="25" t="e">
        <f ca="1">IF($G212="Всього:",SUM($J$4:J211),IF(I212-SUM(K212:L212)&lt;0,0,I212-SUM(K212:L212)))</f>
        <v>#VALUE!</v>
      </c>
      <c r="K212" s="25" t="e">
        <f ca="1">IF(G212="Всього:",SUM($K$5:K211),F212*O211/36000*(G212-G211))</f>
        <v>#VALUE!</v>
      </c>
      <c r="L212" s="25" t="e">
        <f ca="1">IF(G212="Всього:",SUM($L$5:L211),$E$4)</f>
        <v>#VALUE!</v>
      </c>
      <c r="M212" s="25" t="e">
        <f ca="1">IF(G212="Всього:",SUM($M$5:M211),IF($E$5="UAH",J212+L212+K212,J212+K212))</f>
        <v>#VALUE!</v>
      </c>
      <c r="N212" s="27" t="e">
        <f ca="1">IF(G212="Всього:",SUM($N$4:N211),IF($E$5="UAH","",L212))</f>
        <v>#VALUE!</v>
      </c>
      <c r="O212" s="25" t="e">
        <f t="shared" ca="1" si="21"/>
        <v>#VALUE!</v>
      </c>
      <c r="P212" s="33" t="e">
        <f t="shared" ca="1" si="22"/>
        <v>#VALUE!</v>
      </c>
      <c r="Q212" s="8" t="e">
        <f t="shared" ca="1" si="25"/>
        <v>#VALUE!</v>
      </c>
    </row>
    <row r="213" spans="6:17" s="8" customFormat="1" ht="13.2" x14ac:dyDescent="0.25">
      <c r="F213" s="34" t="e">
        <f t="shared" ca="1" si="23"/>
        <v>#VALUE!</v>
      </c>
      <c r="G213" s="23" t="e">
        <f t="shared" ca="1" si="26"/>
        <v>#VALUE!</v>
      </c>
      <c r="H213" s="24" t="str">
        <f t="shared" si="24"/>
        <v/>
      </c>
      <c r="I213" s="25" t="e">
        <f ca="1">IF($G213="Всього:",SUM($I$4:I212),MAX($C$32,K213))</f>
        <v>#VALUE!</v>
      </c>
      <c r="J213" s="25" t="e">
        <f ca="1">IF($G213="Всього:",SUM($J$4:J212),IF(I213-SUM(K213:L213)&lt;0,0,I213-SUM(K213:L213)))</f>
        <v>#VALUE!</v>
      </c>
      <c r="K213" s="25" t="e">
        <f ca="1">IF(G213="Всього:",SUM($K$5:K212),F213*O212/36000*(G213-G212))</f>
        <v>#VALUE!</v>
      </c>
      <c r="L213" s="25" t="e">
        <f ca="1">IF(G213="Всього:",SUM($L$5:L212),$E$4)</f>
        <v>#VALUE!</v>
      </c>
      <c r="M213" s="25" t="e">
        <f ca="1">IF(G213="Всього:",SUM($M$5:M212),IF($E$5="UAH",J213+L213+K213,J213+K213))</f>
        <v>#VALUE!</v>
      </c>
      <c r="N213" s="27" t="e">
        <f ca="1">IF(G213="Всього:",SUM($N$4:N212),IF($E$5="UAH","",L213))</f>
        <v>#VALUE!</v>
      </c>
      <c r="O213" s="25" t="e">
        <f t="shared" ca="1" si="21"/>
        <v>#VALUE!</v>
      </c>
      <c r="P213" s="33" t="e">
        <f t="shared" ca="1" si="22"/>
        <v>#VALUE!</v>
      </c>
      <c r="Q213" s="8" t="e">
        <f t="shared" ca="1" si="25"/>
        <v>#VALUE!</v>
      </c>
    </row>
    <row r="214" spans="6:17" s="8" customFormat="1" ht="13.2" x14ac:dyDescent="0.25">
      <c r="F214" s="34" t="e">
        <f t="shared" ca="1" si="23"/>
        <v>#VALUE!</v>
      </c>
      <c r="G214" s="23" t="e">
        <f t="shared" ca="1" si="26"/>
        <v>#VALUE!</v>
      </c>
      <c r="H214" s="24" t="str">
        <f t="shared" si="24"/>
        <v/>
      </c>
      <c r="I214" s="25" t="e">
        <f ca="1">IF($G214="Всього:",SUM($I$4:I213),MAX($C$32,K214))</f>
        <v>#VALUE!</v>
      </c>
      <c r="J214" s="25" t="e">
        <f ca="1">IF($G214="Всього:",SUM($J$4:J213),IF(I214-SUM(K214:L214)&lt;0,0,I214-SUM(K214:L214)))</f>
        <v>#VALUE!</v>
      </c>
      <c r="K214" s="25" t="e">
        <f ca="1">IF(G214="Всього:",SUM($K$5:K213),F214*O213/36000*(G214-G213))</f>
        <v>#VALUE!</v>
      </c>
      <c r="L214" s="25" t="e">
        <f ca="1">IF(G214="Всього:",SUM($L$5:L213),$E$4)</f>
        <v>#VALUE!</v>
      </c>
      <c r="M214" s="25" t="e">
        <f ca="1">IF(G214="Всього:",SUM($M$5:M213),IF($E$5="UAH",J214+L214+K214,J214+K214))</f>
        <v>#VALUE!</v>
      </c>
      <c r="N214" s="27" t="e">
        <f ca="1">IF(G214="Всього:",SUM($N$4:N213),IF($E$5="UAH","",L214))</f>
        <v>#VALUE!</v>
      </c>
      <c r="O214" s="25" t="e">
        <f t="shared" ca="1" si="21"/>
        <v>#VALUE!</v>
      </c>
      <c r="P214" s="33" t="e">
        <f t="shared" ca="1" si="22"/>
        <v>#VALUE!</v>
      </c>
      <c r="Q214" s="8" t="e">
        <f t="shared" ca="1" si="25"/>
        <v>#VALUE!</v>
      </c>
    </row>
    <row r="215" spans="6:17" s="8" customFormat="1" ht="13.2" x14ac:dyDescent="0.25">
      <c r="F215" s="34" t="e">
        <f t="shared" ca="1" si="23"/>
        <v>#VALUE!</v>
      </c>
      <c r="G215" s="23" t="e">
        <f t="shared" ca="1" si="26"/>
        <v>#VALUE!</v>
      </c>
      <c r="H215" s="24" t="str">
        <f t="shared" si="24"/>
        <v/>
      </c>
      <c r="I215" s="25" t="e">
        <f ca="1">IF($G215="Всього:",SUM($I$4:I214),MAX($C$32,K215))</f>
        <v>#VALUE!</v>
      </c>
      <c r="J215" s="25" t="e">
        <f ca="1">IF($G215="Всього:",SUM($J$4:J214),IF(I215-SUM(K215:L215)&lt;0,0,I215-SUM(K215:L215)))</f>
        <v>#VALUE!</v>
      </c>
      <c r="K215" s="25" t="e">
        <f ca="1">IF(G215="Всього:",SUM($K$5:K214),F215*O214/36000*(G215-G214))</f>
        <v>#VALUE!</v>
      </c>
      <c r="L215" s="25" t="e">
        <f ca="1">IF(G215="Всього:",SUM($L$5:L214),$E$4)</f>
        <v>#VALUE!</v>
      </c>
      <c r="M215" s="25" t="e">
        <f ca="1">IF(G215="Всього:",SUM($M$5:M214),IF($E$5="UAH",J215+L215+K215,J215+K215))</f>
        <v>#VALUE!</v>
      </c>
      <c r="N215" s="27" t="e">
        <f ca="1">IF(G215="Всього:",SUM($N$4:N214),IF($E$5="UAH","",L215))</f>
        <v>#VALUE!</v>
      </c>
      <c r="O215" s="25" t="e">
        <f t="shared" ca="1" si="21"/>
        <v>#VALUE!</v>
      </c>
      <c r="P215" s="33" t="e">
        <f t="shared" ca="1" si="22"/>
        <v>#VALUE!</v>
      </c>
      <c r="Q215" s="8" t="e">
        <f t="shared" ca="1" si="25"/>
        <v>#VALUE!</v>
      </c>
    </row>
    <row r="216" spans="6:17" s="8" customFormat="1" ht="13.2" x14ac:dyDescent="0.25">
      <c r="F216" s="34" t="e">
        <f t="shared" ca="1" si="23"/>
        <v>#VALUE!</v>
      </c>
      <c r="G216" s="23" t="e">
        <f t="shared" ca="1" si="26"/>
        <v>#VALUE!</v>
      </c>
      <c r="H216" s="24" t="str">
        <f t="shared" si="24"/>
        <v/>
      </c>
      <c r="I216" s="25" t="e">
        <f ca="1">IF($G216="Всього:",SUM($I$4:I215),MAX($C$32,K216))</f>
        <v>#VALUE!</v>
      </c>
      <c r="J216" s="25" t="e">
        <f ca="1">IF($G216="Всього:",SUM($J$4:J215),IF(I216-SUM(K216:L216)&lt;0,0,I216-SUM(K216:L216)))</f>
        <v>#VALUE!</v>
      </c>
      <c r="K216" s="25" t="e">
        <f ca="1">IF(G216="Всього:",SUM($K$5:K215),F216*O215/36000*(G216-G215))</f>
        <v>#VALUE!</v>
      </c>
      <c r="L216" s="25" t="e">
        <f ca="1">IF(G216="Всього:",SUM($L$5:L215),$E$4)</f>
        <v>#VALUE!</v>
      </c>
      <c r="M216" s="25" t="e">
        <f ca="1">IF(G216="Всього:",SUM($M$5:M215),IF($E$5="UAH",J216+L216+K216,J216+K216))</f>
        <v>#VALUE!</v>
      </c>
      <c r="N216" s="27" t="e">
        <f ca="1">IF(G216="Всього:",SUM($N$4:N215),IF($E$5="UAH","",L216))</f>
        <v>#VALUE!</v>
      </c>
      <c r="O216" s="25" t="e">
        <f t="shared" ca="1" si="21"/>
        <v>#VALUE!</v>
      </c>
      <c r="P216" s="33" t="e">
        <f t="shared" ca="1" si="22"/>
        <v>#VALUE!</v>
      </c>
      <c r="Q216" s="8" t="e">
        <f t="shared" ca="1" si="25"/>
        <v>#VALUE!</v>
      </c>
    </row>
    <row r="217" spans="6:17" s="8" customFormat="1" ht="13.2" x14ac:dyDescent="0.25">
      <c r="F217" s="34" t="e">
        <f t="shared" ca="1" si="23"/>
        <v>#VALUE!</v>
      </c>
      <c r="G217" s="23" t="e">
        <f t="shared" ca="1" si="26"/>
        <v>#VALUE!</v>
      </c>
      <c r="H217" s="24" t="str">
        <f t="shared" si="24"/>
        <v/>
      </c>
      <c r="I217" s="25" t="e">
        <f ca="1">IF($G217="Всього:",SUM($I$4:I216),MAX($C$32,K217))</f>
        <v>#VALUE!</v>
      </c>
      <c r="J217" s="25" t="e">
        <f ca="1">IF($G217="Всього:",SUM($J$4:J216),IF(I217-SUM(K217:L217)&lt;0,0,I217-SUM(K217:L217)))</f>
        <v>#VALUE!</v>
      </c>
      <c r="K217" s="25" t="e">
        <f ca="1">IF(G217="Всього:",SUM($K$5:K216),F217*O216/36000*(G217-G216))</f>
        <v>#VALUE!</v>
      </c>
      <c r="L217" s="25" t="e">
        <f ca="1">IF(G217="Всього:",SUM($L$5:L216),$E$4)</f>
        <v>#VALUE!</v>
      </c>
      <c r="M217" s="25" t="e">
        <f ca="1">IF(G217="Всього:",SUM($M$5:M216),IF($E$5="UAH",J217+L217+K217,J217+K217))</f>
        <v>#VALUE!</v>
      </c>
      <c r="N217" s="27" t="e">
        <f ca="1">IF(G217="Всього:",SUM($N$4:N216),IF($E$5="UAH","",L217))</f>
        <v>#VALUE!</v>
      </c>
      <c r="O217" s="25" t="e">
        <f t="shared" ca="1" si="21"/>
        <v>#VALUE!</v>
      </c>
      <c r="P217" s="33" t="e">
        <f t="shared" ca="1" si="22"/>
        <v>#VALUE!</v>
      </c>
      <c r="Q217" s="8" t="e">
        <f t="shared" ca="1" si="25"/>
        <v>#VALUE!</v>
      </c>
    </row>
    <row r="218" spans="6:17" s="8" customFormat="1" ht="13.2" x14ac:dyDescent="0.25">
      <c r="F218" s="34" t="e">
        <f t="shared" ca="1" si="23"/>
        <v>#VALUE!</v>
      </c>
      <c r="G218" s="23" t="e">
        <f t="shared" ca="1" si="26"/>
        <v>#VALUE!</v>
      </c>
      <c r="H218" s="24" t="str">
        <f t="shared" si="24"/>
        <v/>
      </c>
      <c r="I218" s="25" t="e">
        <f ca="1">IF($G218="Всього:",SUM($I$4:I217),MAX($C$32,K218))</f>
        <v>#VALUE!</v>
      </c>
      <c r="J218" s="25" t="e">
        <f ca="1">IF($G218="Всього:",SUM($J$4:J217),IF(I218-SUM(K218:L218)&lt;0,0,I218-SUM(K218:L218)))</f>
        <v>#VALUE!</v>
      </c>
      <c r="K218" s="25" t="e">
        <f ca="1">IF(G218="Всього:",SUM($K$5:K217),F218*O217/36000*(G218-G217))</f>
        <v>#VALUE!</v>
      </c>
      <c r="L218" s="25" t="e">
        <f ca="1">IF(G218="Всього:",SUM($L$5:L217),$E$4)</f>
        <v>#VALUE!</v>
      </c>
      <c r="M218" s="25" t="e">
        <f ca="1">IF(G218="Всього:",SUM($M$5:M217),IF($E$5="UAH",J218+L218+K218,J218+K218))</f>
        <v>#VALUE!</v>
      </c>
      <c r="N218" s="27" t="e">
        <f ca="1">IF(G218="Всього:",SUM($N$4:N217),IF($E$5="UAH","",L218))</f>
        <v>#VALUE!</v>
      </c>
      <c r="O218" s="25" t="e">
        <f t="shared" ca="1" si="21"/>
        <v>#VALUE!</v>
      </c>
      <c r="P218" s="33" t="e">
        <f t="shared" ca="1" si="22"/>
        <v>#VALUE!</v>
      </c>
      <c r="Q218" s="8" t="e">
        <f t="shared" ca="1" si="25"/>
        <v>#VALUE!</v>
      </c>
    </row>
    <row r="219" spans="6:17" s="8" customFormat="1" ht="13.2" x14ac:dyDescent="0.25">
      <c r="F219" s="34" t="e">
        <f t="shared" ca="1" si="23"/>
        <v>#VALUE!</v>
      </c>
      <c r="G219" s="23" t="e">
        <f t="shared" ca="1" si="26"/>
        <v>#VALUE!</v>
      </c>
      <c r="H219" s="24" t="str">
        <f t="shared" si="24"/>
        <v/>
      </c>
      <c r="I219" s="25" t="e">
        <f ca="1">IF($G219="Всього:",SUM($I$4:I218),MAX($C$32,K219))</f>
        <v>#VALUE!</v>
      </c>
      <c r="J219" s="25" t="e">
        <f ca="1">IF($G219="Всього:",SUM($J$4:J218),IF(I219-SUM(K219:L219)&lt;0,0,I219-SUM(K219:L219)))</f>
        <v>#VALUE!</v>
      </c>
      <c r="K219" s="25" t="e">
        <f ca="1">IF(G219="Всього:",SUM($K$5:K218),F219*O218/36000*(G219-G218))</f>
        <v>#VALUE!</v>
      </c>
      <c r="L219" s="25" t="e">
        <f ca="1">IF(G219="Всього:",SUM($L$5:L218),$E$4)</f>
        <v>#VALUE!</v>
      </c>
      <c r="M219" s="25" t="e">
        <f ca="1">IF(G219="Всього:",SUM($M$5:M218),IF($E$5="UAH",J219+L219+K219,J219+K219))</f>
        <v>#VALUE!</v>
      </c>
      <c r="N219" s="27" t="e">
        <f ca="1">IF(G219="Всього:",SUM($N$4:N218),IF($E$5="UAH","",L219))</f>
        <v>#VALUE!</v>
      </c>
      <c r="O219" s="25" t="e">
        <f t="shared" ca="1" si="21"/>
        <v>#VALUE!</v>
      </c>
      <c r="P219" s="33" t="e">
        <f t="shared" ca="1" si="22"/>
        <v>#VALUE!</v>
      </c>
      <c r="Q219" s="8" t="e">
        <f t="shared" ca="1" si="25"/>
        <v>#VALUE!</v>
      </c>
    </row>
    <row r="220" spans="6:17" s="8" customFormat="1" ht="13.2" x14ac:dyDescent="0.25">
      <c r="F220" s="34" t="e">
        <f t="shared" ca="1" si="23"/>
        <v>#VALUE!</v>
      </c>
      <c r="G220" s="23" t="e">
        <f t="shared" ca="1" si="26"/>
        <v>#VALUE!</v>
      </c>
      <c r="H220" s="24" t="str">
        <f t="shared" si="24"/>
        <v/>
      </c>
      <c r="I220" s="25" t="e">
        <f ca="1">IF($G220="Всього:",SUM($I$4:I219),MAX($C$32,K220))</f>
        <v>#VALUE!</v>
      </c>
      <c r="J220" s="25" t="e">
        <f ca="1">IF($G220="Всього:",SUM($J$4:J219),IF(I220-SUM(K220:L220)&lt;0,0,I220-SUM(K220:L220)))</f>
        <v>#VALUE!</v>
      </c>
      <c r="K220" s="25" t="e">
        <f ca="1">IF(G220="Всього:",SUM($K$5:K219),F220*O219/36000*(G220-G219))</f>
        <v>#VALUE!</v>
      </c>
      <c r="L220" s="25" t="e">
        <f ca="1">IF(G220="Всього:",SUM($L$5:L219),$E$4)</f>
        <v>#VALUE!</v>
      </c>
      <c r="M220" s="25" t="e">
        <f ca="1">IF(G220="Всього:",SUM($M$5:M219),IF($E$5="UAH",J220+L220+K220,J220+K220))</f>
        <v>#VALUE!</v>
      </c>
      <c r="N220" s="27" t="e">
        <f ca="1">IF(G220="Всього:",SUM($N$4:N219),IF($E$5="UAH","",L220))</f>
        <v>#VALUE!</v>
      </c>
      <c r="O220" s="25" t="e">
        <f t="shared" ca="1" si="21"/>
        <v>#VALUE!</v>
      </c>
      <c r="P220" s="33" t="e">
        <f t="shared" ca="1" si="22"/>
        <v>#VALUE!</v>
      </c>
      <c r="Q220" s="8" t="e">
        <f t="shared" ca="1" si="25"/>
        <v>#VALUE!</v>
      </c>
    </row>
    <row r="221" spans="6:17" s="8" customFormat="1" ht="13.2" x14ac:dyDescent="0.25">
      <c r="F221" s="34" t="e">
        <f t="shared" ca="1" si="23"/>
        <v>#VALUE!</v>
      </c>
      <c r="G221" s="23" t="e">
        <f t="shared" ca="1" si="26"/>
        <v>#VALUE!</v>
      </c>
      <c r="H221" s="24" t="str">
        <f t="shared" si="24"/>
        <v/>
      </c>
      <c r="I221" s="25" t="e">
        <f ca="1">IF($G221="Всього:",SUM($I$4:I220),MAX($C$32,K221))</f>
        <v>#VALUE!</v>
      </c>
      <c r="J221" s="25" t="e">
        <f ca="1">IF($G221="Всього:",SUM($J$4:J220),IF(I221-SUM(K221:L221)&lt;0,0,I221-SUM(K221:L221)))</f>
        <v>#VALUE!</v>
      </c>
      <c r="K221" s="25" t="e">
        <f ca="1">IF(G221="Всього:",SUM($K$5:K220),F221*O220/36000*(G221-G220))</f>
        <v>#VALUE!</v>
      </c>
      <c r="L221" s="25" t="e">
        <f ca="1">IF(G221="Всього:",SUM($L$5:L220),$E$4)</f>
        <v>#VALUE!</v>
      </c>
      <c r="M221" s="25" t="e">
        <f ca="1">IF(G221="Всього:",SUM($M$5:M220),IF($E$5="UAH",J221+L221+K221,J221+K221))</f>
        <v>#VALUE!</v>
      </c>
      <c r="N221" s="27" t="e">
        <f ca="1">IF(G221="Всього:",SUM($N$4:N220),IF($E$5="UAH","",L221))</f>
        <v>#VALUE!</v>
      </c>
      <c r="O221" s="25" t="e">
        <f t="shared" ca="1" si="21"/>
        <v>#VALUE!</v>
      </c>
      <c r="P221" s="33" t="e">
        <f t="shared" ca="1" si="22"/>
        <v>#VALUE!</v>
      </c>
      <c r="Q221" s="8" t="e">
        <f t="shared" ca="1" si="25"/>
        <v>#VALUE!</v>
      </c>
    </row>
    <row r="222" spans="6:17" s="8" customFormat="1" ht="13.2" x14ac:dyDescent="0.25">
      <c r="F222" s="34" t="e">
        <f t="shared" ca="1" si="23"/>
        <v>#VALUE!</v>
      </c>
      <c r="G222" s="23" t="e">
        <f t="shared" ca="1" si="26"/>
        <v>#VALUE!</v>
      </c>
      <c r="H222" s="24" t="str">
        <f t="shared" si="24"/>
        <v/>
      </c>
      <c r="I222" s="25" t="e">
        <f ca="1">IF($G222="Всього:",SUM($I$4:I221),MAX($C$32,K222))</f>
        <v>#VALUE!</v>
      </c>
      <c r="J222" s="25" t="e">
        <f ca="1">IF($G222="Всього:",SUM($J$4:J221),IF(I222-SUM(K222:L222)&lt;0,0,I222-SUM(K222:L222)))</f>
        <v>#VALUE!</v>
      </c>
      <c r="K222" s="25" t="e">
        <f ca="1">IF(G222="Всього:",SUM($K$5:K221),F222*O221/36000*(G222-G221))</f>
        <v>#VALUE!</v>
      </c>
      <c r="L222" s="25" t="e">
        <f ca="1">IF(G222="Всього:",SUM($L$5:L221),$E$4)</f>
        <v>#VALUE!</v>
      </c>
      <c r="M222" s="25" t="e">
        <f ca="1">IF(G222="Всього:",SUM($M$5:M221),IF($E$5="UAH",J222+L222+K222,J222+K222))</f>
        <v>#VALUE!</v>
      </c>
      <c r="N222" s="27" t="e">
        <f ca="1">IF(G222="Всього:",SUM($N$4:N221),IF($E$5="UAH","",L222))</f>
        <v>#VALUE!</v>
      </c>
      <c r="O222" s="25" t="e">
        <f t="shared" ca="1" si="21"/>
        <v>#VALUE!</v>
      </c>
      <c r="P222" s="33" t="e">
        <f t="shared" ca="1" si="22"/>
        <v>#VALUE!</v>
      </c>
      <c r="Q222" s="8" t="e">
        <f t="shared" ca="1" si="25"/>
        <v>#VALUE!</v>
      </c>
    </row>
    <row r="223" spans="6:17" s="8" customFormat="1" ht="13.2" x14ac:dyDescent="0.25">
      <c r="F223" s="34" t="e">
        <f t="shared" ca="1" si="23"/>
        <v>#VALUE!</v>
      </c>
      <c r="G223" s="23" t="e">
        <f t="shared" ca="1" si="26"/>
        <v>#VALUE!</v>
      </c>
      <c r="H223" s="24" t="str">
        <f t="shared" si="24"/>
        <v/>
      </c>
      <c r="I223" s="25" t="e">
        <f ca="1">IF($G223="Всього:",SUM($I$4:I222),MAX($C$32,K223))</f>
        <v>#VALUE!</v>
      </c>
      <c r="J223" s="25" t="e">
        <f ca="1">IF($G223="Всього:",SUM($J$4:J222),IF(I223-SUM(K223:L223)&lt;0,0,I223-SUM(K223:L223)))</f>
        <v>#VALUE!</v>
      </c>
      <c r="K223" s="25" t="e">
        <f ca="1">IF(G223="Всього:",SUM($K$5:K222),F223*O222/36000*(G223-G222))</f>
        <v>#VALUE!</v>
      </c>
      <c r="L223" s="25" t="e">
        <f ca="1">IF(G223="Всього:",SUM($L$5:L222),$E$4)</f>
        <v>#VALUE!</v>
      </c>
      <c r="M223" s="25" t="e">
        <f ca="1">IF(G223="Всього:",SUM($M$5:M222),IF($E$5="UAH",J223+L223+K223,J223+K223))</f>
        <v>#VALUE!</v>
      </c>
      <c r="N223" s="27" t="e">
        <f ca="1">IF(G223="Всього:",SUM($N$4:N222),IF($E$5="UAH","",L223))</f>
        <v>#VALUE!</v>
      </c>
      <c r="O223" s="25" t="e">
        <f t="shared" ca="1" si="21"/>
        <v>#VALUE!</v>
      </c>
      <c r="P223" s="33" t="e">
        <f t="shared" ca="1" si="22"/>
        <v>#VALUE!</v>
      </c>
      <c r="Q223" s="8" t="e">
        <f t="shared" ca="1" si="25"/>
        <v>#VALUE!</v>
      </c>
    </row>
    <row r="224" spans="6:17" s="8" customFormat="1" ht="13.2" x14ac:dyDescent="0.25">
      <c r="F224" s="34" t="e">
        <f t="shared" ca="1" si="23"/>
        <v>#VALUE!</v>
      </c>
      <c r="G224" s="23" t="e">
        <f t="shared" ca="1" si="26"/>
        <v>#VALUE!</v>
      </c>
      <c r="H224" s="24" t="str">
        <f t="shared" si="24"/>
        <v/>
      </c>
      <c r="I224" s="25" t="e">
        <f ca="1">IF($G224="Всього:",SUM($I$4:I223),MAX($C$32,K224))</f>
        <v>#VALUE!</v>
      </c>
      <c r="J224" s="25" t="e">
        <f ca="1">IF($G224="Всього:",SUM($J$4:J223),IF(I224-SUM(K224:L224)&lt;0,0,I224-SUM(K224:L224)))</f>
        <v>#VALUE!</v>
      </c>
      <c r="K224" s="25" t="e">
        <f ca="1">IF(G224="Всього:",SUM($K$5:K223),F224*O223/36000*(G224-G223))</f>
        <v>#VALUE!</v>
      </c>
      <c r="L224" s="25" t="e">
        <f ca="1">IF(G224="Всього:",SUM($L$5:L223),$E$4)</f>
        <v>#VALUE!</v>
      </c>
      <c r="M224" s="25" t="e">
        <f ca="1">IF(G224="Всього:",SUM($M$5:M223),IF($E$5="UAH",J224+L224+K224,J224+K224))</f>
        <v>#VALUE!</v>
      </c>
      <c r="N224" s="27" t="e">
        <f ca="1">IF(G224="Всього:",SUM($N$4:N223),IF($E$5="UAH","",L224))</f>
        <v>#VALUE!</v>
      </c>
      <c r="O224" s="25" t="e">
        <f t="shared" ca="1" si="21"/>
        <v>#VALUE!</v>
      </c>
      <c r="P224" s="33" t="e">
        <f t="shared" ca="1" si="22"/>
        <v>#VALUE!</v>
      </c>
      <c r="Q224" s="8" t="e">
        <f t="shared" ca="1" si="25"/>
        <v>#VALUE!</v>
      </c>
    </row>
    <row r="225" spans="6:17" s="8" customFormat="1" ht="13.2" x14ac:dyDescent="0.25">
      <c r="F225" s="34" t="e">
        <f t="shared" ca="1" si="23"/>
        <v>#VALUE!</v>
      </c>
      <c r="G225" s="23" t="e">
        <f t="shared" ca="1" si="26"/>
        <v>#VALUE!</v>
      </c>
      <c r="H225" s="24" t="str">
        <f t="shared" si="24"/>
        <v/>
      </c>
      <c r="I225" s="25" t="e">
        <f ca="1">IF($G225="Всього:",SUM($I$4:I224),MAX($C$32,K225))</f>
        <v>#VALUE!</v>
      </c>
      <c r="J225" s="25" t="e">
        <f ca="1">IF($G225="Всього:",SUM($J$4:J224),IF(I225-SUM(K225:L225)&lt;0,0,I225-SUM(K225:L225)))</f>
        <v>#VALUE!</v>
      </c>
      <c r="K225" s="25" t="e">
        <f ca="1">IF(G225="Всього:",SUM($K$5:K224),F225*O224/36000*(G225-G224))</f>
        <v>#VALUE!</v>
      </c>
      <c r="L225" s="25" t="e">
        <f ca="1">IF(G225="Всього:",SUM($L$5:L224),$E$4)</f>
        <v>#VALUE!</v>
      </c>
      <c r="M225" s="25" t="e">
        <f ca="1">IF(G225="Всього:",SUM($M$5:M224),IF($E$5="UAH",J225+L225+K225,J225+K225))</f>
        <v>#VALUE!</v>
      </c>
      <c r="N225" s="27" t="e">
        <f ca="1">IF(G225="Всього:",SUM($N$4:N224),IF($E$5="UAH","",L225))</f>
        <v>#VALUE!</v>
      </c>
      <c r="O225" s="25" t="e">
        <f t="shared" ca="1" si="21"/>
        <v>#VALUE!</v>
      </c>
      <c r="P225" s="33" t="e">
        <f t="shared" ca="1" si="22"/>
        <v>#VALUE!</v>
      </c>
      <c r="Q225" s="8" t="e">
        <f t="shared" ca="1" si="25"/>
        <v>#VALUE!</v>
      </c>
    </row>
    <row r="226" spans="6:17" s="8" customFormat="1" ht="13.2" x14ac:dyDescent="0.25">
      <c r="F226" s="34" t="e">
        <f t="shared" ca="1" si="23"/>
        <v>#VALUE!</v>
      </c>
      <c r="G226" s="23" t="e">
        <f t="shared" ca="1" si="26"/>
        <v>#VALUE!</v>
      </c>
      <c r="H226" s="24" t="str">
        <f t="shared" si="24"/>
        <v/>
      </c>
      <c r="I226" s="25" t="e">
        <f ca="1">IF($G226="Всього:",SUM($I$4:I225),MAX($C$32,K226))</f>
        <v>#VALUE!</v>
      </c>
      <c r="J226" s="25" t="e">
        <f ca="1">IF($G226="Всього:",SUM($J$4:J225),IF(I226-SUM(K226:L226)&lt;0,0,I226-SUM(K226:L226)))</f>
        <v>#VALUE!</v>
      </c>
      <c r="K226" s="25" t="e">
        <f ca="1">IF(G226="Всього:",SUM($K$5:K225),F226*O225/36000*(G226-G225))</f>
        <v>#VALUE!</v>
      </c>
      <c r="L226" s="25" t="e">
        <f ca="1">IF(G226="Всього:",SUM($L$5:L225),$E$4)</f>
        <v>#VALUE!</v>
      </c>
      <c r="M226" s="25" t="e">
        <f ca="1">IF(G226="Всього:",SUM($M$5:M225),IF($E$5="UAH",J226+L226+K226,J226+K226))</f>
        <v>#VALUE!</v>
      </c>
      <c r="N226" s="27" t="e">
        <f ca="1">IF(G226="Всього:",SUM($N$4:N225),IF($E$5="UAH","",L226))</f>
        <v>#VALUE!</v>
      </c>
      <c r="O226" s="25" t="e">
        <f t="shared" ca="1" si="21"/>
        <v>#VALUE!</v>
      </c>
      <c r="P226" s="33" t="e">
        <f t="shared" ca="1" si="22"/>
        <v>#VALUE!</v>
      </c>
      <c r="Q226" s="8" t="e">
        <f t="shared" ca="1" si="25"/>
        <v>#VALUE!</v>
      </c>
    </row>
    <row r="227" spans="6:17" s="8" customFormat="1" ht="13.2" x14ac:dyDescent="0.25">
      <c r="F227" s="34" t="e">
        <f t="shared" ca="1" si="23"/>
        <v>#VALUE!</v>
      </c>
      <c r="G227" s="23" t="e">
        <f t="shared" ca="1" si="26"/>
        <v>#VALUE!</v>
      </c>
      <c r="H227" s="24" t="str">
        <f t="shared" si="24"/>
        <v/>
      </c>
      <c r="I227" s="25" t="e">
        <f ca="1">IF($G227="Всього:",SUM($I$4:I226),MAX($C$32,K227))</f>
        <v>#VALUE!</v>
      </c>
      <c r="J227" s="25" t="e">
        <f ca="1">IF($G227="Всього:",SUM($J$4:J226),IF(I227-SUM(K227:L227)&lt;0,0,I227-SUM(K227:L227)))</f>
        <v>#VALUE!</v>
      </c>
      <c r="K227" s="25" t="e">
        <f ca="1">IF(G227="Всього:",SUM($K$5:K226),F227*O226/36000*(G227-G226))</f>
        <v>#VALUE!</v>
      </c>
      <c r="L227" s="25" t="e">
        <f ca="1">IF(G227="Всього:",SUM($L$5:L226),$E$4)</f>
        <v>#VALUE!</v>
      </c>
      <c r="M227" s="25" t="e">
        <f ca="1">IF(G227="Всього:",SUM($M$5:M226),IF($E$5="UAH",J227+L227+K227,J227+K227))</f>
        <v>#VALUE!</v>
      </c>
      <c r="N227" s="27" t="e">
        <f ca="1">IF(G227="Всього:",SUM($N$4:N226),IF($E$5="UAH","",L227))</f>
        <v>#VALUE!</v>
      </c>
      <c r="O227" s="25" t="e">
        <f t="shared" ca="1" si="21"/>
        <v>#VALUE!</v>
      </c>
      <c r="P227" s="33" t="e">
        <f t="shared" ca="1" si="22"/>
        <v>#VALUE!</v>
      </c>
      <c r="Q227" s="8" t="e">
        <f t="shared" ca="1" si="25"/>
        <v>#VALUE!</v>
      </c>
    </row>
    <row r="228" spans="6:17" s="8" customFormat="1" ht="13.2" x14ac:dyDescent="0.25">
      <c r="F228" s="34" t="e">
        <f t="shared" ca="1" si="23"/>
        <v>#VALUE!</v>
      </c>
      <c r="G228" s="23" t="e">
        <f t="shared" ca="1" si="26"/>
        <v>#VALUE!</v>
      </c>
      <c r="H228" s="24" t="str">
        <f t="shared" si="24"/>
        <v/>
      </c>
      <c r="I228" s="25" t="e">
        <f ca="1">IF($G228="Всього:",SUM($I$4:I227),MAX($C$32,K228))</f>
        <v>#VALUE!</v>
      </c>
      <c r="J228" s="25" t="e">
        <f ca="1">IF($G228="Всього:",SUM($J$4:J227),IF(I228-SUM(K228:L228)&lt;0,0,I228-SUM(K228:L228)))</f>
        <v>#VALUE!</v>
      </c>
      <c r="K228" s="25" t="e">
        <f ca="1">IF(G228="Всього:",SUM($K$5:K227),F228*O227/36000*(G228-G227))</f>
        <v>#VALUE!</v>
      </c>
      <c r="L228" s="25" t="e">
        <f ca="1">IF(G228="Всього:",SUM($L$5:L227),$E$4)</f>
        <v>#VALUE!</v>
      </c>
      <c r="M228" s="25" t="e">
        <f ca="1">IF(G228="Всього:",SUM($M$5:M227),IF($E$5="UAH",J228+L228+K228,J228+K228))</f>
        <v>#VALUE!</v>
      </c>
      <c r="N228" s="27" t="e">
        <f ca="1">IF(G228="Всього:",SUM($N$4:N227),IF($E$5="UAH","",L228))</f>
        <v>#VALUE!</v>
      </c>
      <c r="O228" s="25" t="e">
        <f t="shared" ca="1" si="21"/>
        <v>#VALUE!</v>
      </c>
      <c r="P228" s="33" t="e">
        <f t="shared" ca="1" si="22"/>
        <v>#VALUE!</v>
      </c>
      <c r="Q228" s="8" t="e">
        <f t="shared" ca="1" si="25"/>
        <v>#VALUE!</v>
      </c>
    </row>
    <row r="229" spans="6:17" s="8" customFormat="1" ht="13.2" x14ac:dyDescent="0.25">
      <c r="F229" s="34" t="e">
        <f t="shared" ca="1" si="23"/>
        <v>#VALUE!</v>
      </c>
      <c r="G229" s="23" t="e">
        <f t="shared" ca="1" si="26"/>
        <v>#VALUE!</v>
      </c>
      <c r="H229" s="24" t="str">
        <f t="shared" si="24"/>
        <v/>
      </c>
      <c r="I229" s="25" t="e">
        <f ca="1">IF($G229="Всього:",SUM($I$4:I228),MAX($C$32,K229))</f>
        <v>#VALUE!</v>
      </c>
      <c r="J229" s="25" t="e">
        <f ca="1">IF($G229="Всього:",SUM($J$4:J228),IF(I229-SUM(K229:L229)&lt;0,0,I229-SUM(K229:L229)))</f>
        <v>#VALUE!</v>
      </c>
      <c r="K229" s="25" t="e">
        <f ca="1">IF(G229="Всього:",SUM($K$5:K228),F229*O228/36000*(G229-G228))</f>
        <v>#VALUE!</v>
      </c>
      <c r="L229" s="25" t="e">
        <f ca="1">IF(G229="Всього:",SUM($L$5:L228),$E$4)</f>
        <v>#VALUE!</v>
      </c>
      <c r="M229" s="25" t="e">
        <f ca="1">IF(G229="Всього:",SUM($M$5:M228),IF($E$5="UAH",J229+L229+K229,J229+K229))</f>
        <v>#VALUE!</v>
      </c>
      <c r="N229" s="27" t="e">
        <f ca="1">IF(G229="Всього:",SUM($N$4:N228),IF($E$5="UAH","",L229))</f>
        <v>#VALUE!</v>
      </c>
      <c r="O229" s="25" t="e">
        <f t="shared" ca="1" si="21"/>
        <v>#VALUE!</v>
      </c>
      <c r="P229" s="33" t="e">
        <f t="shared" ca="1" si="22"/>
        <v>#VALUE!</v>
      </c>
      <c r="Q229" s="8" t="e">
        <f t="shared" ca="1" si="25"/>
        <v>#VALUE!</v>
      </c>
    </row>
    <row r="230" spans="6:17" s="8" customFormat="1" ht="13.2" x14ac:dyDescent="0.25">
      <c r="F230" s="34" t="e">
        <f t="shared" ca="1" si="23"/>
        <v>#VALUE!</v>
      </c>
      <c r="G230" s="23" t="e">
        <f t="shared" ca="1" si="26"/>
        <v>#VALUE!</v>
      </c>
      <c r="H230" s="24" t="str">
        <f t="shared" si="24"/>
        <v/>
      </c>
      <c r="I230" s="25" t="e">
        <f ca="1">IF($G230="Всього:",SUM($I$4:I229),MAX($C$32,K230))</f>
        <v>#VALUE!</v>
      </c>
      <c r="J230" s="25" t="e">
        <f ca="1">IF($G230="Всього:",SUM($J$4:J229),IF(I230-SUM(K230:L230)&lt;0,0,I230-SUM(K230:L230)))</f>
        <v>#VALUE!</v>
      </c>
      <c r="K230" s="25" t="e">
        <f ca="1">IF(G230="Всього:",SUM($K$5:K229),F230*O229/36000*(G230-G229))</f>
        <v>#VALUE!</v>
      </c>
      <c r="L230" s="25" t="e">
        <f ca="1">IF(G230="Всього:",SUM($L$5:L229),$E$4)</f>
        <v>#VALUE!</v>
      </c>
      <c r="M230" s="25" t="e">
        <f ca="1">IF(G230="Всього:",SUM($M$5:M229),IF($E$5="UAH",J230+L230+K230,J230+K230))</f>
        <v>#VALUE!</v>
      </c>
      <c r="N230" s="27" t="e">
        <f ca="1">IF(G230="Всього:",SUM($N$4:N229),IF($E$5="UAH","",L230))</f>
        <v>#VALUE!</v>
      </c>
      <c r="O230" s="25" t="e">
        <f t="shared" ca="1" si="21"/>
        <v>#VALUE!</v>
      </c>
      <c r="P230" s="33" t="e">
        <f t="shared" ca="1" si="22"/>
        <v>#VALUE!</v>
      </c>
      <c r="Q230" s="8" t="e">
        <f t="shared" ca="1" si="25"/>
        <v>#VALUE!</v>
      </c>
    </row>
    <row r="231" spans="6:17" s="8" customFormat="1" ht="13.2" x14ac:dyDescent="0.25">
      <c r="F231" s="34" t="e">
        <f t="shared" ca="1" si="23"/>
        <v>#VALUE!</v>
      </c>
      <c r="G231" s="23" t="e">
        <f t="shared" ca="1" si="26"/>
        <v>#VALUE!</v>
      </c>
      <c r="H231" s="24" t="str">
        <f t="shared" si="24"/>
        <v/>
      </c>
      <c r="I231" s="25" t="e">
        <f ca="1">IF($G231="Всього:",SUM($I$4:I230),MAX($C$32,K231))</f>
        <v>#VALUE!</v>
      </c>
      <c r="J231" s="25" t="e">
        <f ca="1">IF($G231="Всього:",SUM($J$4:J230),IF(I231-SUM(K231:L231)&lt;0,0,I231-SUM(K231:L231)))</f>
        <v>#VALUE!</v>
      </c>
      <c r="K231" s="25" t="e">
        <f ca="1">IF(G231="Всього:",SUM($K$5:K230),F231*O230/36000*(G231-G230))</f>
        <v>#VALUE!</v>
      </c>
      <c r="L231" s="25" t="e">
        <f ca="1">IF(G231="Всього:",SUM($L$5:L230),$E$4)</f>
        <v>#VALUE!</v>
      </c>
      <c r="M231" s="25" t="e">
        <f ca="1">IF(G231="Всього:",SUM($M$5:M230),IF($E$5="UAH",J231+L231+K231,J231+K231))</f>
        <v>#VALUE!</v>
      </c>
      <c r="N231" s="27" t="e">
        <f ca="1">IF(G231="Всього:",SUM($N$4:N230),IF($E$5="UAH","",L231))</f>
        <v>#VALUE!</v>
      </c>
      <c r="O231" s="25" t="e">
        <f t="shared" ca="1" si="21"/>
        <v>#VALUE!</v>
      </c>
      <c r="P231" s="33" t="e">
        <f t="shared" ca="1" si="22"/>
        <v>#VALUE!</v>
      </c>
      <c r="Q231" s="8" t="e">
        <f t="shared" ca="1" si="25"/>
        <v>#VALUE!</v>
      </c>
    </row>
    <row r="232" spans="6:17" s="8" customFormat="1" ht="13.2" x14ac:dyDescent="0.25">
      <c r="F232" s="34" t="e">
        <f t="shared" ca="1" si="23"/>
        <v>#VALUE!</v>
      </c>
      <c r="G232" s="23" t="e">
        <f t="shared" ca="1" si="26"/>
        <v>#VALUE!</v>
      </c>
      <c r="H232" s="24" t="str">
        <f t="shared" si="24"/>
        <v/>
      </c>
      <c r="I232" s="25" t="e">
        <f ca="1">IF($G232="Всього:",SUM($I$4:I231),MAX($C$32,K232))</f>
        <v>#VALUE!</v>
      </c>
      <c r="J232" s="25" t="e">
        <f ca="1">IF($G232="Всього:",SUM($J$4:J231),IF(I232-SUM(K232:L232)&lt;0,0,I232-SUM(K232:L232)))</f>
        <v>#VALUE!</v>
      </c>
      <c r="K232" s="25" t="e">
        <f ca="1">IF(G232="Всього:",SUM($K$5:K231),F232*O231/36000*(G232-G231))</f>
        <v>#VALUE!</v>
      </c>
      <c r="L232" s="25" t="e">
        <f ca="1">IF(G232="Всього:",SUM($L$5:L231),$E$4)</f>
        <v>#VALUE!</v>
      </c>
      <c r="M232" s="25" t="e">
        <f ca="1">IF(G232="Всього:",SUM($M$5:M231),IF($E$5="UAH",J232+L232+K232,J232+K232))</f>
        <v>#VALUE!</v>
      </c>
      <c r="N232" s="27" t="e">
        <f ca="1">IF(G232="Всього:",SUM($N$4:N231),IF($E$5="UAH","",L232))</f>
        <v>#VALUE!</v>
      </c>
      <c r="O232" s="25" t="e">
        <f t="shared" ca="1" si="21"/>
        <v>#VALUE!</v>
      </c>
      <c r="P232" s="33" t="e">
        <f t="shared" ca="1" si="22"/>
        <v>#VALUE!</v>
      </c>
      <c r="Q232" s="8" t="e">
        <f t="shared" ca="1" si="25"/>
        <v>#VALUE!</v>
      </c>
    </row>
    <row r="233" spans="6:17" s="8" customFormat="1" ht="13.2" x14ac:dyDescent="0.25">
      <c r="F233" s="34" t="e">
        <f t="shared" ca="1" si="23"/>
        <v>#VALUE!</v>
      </c>
      <c r="G233" s="23" t="e">
        <f t="shared" ca="1" si="26"/>
        <v>#VALUE!</v>
      </c>
      <c r="H233" s="24" t="str">
        <f t="shared" si="24"/>
        <v/>
      </c>
      <c r="I233" s="25" t="e">
        <f ca="1">IF($G233="Всього:",SUM($I$4:I232),MAX($C$32,K233))</f>
        <v>#VALUE!</v>
      </c>
      <c r="J233" s="25" t="e">
        <f ca="1">IF($G233="Всього:",SUM($J$4:J232),IF(I233-SUM(K233:L233)&lt;0,0,I233-SUM(K233:L233)))</f>
        <v>#VALUE!</v>
      </c>
      <c r="K233" s="25" t="e">
        <f ca="1">IF(G233="Всього:",SUM($K$5:K232),F233*O232/36000*(G233-G232))</f>
        <v>#VALUE!</v>
      </c>
      <c r="L233" s="25" t="e">
        <f ca="1">IF(G233="Всього:",SUM($L$5:L232),$E$4)</f>
        <v>#VALUE!</v>
      </c>
      <c r="M233" s="25" t="e">
        <f ca="1">IF(G233="Всього:",SUM($M$5:M232),IF($E$5="UAH",J233+L233+K233,J233+K233))</f>
        <v>#VALUE!</v>
      </c>
      <c r="N233" s="27" t="e">
        <f ca="1">IF(G233="Всього:",SUM($N$4:N232),IF($E$5="UAH","",L233))</f>
        <v>#VALUE!</v>
      </c>
      <c r="O233" s="25" t="e">
        <f t="shared" ca="1" si="21"/>
        <v>#VALUE!</v>
      </c>
      <c r="P233" s="33" t="e">
        <f t="shared" ca="1" si="22"/>
        <v>#VALUE!</v>
      </c>
      <c r="Q233" s="8" t="e">
        <f t="shared" ca="1" si="25"/>
        <v>#VALUE!</v>
      </c>
    </row>
    <row r="234" spans="6:17" s="8" customFormat="1" ht="13.2" x14ac:dyDescent="0.25">
      <c r="F234" s="34" t="e">
        <f t="shared" ca="1" si="23"/>
        <v>#VALUE!</v>
      </c>
      <c r="G234" s="23" t="e">
        <f t="shared" ca="1" si="26"/>
        <v>#VALUE!</v>
      </c>
      <c r="H234" s="24" t="str">
        <f t="shared" si="24"/>
        <v/>
      </c>
      <c r="I234" s="25" t="e">
        <f ca="1">IF($G234="Всього:",SUM($I$4:I233),MAX($C$32,K234))</f>
        <v>#VALUE!</v>
      </c>
      <c r="J234" s="25" t="e">
        <f ca="1">IF($G234="Всього:",SUM($J$4:J233),IF(I234-SUM(K234:L234)&lt;0,0,I234-SUM(K234:L234)))</f>
        <v>#VALUE!</v>
      </c>
      <c r="K234" s="25" t="e">
        <f ca="1">IF(G234="Всього:",SUM($K$5:K233),F234*O233/36000*(G234-G233))</f>
        <v>#VALUE!</v>
      </c>
      <c r="L234" s="25" t="e">
        <f ca="1">IF(G234="Всього:",SUM($L$5:L233),$E$4)</f>
        <v>#VALUE!</v>
      </c>
      <c r="M234" s="25" t="e">
        <f ca="1">IF(G234="Всього:",SUM($M$5:M233),IF($E$5="UAH",J234+L234+K234,J234+K234))</f>
        <v>#VALUE!</v>
      </c>
      <c r="N234" s="27" t="e">
        <f ca="1">IF(G234="Всього:",SUM($N$4:N233),IF($E$5="UAH","",L234))</f>
        <v>#VALUE!</v>
      </c>
      <c r="O234" s="25" t="e">
        <f t="shared" ca="1" si="21"/>
        <v>#VALUE!</v>
      </c>
      <c r="P234" s="33" t="e">
        <f t="shared" ca="1" si="22"/>
        <v>#VALUE!</v>
      </c>
      <c r="Q234" s="8" t="e">
        <f t="shared" ca="1" si="25"/>
        <v>#VALUE!</v>
      </c>
    </row>
    <row r="235" spans="6:17" s="8" customFormat="1" ht="13.2" x14ac:dyDescent="0.25">
      <c r="F235" s="34" t="e">
        <f t="shared" ca="1" si="23"/>
        <v>#VALUE!</v>
      </c>
      <c r="G235" s="23" t="e">
        <f t="shared" ca="1" si="26"/>
        <v>#VALUE!</v>
      </c>
      <c r="H235" s="24" t="str">
        <f t="shared" si="24"/>
        <v/>
      </c>
      <c r="I235" s="25" t="e">
        <f ca="1">IF($G235="Всього:",SUM($I$4:I234),MAX($C$32,K235))</f>
        <v>#VALUE!</v>
      </c>
      <c r="J235" s="25" t="e">
        <f ca="1">IF($G235="Всього:",SUM($J$4:J234),IF(I235-SUM(K235:L235)&lt;0,0,I235-SUM(K235:L235)))</f>
        <v>#VALUE!</v>
      </c>
      <c r="K235" s="25" t="e">
        <f ca="1">IF(G235="Всього:",SUM($K$5:K234),F235*O234/36000*(G235-G234))</f>
        <v>#VALUE!</v>
      </c>
      <c r="L235" s="25" t="e">
        <f ca="1">IF(G235="Всього:",SUM($L$5:L234),$E$4)</f>
        <v>#VALUE!</v>
      </c>
      <c r="M235" s="25" t="e">
        <f ca="1">IF(G235="Всього:",SUM($M$5:M234),IF($E$5="UAH",J235+L235+K235,J235+K235))</f>
        <v>#VALUE!</v>
      </c>
      <c r="N235" s="27" t="e">
        <f ca="1">IF(G235="Всього:",SUM($N$4:N234),IF($E$5="UAH","",L235))</f>
        <v>#VALUE!</v>
      </c>
      <c r="O235" s="25" t="e">
        <f t="shared" ca="1" si="21"/>
        <v>#VALUE!</v>
      </c>
      <c r="P235" s="33" t="e">
        <f t="shared" ca="1" si="22"/>
        <v>#VALUE!</v>
      </c>
      <c r="Q235" s="8" t="e">
        <f t="shared" ca="1" si="25"/>
        <v>#VALUE!</v>
      </c>
    </row>
    <row r="236" spans="6:17" s="8" customFormat="1" ht="13.2" x14ac:dyDescent="0.25">
      <c r="F236" s="34" t="e">
        <f t="shared" ca="1" si="23"/>
        <v>#VALUE!</v>
      </c>
      <c r="G236" s="23" t="e">
        <f t="shared" ca="1" si="26"/>
        <v>#VALUE!</v>
      </c>
      <c r="H236" s="24" t="str">
        <f t="shared" si="24"/>
        <v/>
      </c>
      <c r="I236" s="25" t="e">
        <f ca="1">IF($G236="Всього:",SUM($I$4:I235),MAX($C$32,K236))</f>
        <v>#VALUE!</v>
      </c>
      <c r="J236" s="25" t="e">
        <f ca="1">IF($G236="Всього:",SUM($J$4:J235),IF(I236-SUM(K236:L236)&lt;0,0,I236-SUM(K236:L236)))</f>
        <v>#VALUE!</v>
      </c>
      <c r="K236" s="25" t="e">
        <f ca="1">IF(G236="Всього:",SUM($K$5:K235),F236*O235/36000*(G236-G235))</f>
        <v>#VALUE!</v>
      </c>
      <c r="L236" s="25" t="e">
        <f ca="1">IF(G236="Всього:",SUM($L$5:L235),$E$4)</f>
        <v>#VALUE!</v>
      </c>
      <c r="M236" s="25" t="e">
        <f ca="1">IF(G236="Всього:",SUM($M$5:M235),IF($E$5="UAH",J236+L236+K236,J236+K236))</f>
        <v>#VALUE!</v>
      </c>
      <c r="N236" s="27" t="e">
        <f ca="1">IF(G236="Всього:",SUM($N$4:N235),IF($E$5="UAH","",L236))</f>
        <v>#VALUE!</v>
      </c>
      <c r="O236" s="25" t="e">
        <f t="shared" ca="1" si="21"/>
        <v>#VALUE!</v>
      </c>
      <c r="P236" s="33" t="e">
        <f t="shared" ca="1" si="22"/>
        <v>#VALUE!</v>
      </c>
      <c r="Q236" s="8" t="e">
        <f t="shared" ca="1" si="25"/>
        <v>#VALUE!</v>
      </c>
    </row>
    <row r="237" spans="6:17" s="8" customFormat="1" ht="13.2" x14ac:dyDescent="0.25">
      <c r="F237" s="34" t="e">
        <f t="shared" ca="1" si="23"/>
        <v>#VALUE!</v>
      </c>
      <c r="G237" s="23" t="e">
        <f t="shared" ca="1" si="26"/>
        <v>#VALUE!</v>
      </c>
      <c r="H237" s="24" t="str">
        <f t="shared" si="24"/>
        <v/>
      </c>
      <c r="I237" s="25" t="e">
        <f ca="1">IF($G237="Всього:",SUM($I$4:I236),MAX($C$32,K237))</f>
        <v>#VALUE!</v>
      </c>
      <c r="J237" s="25" t="e">
        <f ca="1">IF($G237="Всього:",SUM($J$4:J236),IF(I237-SUM(K237:L237)&lt;0,0,I237-SUM(K237:L237)))</f>
        <v>#VALUE!</v>
      </c>
      <c r="K237" s="25" t="e">
        <f ca="1">IF(G237="Всього:",SUM($K$5:K236),F237*O236/36000*(G237-G236))</f>
        <v>#VALUE!</v>
      </c>
      <c r="L237" s="25" t="e">
        <f ca="1">IF(G237="Всього:",SUM($L$5:L236),$E$4)</f>
        <v>#VALUE!</v>
      </c>
      <c r="M237" s="25" t="e">
        <f ca="1">IF(G237="Всього:",SUM($M$5:M236),IF($E$5="UAH",J237+L237+K237,J237+K237))</f>
        <v>#VALUE!</v>
      </c>
      <c r="N237" s="27" t="e">
        <f ca="1">IF(G237="Всього:",SUM($N$4:N236),IF($E$5="UAH","",L237))</f>
        <v>#VALUE!</v>
      </c>
      <c r="O237" s="25" t="e">
        <f t="shared" ca="1" si="21"/>
        <v>#VALUE!</v>
      </c>
      <c r="P237" s="33" t="e">
        <f t="shared" ca="1" si="22"/>
        <v>#VALUE!</v>
      </c>
      <c r="Q237" s="8" t="e">
        <f t="shared" ca="1" si="25"/>
        <v>#VALUE!</v>
      </c>
    </row>
    <row r="238" spans="6:17" s="8" customFormat="1" ht="13.2" x14ac:dyDescent="0.25">
      <c r="F238" s="34" t="e">
        <f t="shared" ca="1" si="23"/>
        <v>#VALUE!</v>
      </c>
      <c r="G238" s="23" t="e">
        <f t="shared" ca="1" si="26"/>
        <v>#VALUE!</v>
      </c>
      <c r="H238" s="24" t="str">
        <f t="shared" si="24"/>
        <v/>
      </c>
      <c r="I238" s="25" t="e">
        <f ca="1">IF($G238="Всього:",SUM($I$4:I237),MAX($C$32,K238))</f>
        <v>#VALUE!</v>
      </c>
      <c r="J238" s="25" t="e">
        <f ca="1">IF($G238="Всього:",SUM($J$4:J237),IF(I238-SUM(K238:L238)&lt;0,0,I238-SUM(K238:L238)))</f>
        <v>#VALUE!</v>
      </c>
      <c r="K238" s="25" t="e">
        <f ca="1">IF(G238="Всього:",SUM($K$5:K237),F238*O237/36000*(G238-G237))</f>
        <v>#VALUE!</v>
      </c>
      <c r="L238" s="25" t="e">
        <f ca="1">IF(G238="Всього:",SUM($L$5:L237),$E$4)</f>
        <v>#VALUE!</v>
      </c>
      <c r="M238" s="25" t="e">
        <f ca="1">IF(G238="Всього:",SUM($M$5:M237),IF($E$5="UAH",J238+L238+K238,J238+K238))</f>
        <v>#VALUE!</v>
      </c>
      <c r="N238" s="27" t="e">
        <f ca="1">IF(G238="Всього:",SUM($N$4:N237),IF($E$5="UAH","",L238))</f>
        <v>#VALUE!</v>
      </c>
      <c r="O238" s="25" t="e">
        <f t="shared" ca="1" si="21"/>
        <v>#VALUE!</v>
      </c>
      <c r="P238" s="33" t="e">
        <f t="shared" ca="1" si="22"/>
        <v>#VALUE!</v>
      </c>
      <c r="Q238" s="8" t="e">
        <f t="shared" ca="1" si="25"/>
        <v>#VALUE!</v>
      </c>
    </row>
    <row r="239" spans="6:17" s="8" customFormat="1" ht="13.2" x14ac:dyDescent="0.25">
      <c r="F239" s="34" t="e">
        <f t="shared" ca="1" si="23"/>
        <v>#VALUE!</v>
      </c>
      <c r="G239" s="23" t="e">
        <f t="shared" ca="1" si="26"/>
        <v>#VALUE!</v>
      </c>
      <c r="H239" s="24" t="str">
        <f t="shared" si="24"/>
        <v/>
      </c>
      <c r="I239" s="25" t="e">
        <f ca="1">IF($G239="Всього:",SUM($I$4:I238),MAX($C$32,K239))</f>
        <v>#VALUE!</v>
      </c>
      <c r="J239" s="25" t="e">
        <f ca="1">IF($G239="Всього:",SUM($J$4:J238),IF(I239-SUM(K239:L239)&lt;0,0,I239-SUM(K239:L239)))</f>
        <v>#VALUE!</v>
      </c>
      <c r="K239" s="25" t="e">
        <f ca="1">IF(G239="Всього:",SUM($K$5:K238),F239*O238/36000*(G239-G238))</f>
        <v>#VALUE!</v>
      </c>
      <c r="L239" s="25" t="e">
        <f ca="1">IF(G239="Всього:",SUM($L$5:L238),$E$4)</f>
        <v>#VALUE!</v>
      </c>
      <c r="M239" s="25" t="e">
        <f ca="1">IF(G239="Всього:",SUM($M$5:M238),IF($E$5="UAH",J239+L239+K239,J239+K239))</f>
        <v>#VALUE!</v>
      </c>
      <c r="N239" s="27" t="e">
        <f ca="1">IF(G239="Всього:",SUM($N$4:N238),IF($E$5="UAH","",L239))</f>
        <v>#VALUE!</v>
      </c>
      <c r="O239" s="25" t="e">
        <f t="shared" ca="1" si="21"/>
        <v>#VALUE!</v>
      </c>
      <c r="P239" s="33" t="e">
        <f t="shared" ca="1" si="22"/>
        <v>#VALUE!</v>
      </c>
      <c r="Q239" s="8" t="e">
        <f t="shared" ca="1" si="25"/>
        <v>#VALUE!</v>
      </c>
    </row>
    <row r="240" spans="6:17" s="8" customFormat="1" ht="13.2" x14ac:dyDescent="0.25">
      <c r="F240" s="34" t="e">
        <f t="shared" ca="1" si="23"/>
        <v>#VALUE!</v>
      </c>
      <c r="G240" s="23" t="e">
        <f t="shared" ca="1" si="26"/>
        <v>#VALUE!</v>
      </c>
      <c r="H240" s="24" t="str">
        <f t="shared" si="24"/>
        <v/>
      </c>
      <c r="I240" s="25" t="e">
        <f ca="1">IF($G240="Всього:",SUM($I$4:I239),MAX($C$32,K240))</f>
        <v>#VALUE!</v>
      </c>
      <c r="J240" s="25" t="e">
        <f ca="1">IF($G240="Всього:",SUM($J$4:J239),IF(I240-SUM(K240:L240)&lt;0,0,I240-SUM(K240:L240)))</f>
        <v>#VALUE!</v>
      </c>
      <c r="K240" s="25" t="e">
        <f ca="1">IF(G240="Всього:",SUM($K$5:K239),F240*O239/36000*(G240-G239))</f>
        <v>#VALUE!</v>
      </c>
      <c r="L240" s="25" t="e">
        <f ca="1">IF(G240="Всього:",SUM($L$5:L239),$E$4)</f>
        <v>#VALUE!</v>
      </c>
      <c r="M240" s="25" t="e">
        <f ca="1">IF(G240="Всього:",SUM($M$5:M239),IF($E$5="UAH",J240+L240+K240,J240+K240))</f>
        <v>#VALUE!</v>
      </c>
      <c r="N240" s="27" t="e">
        <f ca="1">IF(G240="Всього:",SUM($N$4:N239),IF($E$5="UAH","",L240))</f>
        <v>#VALUE!</v>
      </c>
      <c r="O240" s="25" t="e">
        <f t="shared" ca="1" si="21"/>
        <v>#VALUE!</v>
      </c>
      <c r="P240" s="33" t="e">
        <f t="shared" ca="1" si="22"/>
        <v>#VALUE!</v>
      </c>
      <c r="Q240" s="8" t="e">
        <f t="shared" ca="1" si="25"/>
        <v>#VALUE!</v>
      </c>
    </row>
    <row r="241" spans="6:17" s="8" customFormat="1" ht="13.2" x14ac:dyDescent="0.25">
      <c r="F241" s="34" t="e">
        <f t="shared" ca="1" si="23"/>
        <v>#VALUE!</v>
      </c>
      <c r="G241" s="23" t="e">
        <f t="shared" ca="1" si="26"/>
        <v>#VALUE!</v>
      </c>
      <c r="H241" s="24" t="str">
        <f t="shared" si="24"/>
        <v/>
      </c>
      <c r="I241" s="25" t="e">
        <f ca="1">IF($G241="Всього:",SUM($I$4:I240),MAX($C$32,K241))</f>
        <v>#VALUE!</v>
      </c>
      <c r="J241" s="25" t="e">
        <f ca="1">IF($G241="Всього:",SUM($J$4:J240),IF(I241-SUM(K241:L241)&lt;0,0,I241-SUM(K241:L241)))</f>
        <v>#VALUE!</v>
      </c>
      <c r="K241" s="25" t="e">
        <f ca="1">IF(G241="Всього:",SUM($K$5:K240),F241*O240/36000*(G241-G240))</f>
        <v>#VALUE!</v>
      </c>
      <c r="L241" s="25" t="e">
        <f ca="1">IF(G241="Всього:",SUM($L$5:L240),$E$4)</f>
        <v>#VALUE!</v>
      </c>
      <c r="M241" s="25" t="e">
        <f ca="1">IF(G241="Всього:",SUM($M$5:M240),IF($E$5="UAH",J241+L241+K241,J241+K241))</f>
        <v>#VALUE!</v>
      </c>
      <c r="N241" s="27" t="e">
        <f ca="1">IF(G241="Всього:",SUM($N$4:N240),IF($E$5="UAH","",L241))</f>
        <v>#VALUE!</v>
      </c>
      <c r="O241" s="25" t="e">
        <f t="shared" ca="1" si="21"/>
        <v>#VALUE!</v>
      </c>
      <c r="P241" s="33" t="e">
        <f t="shared" ca="1" si="22"/>
        <v>#VALUE!</v>
      </c>
      <c r="Q241" s="8" t="e">
        <f t="shared" ca="1" si="25"/>
        <v>#VALUE!</v>
      </c>
    </row>
    <row r="242" spans="6:17" s="8" customFormat="1" ht="13.2" x14ac:dyDescent="0.25">
      <c r="F242" s="34" t="e">
        <f t="shared" ca="1" si="23"/>
        <v>#VALUE!</v>
      </c>
      <c r="G242" s="23" t="e">
        <f t="shared" ca="1" si="26"/>
        <v>#VALUE!</v>
      </c>
      <c r="H242" s="24" t="str">
        <f t="shared" si="24"/>
        <v/>
      </c>
      <c r="I242" s="25" t="e">
        <f ca="1">IF($G242="Всього:",SUM($I$4:I241),MAX($C$32,K242))</f>
        <v>#VALUE!</v>
      </c>
      <c r="J242" s="25" t="e">
        <f ca="1">IF($G242="Всього:",SUM($J$4:J241),IF(I242-SUM(K242:L242)&lt;0,0,I242-SUM(K242:L242)))</f>
        <v>#VALUE!</v>
      </c>
      <c r="K242" s="25" t="e">
        <f ca="1">IF(G242="Всього:",SUM($K$5:K241),F242*O241/36000*(G242-G241))</f>
        <v>#VALUE!</v>
      </c>
      <c r="L242" s="25" t="e">
        <f ca="1">IF(G242="Всього:",SUM($L$5:L241),$E$4)</f>
        <v>#VALUE!</v>
      </c>
      <c r="M242" s="25" t="e">
        <f ca="1">IF(G242="Всього:",SUM($M$5:M241),IF($E$5="UAH",J242+L242+K242,J242+K242))</f>
        <v>#VALUE!</v>
      </c>
      <c r="N242" s="27" t="e">
        <f ca="1">IF(G242="Всього:",SUM($N$4:N241),IF($E$5="UAH","",L242))</f>
        <v>#VALUE!</v>
      </c>
      <c r="O242" s="25" t="e">
        <f t="shared" ca="1" si="21"/>
        <v>#VALUE!</v>
      </c>
      <c r="P242" s="33" t="e">
        <f t="shared" ca="1" si="22"/>
        <v>#VALUE!</v>
      </c>
      <c r="Q242" s="8" t="e">
        <f t="shared" ca="1" si="25"/>
        <v>#VALUE!</v>
      </c>
    </row>
    <row r="243" spans="6:17" s="8" customFormat="1" ht="13.2" x14ac:dyDescent="0.25">
      <c r="F243" s="34" t="e">
        <f t="shared" ca="1" si="23"/>
        <v>#VALUE!</v>
      </c>
      <c r="G243" s="23" t="e">
        <f t="shared" ca="1" si="26"/>
        <v>#VALUE!</v>
      </c>
      <c r="H243" s="24" t="str">
        <f t="shared" si="24"/>
        <v/>
      </c>
      <c r="I243" s="25" t="e">
        <f ca="1">IF($G243="Всього:",SUM($I$4:I242),MAX($C$32,K243))</f>
        <v>#VALUE!</v>
      </c>
      <c r="J243" s="25" t="e">
        <f ca="1">IF($G243="Всього:",SUM($J$4:J242),IF(I243-SUM(K243:L243)&lt;0,0,I243-SUM(K243:L243)))</f>
        <v>#VALUE!</v>
      </c>
      <c r="K243" s="25" t="e">
        <f ca="1">IF(G243="Всього:",SUM($K$5:K242),F243*O242/36000*(G243-G242))</f>
        <v>#VALUE!</v>
      </c>
      <c r="L243" s="25" t="e">
        <f ca="1">IF(G243="Всього:",SUM($L$5:L242),$E$4)</f>
        <v>#VALUE!</v>
      </c>
      <c r="M243" s="25" t="e">
        <f ca="1">IF(G243="Всього:",SUM($M$5:M242),IF($E$5="UAH",J243+L243+K243,J243+K243))</f>
        <v>#VALUE!</v>
      </c>
      <c r="N243" s="27" t="e">
        <f ca="1">IF(G243="Всього:",SUM($N$4:N242),IF($E$5="UAH","",L243))</f>
        <v>#VALUE!</v>
      </c>
      <c r="O243" s="25" t="e">
        <f t="shared" ca="1" si="21"/>
        <v>#VALUE!</v>
      </c>
      <c r="P243" s="33" t="e">
        <f t="shared" ca="1" si="22"/>
        <v>#VALUE!</v>
      </c>
      <c r="Q243" s="8" t="e">
        <f t="shared" ca="1" si="25"/>
        <v>#VALUE!</v>
      </c>
    </row>
    <row r="244" spans="6:17" s="8" customFormat="1" ht="13.2" x14ac:dyDescent="0.25">
      <c r="F244" s="34" t="e">
        <f t="shared" ca="1" si="23"/>
        <v>#VALUE!</v>
      </c>
      <c r="G244" s="23" t="e">
        <f t="shared" ca="1" si="26"/>
        <v>#VALUE!</v>
      </c>
      <c r="H244" s="24" t="str">
        <f t="shared" si="24"/>
        <v/>
      </c>
      <c r="I244" s="25" t="e">
        <f ca="1">IF($G244="Всього:",SUM($I$4:I243),MAX($C$32,K244))</f>
        <v>#VALUE!</v>
      </c>
      <c r="J244" s="25" t="e">
        <f ca="1">IF($G244="Всього:",SUM($J$4:J243),IF(I244-SUM(K244:L244)&lt;0,0,I244-SUM(K244:L244)))</f>
        <v>#VALUE!</v>
      </c>
      <c r="K244" s="25" t="e">
        <f ca="1">IF(G244="Всього:",SUM($K$5:K243),F244*O243/36000*(G244-G243))</f>
        <v>#VALUE!</v>
      </c>
      <c r="L244" s="25" t="e">
        <f ca="1">IF(G244="Всього:",SUM($L$5:L243),$E$4)</f>
        <v>#VALUE!</v>
      </c>
      <c r="M244" s="25" t="e">
        <f ca="1">IF(G244="Всього:",SUM($M$5:M243),IF($E$5="UAH",J244+L244+K244,J244+K244))</f>
        <v>#VALUE!</v>
      </c>
      <c r="N244" s="27" t="e">
        <f ca="1">IF(G244="Всього:",SUM($N$4:N243),IF($E$5="UAH","",L244))</f>
        <v>#VALUE!</v>
      </c>
      <c r="O244" s="25" t="e">
        <f t="shared" ca="1" si="21"/>
        <v>#VALUE!</v>
      </c>
      <c r="P244" s="33" t="e">
        <f t="shared" ca="1" si="22"/>
        <v>#VALUE!</v>
      </c>
      <c r="Q244" s="8" t="e">
        <f t="shared" ca="1" si="25"/>
        <v>#VALUE!</v>
      </c>
    </row>
    <row r="245" spans="6:17" s="8" customFormat="1" ht="13.2" x14ac:dyDescent="0.25">
      <c r="F245" s="34" t="e">
        <f t="shared" ca="1" si="23"/>
        <v>#VALUE!</v>
      </c>
      <c r="G245" s="23" t="e">
        <f t="shared" ca="1" si="26"/>
        <v>#VALUE!</v>
      </c>
      <c r="H245" s="24" t="str">
        <f t="shared" si="24"/>
        <v/>
      </c>
      <c r="I245" s="25" t="e">
        <f ca="1">IF($G245="Всього:",SUM($I$4:I244),MAX($C$32,K245))</f>
        <v>#VALUE!</v>
      </c>
      <c r="J245" s="25" t="e">
        <f ca="1">IF($G245="Всього:",SUM($J$4:J244),IF(I245-SUM(K245:L245)&lt;0,0,I245-SUM(K245:L245)))</f>
        <v>#VALUE!</v>
      </c>
      <c r="K245" s="25" t="e">
        <f ca="1">IF(G245="Всього:",SUM($K$5:K244),F245*O244/36000*(G245-G244))</f>
        <v>#VALUE!</v>
      </c>
      <c r="L245" s="25" t="e">
        <f ca="1">IF(G245="Всього:",SUM($L$5:L244),$E$4)</f>
        <v>#VALUE!</v>
      </c>
      <c r="M245" s="25" t="e">
        <f ca="1">IF(G245="Всього:",SUM($M$5:M244),IF($E$5="UAH",J245+L245+K245,J245+K245))</f>
        <v>#VALUE!</v>
      </c>
      <c r="N245" s="27" t="e">
        <f ca="1">IF(G245="Всього:",SUM($N$4:N244),IF($E$5="UAH","",L245))</f>
        <v>#VALUE!</v>
      </c>
      <c r="O245" s="25" t="e">
        <f t="shared" ca="1" si="21"/>
        <v>#VALUE!</v>
      </c>
      <c r="P245" s="33" t="e">
        <f t="shared" ca="1" si="22"/>
        <v>#VALUE!</v>
      </c>
      <c r="Q245" s="8" t="e">
        <f t="shared" ca="1" si="25"/>
        <v>#VALUE!</v>
      </c>
    </row>
    <row r="246" spans="6:17" s="8" customFormat="1" ht="13.2" x14ac:dyDescent="0.25">
      <c r="F246" s="34" t="e">
        <f t="shared" ca="1" si="23"/>
        <v>#VALUE!</v>
      </c>
      <c r="G246" s="23" t="e">
        <f t="shared" ca="1" si="26"/>
        <v>#VALUE!</v>
      </c>
      <c r="H246" s="24" t="str">
        <f t="shared" si="24"/>
        <v/>
      </c>
      <c r="I246" s="25" t="e">
        <f ca="1">IF($G246="Всього:",SUM($I$4:I245),MAX($C$32,K246))</f>
        <v>#VALUE!</v>
      </c>
      <c r="J246" s="25" t="e">
        <f ca="1">IF($G246="Всього:",SUM($J$4:J245),IF(I246-SUM(K246:L246)&lt;0,0,I246-SUM(K246:L246)))</f>
        <v>#VALUE!</v>
      </c>
      <c r="K246" s="25" t="e">
        <f ca="1">IF(G246="Всього:",SUM($K$5:K245),F246*O245/36000*(G246-G245))</f>
        <v>#VALUE!</v>
      </c>
      <c r="L246" s="25" t="e">
        <f ca="1">IF(G246="Всього:",SUM($L$5:L245),$E$4)</f>
        <v>#VALUE!</v>
      </c>
      <c r="M246" s="25" t="e">
        <f ca="1">IF(G246="Всього:",SUM($M$5:M245),IF($E$5="UAH",J246+L246+K246,J246+K246))</f>
        <v>#VALUE!</v>
      </c>
      <c r="N246" s="27" t="e">
        <f ca="1">IF(G246="Всього:",SUM($N$4:N245),IF($E$5="UAH","",L246))</f>
        <v>#VALUE!</v>
      </c>
      <c r="O246" s="25" t="e">
        <f t="shared" ca="1" si="21"/>
        <v>#VALUE!</v>
      </c>
      <c r="P246" s="33" t="e">
        <f t="shared" ca="1" si="22"/>
        <v>#VALUE!</v>
      </c>
      <c r="Q246" s="8" t="e">
        <f t="shared" ca="1" si="25"/>
        <v>#VALUE!</v>
      </c>
    </row>
    <row r="247" spans="6:17" s="8" customFormat="1" ht="13.2" x14ac:dyDescent="0.25">
      <c r="F247" s="34" t="e">
        <f t="shared" ca="1" si="23"/>
        <v>#VALUE!</v>
      </c>
      <c r="G247" s="23" t="e">
        <f t="shared" ca="1" si="26"/>
        <v>#VALUE!</v>
      </c>
      <c r="H247" s="24" t="str">
        <f t="shared" si="24"/>
        <v/>
      </c>
      <c r="I247" s="25" t="e">
        <f ca="1">IF($G247="Всього:",SUM($I$4:I246),MAX($C$32,K247))</f>
        <v>#VALUE!</v>
      </c>
      <c r="J247" s="25" t="e">
        <f ca="1">IF($G247="Всього:",SUM($J$4:J246),IF(I247-SUM(K247:L247)&lt;0,0,I247-SUM(K247:L247)))</f>
        <v>#VALUE!</v>
      </c>
      <c r="K247" s="25" t="e">
        <f ca="1">IF(G247="Всього:",SUM($K$5:K246),F247*O246/36000*(G247-G246))</f>
        <v>#VALUE!</v>
      </c>
      <c r="L247" s="25" t="e">
        <f ca="1">IF(G247="Всього:",SUM($L$5:L246),$E$4)</f>
        <v>#VALUE!</v>
      </c>
      <c r="M247" s="25" t="e">
        <f ca="1">IF(G247="Всього:",SUM($M$5:M246),IF($E$5="UAH",J247+L247+K247,J247+K247))</f>
        <v>#VALUE!</v>
      </c>
      <c r="N247" s="27" t="e">
        <f ca="1">IF(G247="Всього:",SUM($N$4:N246),IF($E$5="UAH","",L247))</f>
        <v>#VALUE!</v>
      </c>
      <c r="O247" s="25" t="e">
        <f t="shared" ca="1" si="21"/>
        <v>#VALUE!</v>
      </c>
    </row>
    <row r="248" spans="6:17" s="8" customFormat="1" ht="13.2" x14ac:dyDescent="0.25">
      <c r="F248" s="31" t="e">
        <f>IF(G248="Всього:","",'Платоспроможність боржника'!$H$6)</f>
        <v>#VALUE!</v>
      </c>
      <c r="G248" s="23" t="e">
        <v>#VALUE!</v>
      </c>
      <c r="H248" s="24" t="str">
        <f t="shared" ref="H248" si="27">IF(H247&gt;$E$3,"",H247+1)</f>
        <v/>
      </c>
      <c r="I248" s="25" t="e">
        <f>IF($G248="Всього:",SUM($I$4:I247),MAX($C$32,K248))</f>
        <v>#VALUE!</v>
      </c>
      <c r="J248" s="25" t="e">
        <f>IF($G248="Всього:",SUM($J$4:J247),I248-SUM(K248:L248))</f>
        <v>#VALUE!</v>
      </c>
      <c r="K248" s="25" t="e">
        <f>IF(G248="Всього:",SUM($K$5:K247),F248*O247/360*(G248-G247))</f>
        <v>#VALUE!</v>
      </c>
      <c r="L248" s="25" t="e">
        <f>IF(G248="Всього:",SUM($L$5:L247),$E$4)</f>
        <v>#VALUE!</v>
      </c>
      <c r="M248" s="25" t="e">
        <f>IF(G248="Всього:",SUM($M$5:M247),IF($E$5="UAH",J248+L248+K248,J248+K248))</f>
        <v>#VALUE!</v>
      </c>
      <c r="N248" s="27" t="e">
        <f>IF(G248="Всього:",SUM($N$4:N247),IF($E$5="UAH","",L248))</f>
        <v>#VALUE!</v>
      </c>
      <c r="O248" s="25" t="e">
        <f t="shared" ca="1" si="21"/>
        <v>#VALUE!</v>
      </c>
    </row>
    <row r="249" spans="6:17" x14ac:dyDescent="0.3">
      <c r="H249" s="11"/>
      <c r="Q249" s="8"/>
    </row>
    <row r="250" spans="6:17" x14ac:dyDescent="0.3">
      <c r="H250" s="11"/>
      <c r="Q250" s="8"/>
    </row>
    <row r="251" spans="6:17" x14ac:dyDescent="0.3">
      <c r="H251" s="11"/>
    </row>
    <row r="252" spans="6:17" x14ac:dyDescent="0.3">
      <c r="H252" s="11"/>
    </row>
    <row r="253" spans="6:17" x14ac:dyDescent="0.3">
      <c r="H253" s="11"/>
    </row>
    <row r="254" spans="6:17" x14ac:dyDescent="0.3">
      <c r="H254" s="11"/>
    </row>
    <row r="255" spans="6:17" x14ac:dyDescent="0.3">
      <c r="H255" s="11"/>
    </row>
    <row r="256" spans="6:17" x14ac:dyDescent="0.3">
      <c r="H256" s="11"/>
    </row>
    <row r="257" spans="8:8" x14ac:dyDescent="0.3">
      <c r="H257" s="11"/>
    </row>
    <row r="258" spans="8:8" x14ac:dyDescent="0.3">
      <c r="H258" s="11"/>
    </row>
    <row r="259" spans="8:8" x14ac:dyDescent="0.3">
      <c r="H259" s="11"/>
    </row>
    <row r="260" spans="8:8" x14ac:dyDescent="0.3">
      <c r="H260" s="11"/>
    </row>
    <row r="261" spans="8:8" x14ac:dyDescent="0.3">
      <c r="H261" s="11"/>
    </row>
    <row r="262" spans="8:8" x14ac:dyDescent="0.3">
      <c r="H262" s="11"/>
    </row>
    <row r="263" spans="8:8" x14ac:dyDescent="0.3">
      <c r="H263" s="11"/>
    </row>
    <row r="264" spans="8:8" x14ac:dyDescent="0.3">
      <c r="H264" s="11"/>
    </row>
    <row r="265" spans="8:8" x14ac:dyDescent="0.3">
      <c r="H265" s="11"/>
    </row>
    <row r="266" spans="8:8" x14ac:dyDescent="0.3">
      <c r="H266" s="11"/>
    </row>
    <row r="267" spans="8:8" x14ac:dyDescent="0.3">
      <c r="H267" s="11"/>
    </row>
    <row r="268" spans="8:8" x14ac:dyDescent="0.3">
      <c r="H268" s="11"/>
    </row>
    <row r="269" spans="8:8" x14ac:dyDescent="0.3">
      <c r="H269" s="11"/>
    </row>
    <row r="270" spans="8:8" x14ac:dyDescent="0.3">
      <c r="H270" s="11"/>
    </row>
    <row r="271" spans="8:8" x14ac:dyDescent="0.3">
      <c r="H271" s="11"/>
    </row>
    <row r="272" spans="8:8" x14ac:dyDescent="0.3">
      <c r="H272" s="11"/>
    </row>
    <row r="273" spans="8:8" x14ac:dyDescent="0.3">
      <c r="H273" s="11"/>
    </row>
    <row r="274" spans="8:8" x14ac:dyDescent="0.3">
      <c r="H274" s="11"/>
    </row>
    <row r="275" spans="8:8" x14ac:dyDescent="0.3">
      <c r="H275" s="11"/>
    </row>
    <row r="276" spans="8:8" x14ac:dyDescent="0.3">
      <c r="H276" s="11"/>
    </row>
    <row r="277" spans="8:8" x14ac:dyDescent="0.3">
      <c r="H277" s="11"/>
    </row>
    <row r="278" spans="8:8" x14ac:dyDescent="0.3">
      <c r="H278" s="11"/>
    </row>
    <row r="279" spans="8:8" x14ac:dyDescent="0.3">
      <c r="H279" s="11"/>
    </row>
    <row r="280" spans="8:8" x14ac:dyDescent="0.3">
      <c r="H280" s="11"/>
    </row>
    <row r="281" spans="8:8" x14ac:dyDescent="0.3">
      <c r="H281" s="11"/>
    </row>
    <row r="282" spans="8:8" x14ac:dyDescent="0.3">
      <c r="H282" s="11"/>
    </row>
    <row r="283" spans="8:8" x14ac:dyDescent="0.3">
      <c r="H283" s="11"/>
    </row>
    <row r="284" spans="8:8" x14ac:dyDescent="0.3">
      <c r="H284" s="11"/>
    </row>
    <row r="285" spans="8:8" x14ac:dyDescent="0.3">
      <c r="H285" s="11"/>
    </row>
    <row r="286" spans="8:8" x14ac:dyDescent="0.3">
      <c r="H286" s="11"/>
    </row>
    <row r="287" spans="8:8" x14ac:dyDescent="0.3">
      <c r="H287" s="11"/>
    </row>
    <row r="288" spans="8:8" x14ac:dyDescent="0.3">
      <c r="H288" s="11"/>
    </row>
    <row r="289" spans="8:8" x14ac:dyDescent="0.3">
      <c r="H289" s="11"/>
    </row>
    <row r="290" spans="8:8" x14ac:dyDescent="0.3">
      <c r="H290" s="11"/>
    </row>
    <row r="291" spans="8:8" x14ac:dyDescent="0.3">
      <c r="H291" s="11"/>
    </row>
    <row r="292" spans="8:8" x14ac:dyDescent="0.3">
      <c r="H292" s="11"/>
    </row>
    <row r="293" spans="8:8" x14ac:dyDescent="0.3">
      <c r="H293" s="11"/>
    </row>
    <row r="294" spans="8:8" x14ac:dyDescent="0.3">
      <c r="H294" s="11"/>
    </row>
    <row r="295" spans="8:8" x14ac:dyDescent="0.3">
      <c r="H295" s="11"/>
    </row>
    <row r="296" spans="8:8" x14ac:dyDescent="0.3">
      <c r="H296" s="11"/>
    </row>
    <row r="297" spans="8:8" x14ac:dyDescent="0.3">
      <c r="H297" s="11"/>
    </row>
    <row r="298" spans="8:8" x14ac:dyDescent="0.3">
      <c r="H298" s="11"/>
    </row>
    <row r="299" spans="8:8" x14ac:dyDescent="0.3">
      <c r="H299" s="11"/>
    </row>
    <row r="300" spans="8:8" x14ac:dyDescent="0.3">
      <c r="H300" s="11"/>
    </row>
    <row r="301" spans="8:8" x14ac:dyDescent="0.3">
      <c r="H301" s="11"/>
    </row>
    <row r="302" spans="8:8" x14ac:dyDescent="0.3">
      <c r="H302" s="11"/>
    </row>
    <row r="303" spans="8:8" x14ac:dyDescent="0.3">
      <c r="H303" s="11"/>
    </row>
    <row r="304" spans="8:8" x14ac:dyDescent="0.3">
      <c r="H304" s="11"/>
    </row>
    <row r="305" spans="8:8" x14ac:dyDescent="0.3">
      <c r="H305" s="11"/>
    </row>
    <row r="306" spans="8:8" x14ac:dyDescent="0.3">
      <c r="H306" s="11"/>
    </row>
    <row r="307" spans="8:8" x14ac:dyDescent="0.3">
      <c r="H307" s="11"/>
    </row>
    <row r="308" spans="8:8" x14ac:dyDescent="0.3">
      <c r="H308" s="11"/>
    </row>
    <row r="309" spans="8:8" x14ac:dyDescent="0.3">
      <c r="H309" s="11"/>
    </row>
    <row r="310" spans="8:8" x14ac:dyDescent="0.3">
      <c r="H310" s="11"/>
    </row>
    <row r="311" spans="8:8" x14ac:dyDescent="0.3">
      <c r="H311" s="11"/>
    </row>
    <row r="312" spans="8:8" x14ac:dyDescent="0.3">
      <c r="H312" s="11"/>
    </row>
    <row r="313" spans="8:8" x14ac:dyDescent="0.3">
      <c r="H313" s="11"/>
    </row>
    <row r="314" spans="8:8" x14ac:dyDescent="0.3">
      <c r="H314" s="11"/>
    </row>
    <row r="315" spans="8:8" x14ac:dyDescent="0.3">
      <c r="H315" s="11"/>
    </row>
    <row r="316" spans="8:8" x14ac:dyDescent="0.3">
      <c r="H316" s="11"/>
    </row>
    <row r="317" spans="8:8" x14ac:dyDescent="0.3">
      <c r="H317" s="11"/>
    </row>
    <row r="318" spans="8:8" x14ac:dyDescent="0.3">
      <c r="H318" s="11"/>
    </row>
    <row r="319" spans="8:8" x14ac:dyDescent="0.3">
      <c r="H319" s="11"/>
    </row>
    <row r="320" spans="8:8" x14ac:dyDescent="0.3">
      <c r="H320" s="11"/>
    </row>
    <row r="321" spans="8:8" x14ac:dyDescent="0.3">
      <c r="H321" s="11"/>
    </row>
    <row r="322" spans="8:8" x14ac:dyDescent="0.3">
      <c r="H322" s="11"/>
    </row>
    <row r="323" spans="8:8" x14ac:dyDescent="0.3">
      <c r="H323" s="11"/>
    </row>
    <row r="324" spans="8:8" x14ac:dyDescent="0.3">
      <c r="H324" s="11"/>
    </row>
    <row r="325" spans="8:8" x14ac:dyDescent="0.3">
      <c r="H325" s="11"/>
    </row>
    <row r="326" spans="8:8" x14ac:dyDescent="0.3">
      <c r="H326" s="11"/>
    </row>
    <row r="327" spans="8:8" x14ac:dyDescent="0.3">
      <c r="H327" s="11"/>
    </row>
    <row r="328" spans="8:8" x14ac:dyDescent="0.3">
      <c r="H328" s="11"/>
    </row>
    <row r="329" spans="8:8" x14ac:dyDescent="0.3">
      <c r="H329" s="11"/>
    </row>
    <row r="330" spans="8:8" x14ac:dyDescent="0.3">
      <c r="H330" s="11"/>
    </row>
    <row r="331" spans="8:8" x14ac:dyDescent="0.3">
      <c r="H331" s="11"/>
    </row>
    <row r="332" spans="8:8" x14ac:dyDescent="0.3">
      <c r="H332" s="11"/>
    </row>
    <row r="333" spans="8:8" x14ac:dyDescent="0.3">
      <c r="H333" s="11"/>
    </row>
    <row r="334" spans="8:8" x14ac:dyDescent="0.3">
      <c r="H334" s="11"/>
    </row>
    <row r="335" spans="8:8" x14ac:dyDescent="0.3">
      <c r="H335" s="11"/>
    </row>
    <row r="336" spans="8:8" x14ac:dyDescent="0.3">
      <c r="H336" s="11"/>
    </row>
    <row r="337" spans="8:8" x14ac:dyDescent="0.3">
      <c r="H337" s="11"/>
    </row>
    <row r="338" spans="8:8" x14ac:dyDescent="0.3">
      <c r="H338" s="11"/>
    </row>
    <row r="339" spans="8:8" x14ac:dyDescent="0.3">
      <c r="H339" s="11"/>
    </row>
    <row r="340" spans="8:8" x14ac:dyDescent="0.3">
      <c r="H340" s="11"/>
    </row>
    <row r="341" spans="8:8" x14ac:dyDescent="0.3">
      <c r="H341" s="11"/>
    </row>
    <row r="342" spans="8:8" x14ac:dyDescent="0.3">
      <c r="H342" s="11"/>
    </row>
    <row r="343" spans="8:8" x14ac:dyDescent="0.3">
      <c r="H343" s="11"/>
    </row>
    <row r="344" spans="8:8" x14ac:dyDescent="0.3">
      <c r="H344" s="11"/>
    </row>
    <row r="345" spans="8:8" x14ac:dyDescent="0.3">
      <c r="H345" s="11"/>
    </row>
    <row r="346" spans="8:8" x14ac:dyDescent="0.3">
      <c r="H346" s="11"/>
    </row>
    <row r="347" spans="8:8" x14ac:dyDescent="0.3">
      <c r="H347" s="11"/>
    </row>
    <row r="348" spans="8:8" x14ac:dyDescent="0.3">
      <c r="H348" s="11"/>
    </row>
    <row r="349" spans="8:8" x14ac:dyDescent="0.3">
      <c r="H349" s="11"/>
    </row>
    <row r="350" spans="8:8" x14ac:dyDescent="0.3">
      <c r="H350" s="11"/>
    </row>
    <row r="351" spans="8:8" x14ac:dyDescent="0.3">
      <c r="H351" s="11"/>
    </row>
    <row r="352" spans="8:8" x14ac:dyDescent="0.3">
      <c r="H352" s="11"/>
    </row>
    <row r="353" spans="8:8" x14ac:dyDescent="0.3">
      <c r="H353" s="11"/>
    </row>
    <row r="354" spans="8:8" x14ac:dyDescent="0.3">
      <c r="H354" s="11"/>
    </row>
    <row r="355" spans="8:8" x14ac:dyDescent="0.3">
      <c r="H355" s="11"/>
    </row>
    <row r="356" spans="8:8" x14ac:dyDescent="0.3">
      <c r="H356" s="11"/>
    </row>
    <row r="357" spans="8:8" x14ac:dyDescent="0.3">
      <c r="H357" s="11"/>
    </row>
    <row r="358" spans="8:8" x14ac:dyDescent="0.3">
      <c r="H358" s="11"/>
    </row>
    <row r="359" spans="8:8" x14ac:dyDescent="0.3">
      <c r="H359" s="11"/>
    </row>
    <row r="360" spans="8:8" x14ac:dyDescent="0.3">
      <c r="H360" s="11"/>
    </row>
    <row r="361" spans="8:8" x14ac:dyDescent="0.3">
      <c r="H361" s="11"/>
    </row>
    <row r="362" spans="8:8" x14ac:dyDescent="0.3">
      <c r="H362" s="11"/>
    </row>
    <row r="363" spans="8:8" x14ac:dyDescent="0.3">
      <c r="H363" s="11"/>
    </row>
    <row r="364" spans="8:8" x14ac:dyDescent="0.3">
      <c r="H364" s="11"/>
    </row>
    <row r="365" spans="8:8" x14ac:dyDescent="0.3">
      <c r="H365" s="11"/>
    </row>
    <row r="366" spans="8:8" x14ac:dyDescent="0.3">
      <c r="H366" s="11"/>
    </row>
    <row r="367" spans="8:8" x14ac:dyDescent="0.3">
      <c r="H367" s="11"/>
    </row>
    <row r="368" spans="8:8" x14ac:dyDescent="0.3">
      <c r="H368" s="11"/>
    </row>
    <row r="369" spans="8:8" x14ac:dyDescent="0.3">
      <c r="H369" s="11"/>
    </row>
    <row r="370" spans="8:8" x14ac:dyDescent="0.3">
      <c r="H370" s="11"/>
    </row>
    <row r="371" spans="8:8" x14ac:dyDescent="0.3">
      <c r="H371" s="11"/>
    </row>
    <row r="372" spans="8:8" x14ac:dyDescent="0.3">
      <c r="H372" s="11"/>
    </row>
    <row r="373" spans="8:8" x14ac:dyDescent="0.3">
      <c r="H373" s="11"/>
    </row>
    <row r="374" spans="8:8" x14ac:dyDescent="0.3">
      <c r="H374" s="11"/>
    </row>
    <row r="375" spans="8:8" x14ac:dyDescent="0.3">
      <c r="H375" s="11"/>
    </row>
    <row r="376" spans="8:8" x14ac:dyDescent="0.3">
      <c r="H376" s="11"/>
    </row>
    <row r="377" spans="8:8" x14ac:dyDescent="0.3">
      <c r="H377" s="11"/>
    </row>
    <row r="378" spans="8:8" x14ac:dyDescent="0.3">
      <c r="H378" s="11"/>
    </row>
    <row r="379" spans="8:8" x14ac:dyDescent="0.3">
      <c r="H379" s="11"/>
    </row>
    <row r="380" spans="8:8" x14ac:dyDescent="0.3">
      <c r="H380" s="11"/>
    </row>
    <row r="381" spans="8:8" x14ac:dyDescent="0.3">
      <c r="H381" s="11"/>
    </row>
    <row r="382" spans="8:8" x14ac:dyDescent="0.3">
      <c r="H382" s="11"/>
    </row>
    <row r="383" spans="8:8" x14ac:dyDescent="0.3">
      <c r="H383" s="11"/>
    </row>
    <row r="384" spans="8:8" x14ac:dyDescent="0.3">
      <c r="H384" s="11"/>
    </row>
    <row r="385" spans="8:8" x14ac:dyDescent="0.3">
      <c r="H385" s="11"/>
    </row>
    <row r="386" spans="8:8" x14ac:dyDescent="0.3">
      <c r="H386" s="11"/>
    </row>
    <row r="387" spans="8:8" x14ac:dyDescent="0.3">
      <c r="H387" s="11"/>
    </row>
    <row r="388" spans="8:8" x14ac:dyDescent="0.3">
      <c r="H388" s="11"/>
    </row>
    <row r="389" spans="8:8" x14ac:dyDescent="0.3">
      <c r="H389" s="11"/>
    </row>
    <row r="390" spans="8:8" x14ac:dyDescent="0.3">
      <c r="H390" s="11"/>
    </row>
    <row r="391" spans="8:8" x14ac:dyDescent="0.3">
      <c r="H391" s="11"/>
    </row>
    <row r="392" spans="8:8" x14ac:dyDescent="0.3">
      <c r="H392" s="11"/>
    </row>
    <row r="393" spans="8:8" x14ac:dyDescent="0.3">
      <c r="H393" s="11"/>
    </row>
    <row r="394" spans="8:8" x14ac:dyDescent="0.3">
      <c r="H394" s="11"/>
    </row>
    <row r="395" spans="8:8" x14ac:dyDescent="0.3">
      <c r="H395" s="11"/>
    </row>
    <row r="396" spans="8:8" x14ac:dyDescent="0.3">
      <c r="H396" s="11"/>
    </row>
    <row r="397" spans="8:8" x14ac:dyDescent="0.3">
      <c r="H397" s="11"/>
    </row>
    <row r="398" spans="8:8" x14ac:dyDescent="0.3">
      <c r="H398" s="11"/>
    </row>
    <row r="399" spans="8:8" x14ac:dyDescent="0.3">
      <c r="H399" s="11"/>
    </row>
    <row r="400" spans="8:8" x14ac:dyDescent="0.3">
      <c r="H400" s="11"/>
    </row>
    <row r="401" spans="8:8" x14ac:dyDescent="0.3">
      <c r="H401" s="11"/>
    </row>
    <row r="402" spans="8:8" x14ac:dyDescent="0.3">
      <c r="H402" s="11"/>
    </row>
    <row r="403" spans="8:8" x14ac:dyDescent="0.3">
      <c r="H403" s="11"/>
    </row>
    <row r="404" spans="8:8" x14ac:dyDescent="0.3">
      <c r="H404" s="11"/>
    </row>
    <row r="405" spans="8:8" x14ac:dyDescent="0.3">
      <c r="H405" s="11"/>
    </row>
    <row r="406" spans="8:8" x14ac:dyDescent="0.3">
      <c r="H406" s="11"/>
    </row>
    <row r="407" spans="8:8" x14ac:dyDescent="0.3">
      <c r="H407" s="11"/>
    </row>
    <row r="408" spans="8:8" x14ac:dyDescent="0.3">
      <c r="H408" s="11"/>
    </row>
    <row r="409" spans="8:8" x14ac:dyDescent="0.3">
      <c r="H409" s="11"/>
    </row>
    <row r="410" spans="8:8" x14ac:dyDescent="0.3">
      <c r="H410" s="11"/>
    </row>
    <row r="411" spans="8:8" x14ac:dyDescent="0.3">
      <c r="H411" s="11"/>
    </row>
    <row r="412" spans="8:8" x14ac:dyDescent="0.3">
      <c r="H412" s="11"/>
    </row>
    <row r="413" spans="8:8" x14ac:dyDescent="0.3">
      <c r="H413" s="11"/>
    </row>
    <row r="414" spans="8:8" x14ac:dyDescent="0.3">
      <c r="H414" s="11"/>
    </row>
    <row r="415" spans="8:8" x14ac:dyDescent="0.3">
      <c r="H415" s="11"/>
    </row>
    <row r="416" spans="8:8" x14ac:dyDescent="0.3">
      <c r="H416" s="11"/>
    </row>
    <row r="417" spans="8:8" x14ac:dyDescent="0.3">
      <c r="H417" s="11"/>
    </row>
    <row r="418" spans="8:8" x14ac:dyDescent="0.3">
      <c r="H418" s="11"/>
    </row>
    <row r="419" spans="8:8" x14ac:dyDescent="0.3">
      <c r="H419" s="11"/>
    </row>
    <row r="420" spans="8:8" x14ac:dyDescent="0.3">
      <c r="H420" s="11"/>
    </row>
    <row r="421" spans="8:8" x14ac:dyDescent="0.3">
      <c r="H421" s="11"/>
    </row>
    <row r="422" spans="8:8" x14ac:dyDescent="0.3">
      <c r="H422" s="11"/>
    </row>
    <row r="423" spans="8:8" x14ac:dyDescent="0.3">
      <c r="H423" s="11"/>
    </row>
    <row r="424" spans="8:8" x14ac:dyDescent="0.3">
      <c r="H424" s="11"/>
    </row>
    <row r="425" spans="8:8" x14ac:dyDescent="0.3">
      <c r="H425" s="11"/>
    </row>
    <row r="426" spans="8:8" x14ac:dyDescent="0.3">
      <c r="H426" s="11"/>
    </row>
    <row r="427" spans="8:8" x14ac:dyDescent="0.3">
      <c r="H427" s="11"/>
    </row>
    <row r="428" spans="8:8" x14ac:dyDescent="0.3">
      <c r="H428" s="11"/>
    </row>
    <row r="429" spans="8:8" x14ac:dyDescent="0.3">
      <c r="H429" s="11"/>
    </row>
    <row r="430" spans="8:8" x14ac:dyDescent="0.3">
      <c r="H430" s="11"/>
    </row>
    <row r="431" spans="8:8" x14ac:dyDescent="0.3">
      <c r="H431" s="11"/>
    </row>
    <row r="432" spans="8:8" x14ac:dyDescent="0.3">
      <c r="H432" s="11"/>
    </row>
    <row r="433" spans="8:8" x14ac:dyDescent="0.3">
      <c r="H433" s="11"/>
    </row>
    <row r="434" spans="8:8" x14ac:dyDescent="0.3">
      <c r="H434" s="11"/>
    </row>
    <row r="435" spans="8:8" x14ac:dyDescent="0.3">
      <c r="H435" s="11"/>
    </row>
    <row r="436" spans="8:8" x14ac:dyDescent="0.3">
      <c r="H436" s="11"/>
    </row>
    <row r="437" spans="8:8" x14ac:dyDescent="0.3">
      <c r="H437" s="11"/>
    </row>
    <row r="438" spans="8:8" x14ac:dyDescent="0.3">
      <c r="H438" s="11"/>
    </row>
    <row r="439" spans="8:8" x14ac:dyDescent="0.3">
      <c r="H439" s="11"/>
    </row>
    <row r="440" spans="8:8" x14ac:dyDescent="0.3">
      <c r="H440" s="11"/>
    </row>
    <row r="441" spans="8:8" x14ac:dyDescent="0.3">
      <c r="H441" s="11"/>
    </row>
    <row r="442" spans="8:8" x14ac:dyDescent="0.3">
      <c r="H442" s="11"/>
    </row>
    <row r="443" spans="8:8" x14ac:dyDescent="0.3">
      <c r="H443" s="11"/>
    </row>
    <row r="444" spans="8:8" x14ac:dyDescent="0.3">
      <c r="H444" s="11"/>
    </row>
    <row r="445" spans="8:8" x14ac:dyDescent="0.3">
      <c r="H445" s="11"/>
    </row>
    <row r="446" spans="8:8" x14ac:dyDescent="0.3">
      <c r="H446" s="11"/>
    </row>
    <row r="447" spans="8:8" x14ac:dyDescent="0.3">
      <c r="H447" s="11"/>
    </row>
    <row r="448" spans="8:8" x14ac:dyDescent="0.3">
      <c r="H448" s="11"/>
    </row>
    <row r="449" spans="8:8" x14ac:dyDescent="0.3">
      <c r="H449" s="11"/>
    </row>
    <row r="450" spans="8:8" x14ac:dyDescent="0.3">
      <c r="H450" s="11"/>
    </row>
    <row r="451" spans="8:8" x14ac:dyDescent="0.3">
      <c r="H451" s="11"/>
    </row>
    <row r="452" spans="8:8" x14ac:dyDescent="0.3">
      <c r="H452" s="11"/>
    </row>
    <row r="453" spans="8:8" x14ac:dyDescent="0.3">
      <c r="H453" s="11"/>
    </row>
    <row r="454" spans="8:8" x14ac:dyDescent="0.3">
      <c r="H454" s="11"/>
    </row>
    <row r="455" spans="8:8" x14ac:dyDescent="0.3">
      <c r="H455" s="11"/>
    </row>
    <row r="456" spans="8:8" x14ac:dyDescent="0.3">
      <c r="H456" s="11"/>
    </row>
    <row r="457" spans="8:8" x14ac:dyDescent="0.3">
      <c r="H457" s="11"/>
    </row>
    <row r="458" spans="8:8" x14ac:dyDescent="0.3">
      <c r="H458" s="11"/>
    </row>
    <row r="459" spans="8:8" x14ac:dyDescent="0.3">
      <c r="H459" s="11"/>
    </row>
    <row r="460" spans="8:8" x14ac:dyDescent="0.3">
      <c r="H460" s="11"/>
    </row>
    <row r="461" spans="8:8" x14ac:dyDescent="0.3">
      <c r="H461" s="11"/>
    </row>
    <row r="462" spans="8:8" x14ac:dyDescent="0.3">
      <c r="H462" s="11"/>
    </row>
    <row r="463" spans="8:8" x14ac:dyDescent="0.3">
      <c r="H463" s="11"/>
    </row>
    <row r="464" spans="8:8" x14ac:dyDescent="0.3">
      <c r="H464" s="11"/>
    </row>
    <row r="465" spans="8:8" x14ac:dyDescent="0.3">
      <c r="H465" s="11"/>
    </row>
    <row r="466" spans="8:8" x14ac:dyDescent="0.3">
      <c r="H466" s="11"/>
    </row>
    <row r="467" spans="8:8" x14ac:dyDescent="0.3">
      <c r="H467" s="11"/>
    </row>
    <row r="468" spans="8:8" x14ac:dyDescent="0.3">
      <c r="H468" s="11"/>
    </row>
    <row r="469" spans="8:8" x14ac:dyDescent="0.3">
      <c r="H469" s="11"/>
    </row>
    <row r="470" spans="8:8" x14ac:dyDescent="0.3">
      <c r="H470" s="11"/>
    </row>
    <row r="471" spans="8:8" x14ac:dyDescent="0.3">
      <c r="H471" s="11"/>
    </row>
    <row r="472" spans="8:8" x14ac:dyDescent="0.3">
      <c r="H472" s="11"/>
    </row>
    <row r="473" spans="8:8" x14ac:dyDescent="0.3">
      <c r="H473" s="11"/>
    </row>
    <row r="474" spans="8:8" x14ac:dyDescent="0.3">
      <c r="H474" s="11"/>
    </row>
    <row r="475" spans="8:8" x14ac:dyDescent="0.3">
      <c r="H475" s="11"/>
    </row>
    <row r="476" spans="8:8" x14ac:dyDescent="0.3">
      <c r="H476" s="11"/>
    </row>
    <row r="477" spans="8:8" x14ac:dyDescent="0.3">
      <c r="H477" s="11"/>
    </row>
    <row r="478" spans="8:8" x14ac:dyDescent="0.3">
      <c r="H478" s="11"/>
    </row>
    <row r="479" spans="8:8" x14ac:dyDescent="0.3">
      <c r="H479" s="11"/>
    </row>
    <row r="480" spans="8:8" x14ac:dyDescent="0.3">
      <c r="H480" s="11"/>
    </row>
    <row r="481" spans="8:8" x14ac:dyDescent="0.3">
      <c r="H481" s="11"/>
    </row>
    <row r="482" spans="8:8" x14ac:dyDescent="0.3">
      <c r="H482" s="11"/>
    </row>
    <row r="483" spans="8:8" x14ac:dyDescent="0.3">
      <c r="H483" s="11"/>
    </row>
    <row r="484" spans="8:8" x14ac:dyDescent="0.3">
      <c r="H484" s="11"/>
    </row>
    <row r="485" spans="8:8" x14ac:dyDescent="0.3">
      <c r="H485" s="11"/>
    </row>
    <row r="486" spans="8:8" x14ac:dyDescent="0.3">
      <c r="H486" s="11"/>
    </row>
    <row r="487" spans="8:8" x14ac:dyDescent="0.3">
      <c r="H487" s="11"/>
    </row>
    <row r="488" spans="8:8" x14ac:dyDescent="0.3">
      <c r="H488" s="11"/>
    </row>
    <row r="489" spans="8:8" x14ac:dyDescent="0.3">
      <c r="H489" s="11"/>
    </row>
    <row r="490" spans="8:8" x14ac:dyDescent="0.3">
      <c r="H490" s="11"/>
    </row>
    <row r="491" spans="8:8" x14ac:dyDescent="0.3">
      <c r="H491" s="11"/>
    </row>
    <row r="492" spans="8:8" x14ac:dyDescent="0.3">
      <c r="H492" s="11"/>
    </row>
    <row r="493" spans="8:8" x14ac:dyDescent="0.3">
      <c r="H493" s="11"/>
    </row>
    <row r="494" spans="8:8" x14ac:dyDescent="0.3">
      <c r="H494" s="11"/>
    </row>
    <row r="495" spans="8:8" x14ac:dyDescent="0.3">
      <c r="H495" s="11"/>
    </row>
    <row r="496" spans="8:8" x14ac:dyDescent="0.3">
      <c r="H496" s="11"/>
    </row>
    <row r="497" spans="8:8" x14ac:dyDescent="0.3">
      <c r="H497" s="11"/>
    </row>
    <row r="498" spans="8:8" x14ac:dyDescent="0.3">
      <c r="H498" s="11"/>
    </row>
    <row r="499" spans="8:8" x14ac:dyDescent="0.3">
      <c r="H499" s="11"/>
    </row>
    <row r="500" spans="8:8" x14ac:dyDescent="0.3">
      <c r="H500" s="11"/>
    </row>
    <row r="501" spans="8:8" x14ac:dyDescent="0.3">
      <c r="H501" s="11"/>
    </row>
    <row r="502" spans="8:8" x14ac:dyDescent="0.3">
      <c r="H502" s="11"/>
    </row>
    <row r="503" spans="8:8" x14ac:dyDescent="0.3">
      <c r="H503" s="11"/>
    </row>
    <row r="504" spans="8:8" x14ac:dyDescent="0.3">
      <c r="H504" s="11"/>
    </row>
    <row r="505" spans="8:8" x14ac:dyDescent="0.3">
      <c r="H505" s="11"/>
    </row>
    <row r="506" spans="8:8" x14ac:dyDescent="0.3">
      <c r="H506" s="11"/>
    </row>
    <row r="507" spans="8:8" x14ac:dyDescent="0.3">
      <c r="H507" s="11"/>
    </row>
    <row r="508" spans="8:8" x14ac:dyDescent="0.3">
      <c r="H508" s="11"/>
    </row>
    <row r="509" spans="8:8" x14ac:dyDescent="0.3">
      <c r="H509" s="11"/>
    </row>
    <row r="510" spans="8:8" x14ac:dyDescent="0.3">
      <c r="H510" s="11"/>
    </row>
    <row r="511" spans="8:8" x14ac:dyDescent="0.3">
      <c r="H511" s="11"/>
    </row>
    <row r="512" spans="8:8" x14ac:dyDescent="0.3">
      <c r="H512" s="11"/>
    </row>
    <row r="513" spans="8:8" x14ac:dyDescent="0.3">
      <c r="H513" s="11"/>
    </row>
    <row r="514" spans="8:8" x14ac:dyDescent="0.3">
      <c r="H514" s="11"/>
    </row>
    <row r="515" spans="8:8" x14ac:dyDescent="0.3">
      <c r="H515" s="11"/>
    </row>
    <row r="516" spans="8:8" x14ac:dyDescent="0.3">
      <c r="H516" s="11"/>
    </row>
    <row r="517" spans="8:8" x14ac:dyDescent="0.3">
      <c r="H517" s="11"/>
    </row>
    <row r="518" spans="8:8" x14ac:dyDescent="0.3">
      <c r="H518" s="11"/>
    </row>
    <row r="519" spans="8:8" x14ac:dyDescent="0.3">
      <c r="H519" s="11"/>
    </row>
    <row r="520" spans="8:8" x14ac:dyDescent="0.3">
      <c r="H520" s="11"/>
    </row>
    <row r="521" spans="8:8" x14ac:dyDescent="0.3">
      <c r="H521" s="11"/>
    </row>
    <row r="522" spans="8:8" x14ac:dyDescent="0.3">
      <c r="H522" s="11"/>
    </row>
    <row r="523" spans="8:8" x14ac:dyDescent="0.3">
      <c r="H523" s="11"/>
    </row>
    <row r="524" spans="8:8" x14ac:dyDescent="0.3">
      <c r="H524" s="11"/>
    </row>
    <row r="525" spans="8:8" x14ac:dyDescent="0.3">
      <c r="H525" s="11"/>
    </row>
    <row r="526" spans="8:8" x14ac:dyDescent="0.3">
      <c r="H526" s="11"/>
    </row>
    <row r="527" spans="8:8" x14ac:dyDescent="0.3">
      <c r="H527" s="11"/>
    </row>
    <row r="528" spans="8:8" x14ac:dyDescent="0.3">
      <c r="H528" s="11"/>
    </row>
    <row r="529" spans="8:8" x14ac:dyDescent="0.3">
      <c r="H529" s="11"/>
    </row>
    <row r="530" spans="8:8" x14ac:dyDescent="0.3">
      <c r="H530" s="11"/>
    </row>
    <row r="531" spans="8:8" x14ac:dyDescent="0.3">
      <c r="H531" s="11"/>
    </row>
    <row r="532" spans="8:8" x14ac:dyDescent="0.3">
      <c r="H532" s="11"/>
    </row>
    <row r="533" spans="8:8" x14ac:dyDescent="0.3">
      <c r="H533" s="11"/>
    </row>
    <row r="534" spans="8:8" x14ac:dyDescent="0.3">
      <c r="H534" s="11"/>
    </row>
    <row r="535" spans="8:8" x14ac:dyDescent="0.3">
      <c r="H535" s="11"/>
    </row>
    <row r="536" spans="8:8" x14ac:dyDescent="0.3">
      <c r="H536" s="11"/>
    </row>
    <row r="537" spans="8:8" x14ac:dyDescent="0.3">
      <c r="H537" s="11"/>
    </row>
    <row r="538" spans="8:8" x14ac:dyDescent="0.3">
      <c r="H538" s="11"/>
    </row>
    <row r="539" spans="8:8" x14ac:dyDescent="0.3">
      <c r="H539" s="11"/>
    </row>
    <row r="540" spans="8:8" x14ac:dyDescent="0.3">
      <c r="H540" s="11"/>
    </row>
    <row r="541" spans="8:8" x14ac:dyDescent="0.3">
      <c r="H541" s="11"/>
    </row>
    <row r="542" spans="8:8" x14ac:dyDescent="0.3">
      <c r="H542" s="11"/>
    </row>
    <row r="543" spans="8:8" x14ac:dyDescent="0.3">
      <c r="H543" s="11"/>
    </row>
    <row r="544" spans="8:8" x14ac:dyDescent="0.3">
      <c r="H544" s="11"/>
    </row>
    <row r="545" spans="8:8" x14ac:dyDescent="0.3">
      <c r="H545" s="11"/>
    </row>
    <row r="546" spans="8:8" x14ac:dyDescent="0.3">
      <c r="H546" s="11"/>
    </row>
    <row r="547" spans="8:8" x14ac:dyDescent="0.3">
      <c r="H547" s="11"/>
    </row>
    <row r="548" spans="8:8" x14ac:dyDescent="0.3">
      <c r="H548" s="11"/>
    </row>
    <row r="549" spans="8:8" x14ac:dyDescent="0.3">
      <c r="H549" s="11"/>
    </row>
    <row r="550" spans="8:8" x14ac:dyDescent="0.3">
      <c r="H550" s="11"/>
    </row>
    <row r="551" spans="8:8" x14ac:dyDescent="0.3">
      <c r="H551" s="11"/>
    </row>
    <row r="552" spans="8:8" x14ac:dyDescent="0.3">
      <c r="H552" s="11"/>
    </row>
    <row r="553" spans="8:8" x14ac:dyDescent="0.3">
      <c r="H553" s="11"/>
    </row>
    <row r="554" spans="8:8" x14ac:dyDescent="0.3">
      <c r="H554" s="11"/>
    </row>
    <row r="555" spans="8:8" x14ac:dyDescent="0.3">
      <c r="H555" s="11"/>
    </row>
    <row r="556" spans="8:8" x14ac:dyDescent="0.3">
      <c r="H556" s="11"/>
    </row>
    <row r="557" spans="8:8" x14ac:dyDescent="0.3">
      <c r="H557" s="11"/>
    </row>
    <row r="558" spans="8:8" x14ac:dyDescent="0.3">
      <c r="H558" s="11"/>
    </row>
    <row r="559" spans="8:8" x14ac:dyDescent="0.3">
      <c r="H559" s="11"/>
    </row>
    <row r="560" spans="8:8" x14ac:dyDescent="0.3">
      <c r="H560" s="11"/>
    </row>
    <row r="561" spans="8:8" x14ac:dyDescent="0.3">
      <c r="H561" s="11"/>
    </row>
    <row r="562" spans="8:8" x14ac:dyDescent="0.3">
      <c r="H562" s="11"/>
    </row>
    <row r="563" spans="8:8" x14ac:dyDescent="0.3">
      <c r="H563" s="11"/>
    </row>
    <row r="564" spans="8:8" x14ac:dyDescent="0.3">
      <c r="H564" s="11"/>
    </row>
    <row r="565" spans="8:8" x14ac:dyDescent="0.3">
      <c r="H565" s="11"/>
    </row>
    <row r="566" spans="8:8" x14ac:dyDescent="0.3">
      <c r="H566" s="11"/>
    </row>
    <row r="567" spans="8:8" x14ac:dyDescent="0.3">
      <c r="H567" s="11"/>
    </row>
    <row r="568" spans="8:8" x14ac:dyDescent="0.3">
      <c r="H568" s="11"/>
    </row>
    <row r="569" spans="8:8" x14ac:dyDescent="0.3">
      <c r="H569" s="11"/>
    </row>
    <row r="570" spans="8:8" x14ac:dyDescent="0.3">
      <c r="H570" s="11"/>
    </row>
    <row r="571" spans="8:8" x14ac:dyDescent="0.3">
      <c r="H571" s="11"/>
    </row>
    <row r="572" spans="8:8" x14ac:dyDescent="0.3">
      <c r="H572" s="11"/>
    </row>
    <row r="573" spans="8:8" x14ac:dyDescent="0.3">
      <c r="H573" s="11"/>
    </row>
    <row r="574" spans="8:8" x14ac:dyDescent="0.3">
      <c r="H574" s="11"/>
    </row>
    <row r="575" spans="8:8" x14ac:dyDescent="0.3">
      <c r="H575" s="11"/>
    </row>
    <row r="576" spans="8:8" x14ac:dyDescent="0.3">
      <c r="H576" s="11"/>
    </row>
    <row r="577" spans="8:8" x14ac:dyDescent="0.3">
      <c r="H577" s="11"/>
    </row>
    <row r="578" spans="8:8" x14ac:dyDescent="0.3">
      <c r="H578" s="11"/>
    </row>
    <row r="579" spans="8:8" x14ac:dyDescent="0.3">
      <c r="H579" s="11"/>
    </row>
    <row r="580" spans="8:8" x14ac:dyDescent="0.3">
      <c r="H580" s="11"/>
    </row>
    <row r="581" spans="8:8" x14ac:dyDescent="0.3">
      <c r="H581" s="11"/>
    </row>
    <row r="582" spans="8:8" x14ac:dyDescent="0.3">
      <c r="H582" s="11"/>
    </row>
    <row r="583" spans="8:8" x14ac:dyDescent="0.3">
      <c r="H583" s="11"/>
    </row>
    <row r="584" spans="8:8" x14ac:dyDescent="0.3">
      <c r="H584" s="11"/>
    </row>
    <row r="585" spans="8:8" x14ac:dyDescent="0.3">
      <c r="H585" s="11"/>
    </row>
    <row r="586" spans="8:8" x14ac:dyDescent="0.3">
      <c r="H586" s="11"/>
    </row>
    <row r="587" spans="8:8" x14ac:dyDescent="0.3">
      <c r="H587" s="11"/>
    </row>
    <row r="588" spans="8:8" x14ac:dyDescent="0.3">
      <c r="H588" s="11"/>
    </row>
    <row r="589" spans="8:8" x14ac:dyDescent="0.3">
      <c r="H589" s="11"/>
    </row>
    <row r="590" spans="8:8" x14ac:dyDescent="0.3">
      <c r="H590" s="11"/>
    </row>
    <row r="591" spans="8:8" x14ac:dyDescent="0.3">
      <c r="H591" s="11"/>
    </row>
    <row r="592" spans="8:8" x14ac:dyDescent="0.3">
      <c r="H592" s="11"/>
    </row>
    <row r="593" spans="8:8" x14ac:dyDescent="0.3">
      <c r="H593" s="11"/>
    </row>
    <row r="594" spans="8:8" x14ac:dyDescent="0.3">
      <c r="H594" s="11"/>
    </row>
    <row r="595" spans="8:8" x14ac:dyDescent="0.3">
      <c r="H595" s="11"/>
    </row>
    <row r="596" spans="8:8" x14ac:dyDescent="0.3">
      <c r="H596" s="11"/>
    </row>
    <row r="597" spans="8:8" x14ac:dyDescent="0.3">
      <c r="H597" s="11"/>
    </row>
    <row r="598" spans="8:8" x14ac:dyDescent="0.3">
      <c r="H598" s="11"/>
    </row>
    <row r="599" spans="8:8" x14ac:dyDescent="0.3">
      <c r="H599" s="11"/>
    </row>
    <row r="600" spans="8:8" x14ac:dyDescent="0.3">
      <c r="H600" s="11"/>
    </row>
    <row r="601" spans="8:8" x14ac:dyDescent="0.3">
      <c r="H601" s="11"/>
    </row>
    <row r="602" spans="8:8" x14ac:dyDescent="0.3">
      <c r="H602" s="11"/>
    </row>
    <row r="603" spans="8:8" x14ac:dyDescent="0.3">
      <c r="H603" s="11"/>
    </row>
    <row r="604" spans="8:8" x14ac:dyDescent="0.3">
      <c r="H604" s="11"/>
    </row>
    <row r="605" spans="8:8" x14ac:dyDescent="0.3">
      <c r="H605" s="11"/>
    </row>
    <row r="606" spans="8:8" x14ac:dyDescent="0.3">
      <c r="H606" s="11"/>
    </row>
    <row r="607" spans="8:8" x14ac:dyDescent="0.3">
      <c r="H607" s="11"/>
    </row>
    <row r="608" spans="8:8" x14ac:dyDescent="0.3">
      <c r="H608" s="11"/>
    </row>
    <row r="609" spans="8:8" x14ac:dyDescent="0.3">
      <c r="H609" s="11"/>
    </row>
    <row r="610" spans="8:8" x14ac:dyDescent="0.3">
      <c r="H610" s="11"/>
    </row>
    <row r="611" spans="8:8" x14ac:dyDescent="0.3">
      <c r="H611" s="11"/>
    </row>
    <row r="612" spans="8:8" x14ac:dyDescent="0.3">
      <c r="H612" s="11"/>
    </row>
    <row r="613" spans="8:8" x14ac:dyDescent="0.3">
      <c r="H613" s="11"/>
    </row>
    <row r="614" spans="8:8" x14ac:dyDescent="0.3">
      <c r="H614" s="11"/>
    </row>
    <row r="615" spans="8:8" x14ac:dyDescent="0.3">
      <c r="H615" s="11"/>
    </row>
    <row r="616" spans="8:8" x14ac:dyDescent="0.3">
      <c r="H616" s="11"/>
    </row>
    <row r="617" spans="8:8" x14ac:dyDescent="0.3">
      <c r="H617" s="11"/>
    </row>
    <row r="618" spans="8:8" x14ac:dyDescent="0.3">
      <c r="H618" s="11"/>
    </row>
    <row r="619" spans="8:8" x14ac:dyDescent="0.3">
      <c r="H619" s="11"/>
    </row>
    <row r="620" spans="8:8" x14ac:dyDescent="0.3">
      <c r="H620" s="11"/>
    </row>
    <row r="621" spans="8:8" x14ac:dyDescent="0.3">
      <c r="H621" s="11"/>
    </row>
    <row r="622" spans="8:8" x14ac:dyDescent="0.3">
      <c r="H622" s="11"/>
    </row>
    <row r="623" spans="8:8" x14ac:dyDescent="0.3">
      <c r="H623" s="11"/>
    </row>
    <row r="624" spans="8:8" x14ac:dyDescent="0.3">
      <c r="H624" s="11"/>
    </row>
    <row r="625" spans="8:8" x14ac:dyDescent="0.3">
      <c r="H625" s="11"/>
    </row>
    <row r="626" spans="8:8" x14ac:dyDescent="0.3">
      <c r="H626" s="11"/>
    </row>
    <row r="627" spans="8:8" x14ac:dyDescent="0.3">
      <c r="H627" s="11"/>
    </row>
    <row r="628" spans="8:8" x14ac:dyDescent="0.3">
      <c r="H628" s="11"/>
    </row>
    <row r="629" spans="8:8" x14ac:dyDescent="0.3">
      <c r="H629" s="11"/>
    </row>
    <row r="630" spans="8:8" x14ac:dyDescent="0.3">
      <c r="H630" s="11"/>
    </row>
    <row r="631" spans="8:8" x14ac:dyDescent="0.3">
      <c r="H631" s="11"/>
    </row>
    <row r="632" spans="8:8" x14ac:dyDescent="0.3">
      <c r="H632" s="11"/>
    </row>
    <row r="633" spans="8:8" x14ac:dyDescent="0.3">
      <c r="H633" s="11"/>
    </row>
    <row r="634" spans="8:8" x14ac:dyDescent="0.3">
      <c r="H634" s="11"/>
    </row>
    <row r="635" spans="8:8" x14ac:dyDescent="0.3">
      <c r="H635" s="11"/>
    </row>
    <row r="636" spans="8:8" x14ac:dyDescent="0.3">
      <c r="H636" s="11"/>
    </row>
    <row r="637" spans="8:8" x14ac:dyDescent="0.3">
      <c r="H637" s="11"/>
    </row>
    <row r="638" spans="8:8" x14ac:dyDescent="0.3">
      <c r="H638" s="11"/>
    </row>
    <row r="639" spans="8:8" x14ac:dyDescent="0.3">
      <c r="H639" s="11"/>
    </row>
    <row r="640" spans="8:8" x14ac:dyDescent="0.3">
      <c r="H640" s="11"/>
    </row>
    <row r="641" spans="8:8" x14ac:dyDescent="0.3">
      <c r="H641" s="11"/>
    </row>
    <row r="642" spans="8:8" x14ac:dyDescent="0.3">
      <c r="H642" s="11"/>
    </row>
    <row r="643" spans="8:8" x14ac:dyDescent="0.3">
      <c r="H643" s="11"/>
    </row>
    <row r="644" spans="8:8" x14ac:dyDescent="0.3">
      <c r="H644" s="11"/>
    </row>
    <row r="645" spans="8:8" x14ac:dyDescent="0.3">
      <c r="H645" s="11"/>
    </row>
    <row r="646" spans="8:8" x14ac:dyDescent="0.3">
      <c r="H646" s="11"/>
    </row>
    <row r="647" spans="8:8" x14ac:dyDescent="0.3">
      <c r="H647" s="11"/>
    </row>
    <row r="648" spans="8:8" x14ac:dyDescent="0.3">
      <c r="H648" s="11"/>
    </row>
    <row r="649" spans="8:8" x14ac:dyDescent="0.3">
      <c r="H649" s="11"/>
    </row>
    <row r="650" spans="8:8" x14ac:dyDescent="0.3">
      <c r="H650" s="11"/>
    </row>
    <row r="651" spans="8:8" x14ac:dyDescent="0.3">
      <c r="H651" s="11"/>
    </row>
    <row r="652" spans="8:8" x14ac:dyDescent="0.3">
      <c r="H652" s="11"/>
    </row>
    <row r="653" spans="8:8" x14ac:dyDescent="0.3">
      <c r="H653" s="11"/>
    </row>
    <row r="654" spans="8:8" x14ac:dyDescent="0.3">
      <c r="H654" s="11"/>
    </row>
    <row r="655" spans="8:8" x14ac:dyDescent="0.3">
      <c r="H655" s="11"/>
    </row>
    <row r="656" spans="8:8" x14ac:dyDescent="0.3">
      <c r="H656" s="11"/>
    </row>
    <row r="657" spans="8:8" x14ac:dyDescent="0.3">
      <c r="H657" s="11"/>
    </row>
    <row r="658" spans="8:8" x14ac:dyDescent="0.3">
      <c r="H658" s="11"/>
    </row>
    <row r="659" spans="8:8" x14ac:dyDescent="0.3">
      <c r="H659" s="11"/>
    </row>
    <row r="660" spans="8:8" x14ac:dyDescent="0.3">
      <c r="H660" s="11"/>
    </row>
    <row r="661" spans="8:8" x14ac:dyDescent="0.3">
      <c r="H661" s="11"/>
    </row>
    <row r="662" spans="8:8" x14ac:dyDescent="0.3">
      <c r="H662" s="11"/>
    </row>
    <row r="663" spans="8:8" x14ac:dyDescent="0.3">
      <c r="H663" s="11"/>
    </row>
    <row r="664" spans="8:8" x14ac:dyDescent="0.3">
      <c r="H664" s="11"/>
    </row>
    <row r="665" spans="8:8" x14ac:dyDescent="0.3">
      <c r="H665" s="11"/>
    </row>
    <row r="666" spans="8:8" x14ac:dyDescent="0.3">
      <c r="H666" s="11"/>
    </row>
    <row r="667" spans="8:8" x14ac:dyDescent="0.3">
      <c r="H667" s="11"/>
    </row>
    <row r="668" spans="8:8" x14ac:dyDescent="0.3">
      <c r="H668" s="11"/>
    </row>
    <row r="669" spans="8:8" x14ac:dyDescent="0.3">
      <c r="H669" s="11"/>
    </row>
    <row r="670" spans="8:8" x14ac:dyDescent="0.3">
      <c r="H670" s="11"/>
    </row>
    <row r="671" spans="8:8" x14ac:dyDescent="0.3">
      <c r="H671" s="11"/>
    </row>
    <row r="672" spans="8:8" x14ac:dyDescent="0.3">
      <c r="H672" s="11"/>
    </row>
    <row r="673" spans="8:8" x14ac:dyDescent="0.3">
      <c r="H673" s="11"/>
    </row>
    <row r="674" spans="8:8" x14ac:dyDescent="0.3">
      <c r="H674" s="11"/>
    </row>
    <row r="675" spans="8:8" x14ac:dyDescent="0.3">
      <c r="H675" s="11"/>
    </row>
    <row r="676" spans="8:8" x14ac:dyDescent="0.3">
      <c r="H676" s="11"/>
    </row>
    <row r="677" spans="8:8" x14ac:dyDescent="0.3">
      <c r="H677" s="11"/>
    </row>
    <row r="678" spans="8:8" x14ac:dyDescent="0.3">
      <c r="H678" s="11"/>
    </row>
    <row r="679" spans="8:8" x14ac:dyDescent="0.3">
      <c r="H679" s="11"/>
    </row>
    <row r="680" spans="8:8" x14ac:dyDescent="0.3">
      <c r="H680" s="11"/>
    </row>
    <row r="681" spans="8:8" x14ac:dyDescent="0.3">
      <c r="H681" s="11"/>
    </row>
    <row r="682" spans="8:8" x14ac:dyDescent="0.3">
      <c r="H682" s="11"/>
    </row>
    <row r="683" spans="8:8" x14ac:dyDescent="0.3">
      <c r="H683" s="11"/>
    </row>
    <row r="684" spans="8:8" x14ac:dyDescent="0.3">
      <c r="H684" s="11"/>
    </row>
    <row r="685" spans="8:8" x14ac:dyDescent="0.3">
      <c r="H685" s="11"/>
    </row>
    <row r="686" spans="8:8" x14ac:dyDescent="0.3">
      <c r="H686" s="11"/>
    </row>
    <row r="687" spans="8:8" x14ac:dyDescent="0.3">
      <c r="H687" s="11"/>
    </row>
    <row r="688" spans="8:8" x14ac:dyDescent="0.3">
      <c r="H688" s="11"/>
    </row>
    <row r="689" spans="8:8" x14ac:dyDescent="0.3">
      <c r="H689" s="11"/>
    </row>
    <row r="690" spans="8:8" x14ac:dyDescent="0.3">
      <c r="H690" s="11"/>
    </row>
    <row r="691" spans="8:8" x14ac:dyDescent="0.3">
      <c r="H691" s="11"/>
    </row>
    <row r="692" spans="8:8" x14ac:dyDescent="0.3">
      <c r="H692" s="11"/>
    </row>
    <row r="693" spans="8:8" x14ac:dyDescent="0.3">
      <c r="H693" s="11"/>
    </row>
    <row r="694" spans="8:8" x14ac:dyDescent="0.3">
      <c r="H694" s="11"/>
    </row>
    <row r="695" spans="8:8" x14ac:dyDescent="0.3">
      <c r="H695" s="11"/>
    </row>
    <row r="696" spans="8:8" x14ac:dyDescent="0.3">
      <c r="H696" s="11"/>
    </row>
    <row r="697" spans="8:8" x14ac:dyDescent="0.3">
      <c r="H697" s="11"/>
    </row>
    <row r="698" spans="8:8" x14ac:dyDescent="0.3">
      <c r="H698" s="11"/>
    </row>
    <row r="699" spans="8:8" x14ac:dyDescent="0.3">
      <c r="H699" s="11"/>
    </row>
    <row r="700" spans="8:8" x14ac:dyDescent="0.3">
      <c r="H700" s="11"/>
    </row>
    <row r="701" spans="8:8" x14ac:dyDescent="0.3">
      <c r="H701" s="11"/>
    </row>
    <row r="702" spans="8:8" x14ac:dyDescent="0.3">
      <c r="H702" s="11"/>
    </row>
    <row r="703" spans="8:8" x14ac:dyDescent="0.3">
      <c r="H703" s="11"/>
    </row>
    <row r="704" spans="8:8" x14ac:dyDescent="0.3">
      <c r="H704" s="11"/>
    </row>
    <row r="705" spans="8:8" x14ac:dyDescent="0.3">
      <c r="H705" s="11"/>
    </row>
    <row r="706" spans="8:8" x14ac:dyDescent="0.3">
      <c r="H706" s="11"/>
    </row>
    <row r="707" spans="8:8" x14ac:dyDescent="0.3">
      <c r="H707" s="11"/>
    </row>
    <row r="708" spans="8:8" x14ac:dyDescent="0.3">
      <c r="H708" s="11"/>
    </row>
    <row r="709" spans="8:8" x14ac:dyDescent="0.3">
      <c r="H709" s="11"/>
    </row>
    <row r="710" spans="8:8" x14ac:dyDescent="0.3">
      <c r="H710" s="11"/>
    </row>
    <row r="711" spans="8:8" x14ac:dyDescent="0.3">
      <c r="H711" s="11"/>
    </row>
    <row r="712" spans="8:8" x14ac:dyDescent="0.3">
      <c r="H712" s="11"/>
    </row>
    <row r="713" spans="8:8" x14ac:dyDescent="0.3">
      <c r="H713" s="11"/>
    </row>
    <row r="714" spans="8:8" x14ac:dyDescent="0.3">
      <c r="H714" s="11"/>
    </row>
    <row r="715" spans="8:8" x14ac:dyDescent="0.3">
      <c r="H715" s="11"/>
    </row>
    <row r="716" spans="8:8" x14ac:dyDescent="0.3">
      <c r="H716" s="11"/>
    </row>
    <row r="717" spans="8:8" x14ac:dyDescent="0.3">
      <c r="H717" s="11"/>
    </row>
    <row r="718" spans="8:8" x14ac:dyDescent="0.3">
      <c r="H718" s="11"/>
    </row>
    <row r="719" spans="8:8" x14ac:dyDescent="0.3">
      <c r="H719" s="11"/>
    </row>
    <row r="720" spans="8:8" x14ac:dyDescent="0.3">
      <c r="H720" s="11"/>
    </row>
    <row r="721" spans="8:8" x14ac:dyDescent="0.3">
      <c r="H721" s="11"/>
    </row>
    <row r="722" spans="8:8" x14ac:dyDescent="0.3">
      <c r="H722" s="11"/>
    </row>
    <row r="723" spans="8:8" x14ac:dyDescent="0.3">
      <c r="H723" s="11"/>
    </row>
    <row r="724" spans="8:8" x14ac:dyDescent="0.3">
      <c r="H724" s="11"/>
    </row>
    <row r="725" spans="8:8" x14ac:dyDescent="0.3">
      <c r="H725" s="11"/>
    </row>
    <row r="726" spans="8:8" x14ac:dyDescent="0.3">
      <c r="H726" s="11"/>
    </row>
    <row r="727" spans="8:8" x14ac:dyDescent="0.3">
      <c r="H727" s="11"/>
    </row>
    <row r="728" spans="8:8" x14ac:dyDescent="0.3">
      <c r="H728" s="11"/>
    </row>
    <row r="729" spans="8:8" x14ac:dyDescent="0.3">
      <c r="H729" s="11"/>
    </row>
    <row r="730" spans="8:8" x14ac:dyDescent="0.3">
      <c r="H730" s="11"/>
    </row>
    <row r="731" spans="8:8" x14ac:dyDescent="0.3">
      <c r="H731" s="11"/>
    </row>
    <row r="732" spans="8:8" x14ac:dyDescent="0.3">
      <c r="H732" s="11"/>
    </row>
    <row r="733" spans="8:8" x14ac:dyDescent="0.3">
      <c r="H733" s="11"/>
    </row>
    <row r="734" spans="8:8" x14ac:dyDescent="0.3">
      <c r="H734" s="11"/>
    </row>
    <row r="735" spans="8:8" x14ac:dyDescent="0.3">
      <c r="H735" s="11"/>
    </row>
    <row r="736" spans="8:8" x14ac:dyDescent="0.3">
      <c r="H736" s="11"/>
    </row>
    <row r="737" spans="8:8" x14ac:dyDescent="0.3">
      <c r="H737" s="11"/>
    </row>
    <row r="738" spans="8:8" x14ac:dyDescent="0.3">
      <c r="H738" s="11"/>
    </row>
    <row r="739" spans="8:8" x14ac:dyDescent="0.3">
      <c r="H739" s="11"/>
    </row>
    <row r="740" spans="8:8" x14ac:dyDescent="0.3">
      <c r="H740" s="11"/>
    </row>
    <row r="741" spans="8:8" x14ac:dyDescent="0.3">
      <c r="H741" s="11"/>
    </row>
    <row r="742" spans="8:8" x14ac:dyDescent="0.3">
      <c r="H742" s="11"/>
    </row>
    <row r="743" spans="8:8" x14ac:dyDescent="0.3">
      <c r="H743" s="11"/>
    </row>
    <row r="744" spans="8:8" x14ac:dyDescent="0.3">
      <c r="H744" s="11"/>
    </row>
    <row r="745" spans="8:8" x14ac:dyDescent="0.3">
      <c r="H745" s="11"/>
    </row>
    <row r="746" spans="8:8" x14ac:dyDescent="0.3">
      <c r="H746" s="11"/>
    </row>
    <row r="747" spans="8:8" x14ac:dyDescent="0.3">
      <c r="H747" s="11"/>
    </row>
    <row r="748" spans="8:8" x14ac:dyDescent="0.3">
      <c r="H748" s="11"/>
    </row>
    <row r="749" spans="8:8" x14ac:dyDescent="0.3">
      <c r="H749" s="11"/>
    </row>
    <row r="750" spans="8:8" x14ac:dyDescent="0.3">
      <c r="H750" s="11"/>
    </row>
    <row r="751" spans="8:8" x14ac:dyDescent="0.3">
      <c r="H751" s="11"/>
    </row>
    <row r="752" spans="8:8" x14ac:dyDescent="0.3">
      <c r="H752" s="11"/>
    </row>
    <row r="753" spans="8:8" x14ac:dyDescent="0.3">
      <c r="H753" s="11"/>
    </row>
    <row r="754" spans="8:8" x14ac:dyDescent="0.3">
      <c r="H754" s="11"/>
    </row>
    <row r="755" spans="8:8" x14ac:dyDescent="0.3">
      <c r="H755" s="11"/>
    </row>
    <row r="756" spans="8:8" x14ac:dyDescent="0.3">
      <c r="H756" s="11"/>
    </row>
    <row r="757" spans="8:8" x14ac:dyDescent="0.3">
      <c r="H757" s="11"/>
    </row>
    <row r="758" spans="8:8" x14ac:dyDescent="0.3">
      <c r="H758" s="11"/>
    </row>
    <row r="759" spans="8:8" x14ac:dyDescent="0.3">
      <c r="H759" s="11"/>
    </row>
    <row r="760" spans="8:8" x14ac:dyDescent="0.3">
      <c r="H760" s="11"/>
    </row>
    <row r="761" spans="8:8" x14ac:dyDescent="0.3">
      <c r="H761" s="11"/>
    </row>
    <row r="762" spans="8:8" x14ac:dyDescent="0.3">
      <c r="H762" s="11"/>
    </row>
    <row r="763" spans="8:8" x14ac:dyDescent="0.3">
      <c r="H763" s="11"/>
    </row>
    <row r="764" spans="8:8" x14ac:dyDescent="0.3">
      <c r="H764" s="11"/>
    </row>
    <row r="765" spans="8:8" x14ac:dyDescent="0.3">
      <c r="H765" s="11"/>
    </row>
    <row r="766" spans="8:8" x14ac:dyDescent="0.3">
      <c r="H766" s="11"/>
    </row>
    <row r="767" spans="8:8" x14ac:dyDescent="0.3">
      <c r="H767" s="11"/>
    </row>
    <row r="768" spans="8:8" x14ac:dyDescent="0.3">
      <c r="H768" s="11"/>
    </row>
    <row r="769" spans="8:8" x14ac:dyDescent="0.3">
      <c r="H769" s="11"/>
    </row>
    <row r="770" spans="8:8" x14ac:dyDescent="0.3">
      <c r="H770" s="11"/>
    </row>
    <row r="771" spans="8:8" x14ac:dyDescent="0.3">
      <c r="H771" s="11"/>
    </row>
    <row r="772" spans="8:8" x14ac:dyDescent="0.3">
      <c r="H772" s="11"/>
    </row>
    <row r="773" spans="8:8" x14ac:dyDescent="0.3">
      <c r="H773" s="11"/>
    </row>
    <row r="774" spans="8:8" x14ac:dyDescent="0.3">
      <c r="H774" s="11"/>
    </row>
    <row r="775" spans="8:8" x14ac:dyDescent="0.3">
      <c r="H775" s="11"/>
    </row>
    <row r="776" spans="8:8" x14ac:dyDescent="0.3">
      <c r="H776" s="11"/>
    </row>
  </sheetData>
  <sheetProtection algorithmName="SHA-512" hashValue="3zguh4fJrvv/JtcW+r15/jyOrcPBxAHNntDH17b8AFQlupeNyye/4rqiQTcrWYcHHdtPEUWuGc6QCp3VDZ86xQ==" saltValue="AfHBlyl22DEAVVpzqQBAEQ==" spinCount="100000" sheet="1" objects="1" scenarios="1"/>
  <conditionalFormatting sqref="B16:E16">
    <cfRule type="containsBlanks" dxfId="58" priority="8">
      <formula>LEN(TRIM(B16))=0</formula>
    </cfRule>
  </conditionalFormatting>
  <conditionalFormatting sqref="F5:F248 G6:G248">
    <cfRule type="expression" dxfId="57" priority="19" stopIfTrue="1">
      <formula>IF($G5="Всього:",TRUE,FALSE)</formula>
    </cfRule>
    <cfRule type="expression" dxfId="56" priority="20" stopIfTrue="1">
      <formula>IF($G4="Всього:",TRUE,FALSE)</formula>
    </cfRule>
    <cfRule type="expression" dxfId="55" priority="21" stopIfTrue="1">
      <formula>IF(IF($I$5=0,$H5&gt;$E$3+2,$H5&gt;$E$3+1),TRUE,FALSE)</formula>
    </cfRule>
  </conditionalFormatting>
  <conditionalFormatting sqref="H5:H248">
    <cfRule type="expression" dxfId="54" priority="22" stopIfTrue="1">
      <formula>IF($G5="Всього:",TRUE,FALSE)</formula>
    </cfRule>
    <cfRule type="expression" dxfId="53" priority="23" stopIfTrue="1">
      <formula>IF($G4="Всього:",TRUE,FALSE)</formula>
    </cfRule>
    <cfRule type="expression" dxfId="52" priority="24" stopIfTrue="1">
      <formula>IF(IF($I$5=0,$H5&gt;$E$3+2,$H5&gt;$E$3+1),TRUE,FALSE)</formula>
    </cfRule>
  </conditionalFormatting>
  <conditionalFormatting sqref="I5:I248">
    <cfRule type="expression" dxfId="51" priority="16" stopIfTrue="1">
      <formula>IF($G5="Всього:",TRUE,FALSE)</formula>
    </cfRule>
    <cfRule type="expression" dxfId="50" priority="17" stopIfTrue="1">
      <formula>IF($G4="Всього:",TRUE,FALSE)</formula>
    </cfRule>
    <cfRule type="expression" dxfId="49" priority="18" stopIfTrue="1">
      <formula>IF(IF($J$5=0,$H5&gt;$E$3+2,$H5&gt;$E$3+1),TRUE,FALSE)</formula>
    </cfRule>
  </conditionalFormatting>
  <conditionalFormatting sqref="J5:K5 N5:N248 J6:M248">
    <cfRule type="expression" dxfId="48" priority="10" stopIfTrue="1">
      <formula>IF($G5="Всього:",TRUE,FALSE)</formula>
    </cfRule>
    <cfRule type="expression" dxfId="47" priority="11" stopIfTrue="1">
      <formula>IF($G4="Всього:",TRUE,FALSE)</formula>
    </cfRule>
    <cfRule type="expression" dxfId="46" priority="12" stopIfTrue="1">
      <formula>IF(IF($J$5=0,$H5&gt;$E$3+2,$H5&gt;$E$3+1),TRUE,FALSE)</formula>
    </cfRule>
  </conditionalFormatting>
  <conditionalFormatting sqref="L5">
    <cfRule type="expression" dxfId="45" priority="9" stopIfTrue="1">
      <formula>IF($G4="Всього:",TRUE,FALSE)</formula>
    </cfRule>
  </conditionalFormatting>
  <conditionalFormatting sqref="O6:O248">
    <cfRule type="expression" dxfId="44" priority="13" stopIfTrue="1">
      <formula>IF($G6="Всього:",TRUE,FALSE)</formula>
    </cfRule>
    <cfRule type="expression" dxfId="43" priority="14" stopIfTrue="1">
      <formula>IF($G5="Всього:",TRUE,FALSE)</formula>
    </cfRule>
    <cfRule type="expression" dxfId="42" priority="15" stopIfTrue="1">
      <formula>IF(IF($J$5=0,$H6&gt;$E$3+2,$H6&gt;$E$3+1),TRUE,FALSE)</formula>
    </cfRule>
  </conditionalFormatting>
  <conditionalFormatting sqref="Y28">
    <cfRule type="colorScale" priority="1">
      <colorScale>
        <cfvo type="min"/>
        <cfvo type="percentile" val="50"/>
        <cfvo type="max"/>
        <color rgb="FFF8696B"/>
        <color rgb="FFFFEB84"/>
        <color rgb="FF63BE7B"/>
      </colorScale>
    </cfRule>
  </conditionalFormatting>
  <conditionalFormatting sqref="Y16:AC20">
    <cfRule type="colorScale" priority="4">
      <colorScale>
        <cfvo type="min"/>
        <cfvo type="percentile" val="50"/>
        <cfvo type="max"/>
        <color rgb="FFF8696B"/>
        <color rgb="FFFFEB84"/>
        <color rgb="FF63BE7B"/>
      </colorScale>
    </cfRule>
  </conditionalFormatting>
  <conditionalFormatting sqref="Y23:AC27">
    <cfRule type="colorScale" priority="3">
      <colorScale>
        <cfvo type="min"/>
        <cfvo type="percentile" val="50"/>
        <cfvo type="max"/>
        <color rgb="FFF8696B"/>
        <color rgb="FFFFEB84"/>
        <color rgb="FF63BE7B"/>
      </colorScale>
    </cfRule>
  </conditionalFormatting>
  <conditionalFormatting sqref="AF19:AJ23">
    <cfRule type="colorScale" priority="2">
      <colorScale>
        <cfvo type="min"/>
        <cfvo type="percentile" val="50"/>
        <cfvo type="max"/>
        <color rgb="FFF8696B"/>
        <color rgb="FFFFEB84"/>
        <color rgb="FF63BE7B"/>
      </colorScale>
    </cfRule>
  </conditionalFormatting>
  <pageMargins left="0.75" right="0.75" top="1" bottom="1" header="0.5" footer="0.5"/>
  <pageSetup paperSize="9" scale="75" fitToHeight="10" orientation="landscape" r:id="rId1"/>
  <headerFooter alignWithMargins="0">
    <oddHeader>&amp;R&amp;"Calibri"&amp;10&amp;KFF0000 КОНФІДЕНЦІЙНА ІНФОРМАЦІЯ&amp;1#_x000D_</oddHeader>
  </headerFooter>
  <ignoredErrors>
    <ignoredError sqref="F248:H248 H90:H247 L90:O247 J90:J247 J248:O248" evalError="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0EC7E-1986-4124-A365-29A084A8CE60}">
  <sheetPr codeName="Аркуш8"/>
  <dimension ref="A1:BC1754"/>
  <sheetViews>
    <sheetView tabSelected="1" view="pageBreakPreview" zoomScale="85" zoomScaleNormal="100" zoomScaleSheetLayoutView="85" workbookViewId="0">
      <selection activeCell="BE16" sqref="BE16"/>
    </sheetView>
  </sheetViews>
  <sheetFormatPr defaultColWidth="9.109375" defaultRowHeight="14.4" x14ac:dyDescent="0.3"/>
  <cols>
    <col min="1" max="1" width="0.6640625" style="46" customWidth="1"/>
    <col min="2" max="2" width="3.109375" style="41" customWidth="1"/>
    <col min="3" max="3" width="6.5546875" style="41" customWidth="1"/>
    <col min="4" max="4" width="22.77734375" style="41" customWidth="1"/>
    <col min="5" max="5" width="8.88671875" style="41" customWidth="1"/>
    <col min="6" max="6" width="16.21875" style="41" customWidth="1"/>
    <col min="7" max="7" width="4.77734375" style="41" customWidth="1"/>
    <col min="8" max="8" width="9" style="47" customWidth="1"/>
    <col min="9" max="9" width="2.44140625" style="48" hidden="1" customWidth="1"/>
    <col min="10" max="10" width="4" style="3" hidden="1" customWidth="1"/>
    <col min="11" max="11" width="2" style="41" hidden="1" customWidth="1"/>
    <col min="12" max="12" width="20.5546875" style="41" customWidth="1"/>
    <col min="13" max="13" width="32.109375" style="41" customWidth="1"/>
    <col min="14" max="14" width="39" style="41" customWidth="1"/>
    <col min="15" max="15" width="27" style="63" hidden="1" customWidth="1"/>
    <col min="16" max="16" width="9.109375" style="63" hidden="1" customWidth="1"/>
    <col min="17" max="17" width="20" style="62" hidden="1" customWidth="1"/>
    <col min="18" max="18" width="13" style="62" hidden="1" customWidth="1"/>
    <col min="19" max="19" width="25" style="62" hidden="1" customWidth="1"/>
    <col min="20" max="20" width="9.109375" style="62" hidden="1" customWidth="1"/>
    <col min="21" max="21" width="10.88671875" style="62" hidden="1" customWidth="1"/>
    <col min="22" max="22" width="12.88671875" style="62" hidden="1" customWidth="1"/>
    <col min="23" max="25" width="9.109375" style="62" hidden="1" customWidth="1"/>
    <col min="26" max="26" width="11.44140625" style="116" hidden="1" customWidth="1"/>
    <col min="27" max="27" width="11" style="62" hidden="1" customWidth="1"/>
    <col min="28" max="28" width="14.6640625" style="62" hidden="1" customWidth="1"/>
    <col min="29" max="30" width="9.109375" style="62" hidden="1" customWidth="1"/>
    <col min="31" max="31" width="13.44140625" style="62" hidden="1" customWidth="1"/>
    <col min="32" max="36" width="9.109375" style="62" hidden="1" customWidth="1"/>
    <col min="37" max="37" width="14.6640625" style="62" hidden="1" customWidth="1"/>
    <col min="38" max="39" width="9.109375" style="62" hidden="1" customWidth="1"/>
    <col min="40" max="40" width="12.6640625" style="62" hidden="1" customWidth="1"/>
    <col min="41" max="41" width="9.109375" style="69" hidden="1" customWidth="1"/>
    <col min="42" max="45" width="9.109375" style="62" hidden="1" customWidth="1"/>
    <col min="46" max="46" width="13.44140625" style="62" hidden="1" customWidth="1"/>
    <col min="47" max="47" width="17.109375" style="63" hidden="1" customWidth="1"/>
    <col min="48" max="48" width="11" style="63" hidden="1" customWidth="1"/>
    <col min="49" max="49" width="14.88671875" style="63" hidden="1" customWidth="1"/>
    <col min="50" max="50" width="16.44140625" style="63" hidden="1" customWidth="1"/>
    <col min="51" max="55" width="9.109375" style="41" hidden="1" customWidth="1"/>
    <col min="56" max="69" width="9.109375" style="41" customWidth="1"/>
    <col min="70" max="16384" width="9.109375" style="41"/>
  </cols>
  <sheetData>
    <row r="1" spans="1:50" ht="141" customHeight="1" thickBot="1" x14ac:dyDescent="0.35">
      <c r="A1" s="168"/>
      <c r="B1" s="164"/>
      <c r="C1" s="164"/>
      <c r="D1" s="164"/>
      <c r="E1" s="165"/>
      <c r="F1" s="165"/>
      <c r="G1" s="166"/>
      <c r="H1" s="164"/>
      <c r="I1" s="164"/>
      <c r="J1" s="164"/>
      <c r="K1" s="164"/>
      <c r="L1" s="164"/>
      <c r="M1" s="164"/>
      <c r="N1" s="167"/>
      <c r="O1" s="62"/>
      <c r="Q1" s="64"/>
      <c r="R1" s="65" t="s">
        <v>412</v>
      </c>
      <c r="T1" s="66"/>
      <c r="U1" s="67"/>
      <c r="V1" s="67"/>
      <c r="W1" s="67"/>
      <c r="X1" s="67"/>
      <c r="Y1" s="67"/>
      <c r="AC1" s="68" t="s">
        <v>345</v>
      </c>
      <c r="AD1" s="68"/>
      <c r="AE1" s="68"/>
      <c r="AF1" s="68"/>
      <c r="AG1" s="68"/>
      <c r="AH1" s="68"/>
      <c r="AI1" s="68"/>
      <c r="AJ1" s="68"/>
      <c r="AL1" s="62" t="s">
        <v>351</v>
      </c>
    </row>
    <row r="2" spans="1:50" ht="46.2" customHeight="1" thickBot="1" x14ac:dyDescent="0.4">
      <c r="A2" s="43"/>
      <c r="B2" s="287" t="s">
        <v>482</v>
      </c>
      <c r="C2" s="288"/>
      <c r="D2" s="288"/>
      <c r="E2" s="289" t="s">
        <v>456</v>
      </c>
      <c r="F2" s="290"/>
      <c r="G2" s="170"/>
      <c r="H2" s="170"/>
      <c r="I2" s="170"/>
      <c r="J2" s="171"/>
      <c r="K2" s="172"/>
      <c r="L2" s="287" t="s">
        <v>313</v>
      </c>
      <c r="M2" s="291"/>
      <c r="N2" s="208">
        <f>IF(V23&lt;20,"Не достатня сума авансу",IF(X4=3,0,IF(R16&gt;2500000,"Сума кредиту не може перевищувати 2 500 000 грн",IF(R16&lt;100000,"Сума кредиту не може бути менше 100 000 грн",R16))))</f>
        <v>500000</v>
      </c>
      <c r="R2" s="70">
        <v>12</v>
      </c>
      <c r="S2" s="67"/>
      <c r="T2" s="71"/>
      <c r="U2" s="72" t="s">
        <v>414</v>
      </c>
      <c r="V2" s="71"/>
      <c r="W2" s="73">
        <f>IF(AND(V3=1,W3=1),2,0)</f>
        <v>2</v>
      </c>
      <c r="X2" s="169">
        <f>IF(OR(E4=0,AND(F8=0,F10=0),E12=0),1,0)</f>
        <v>0</v>
      </c>
      <c r="Y2" s="67"/>
      <c r="Z2" s="199" t="s">
        <v>491</v>
      </c>
      <c r="AA2" s="198" t="s">
        <v>506</v>
      </c>
      <c r="AC2" s="292" t="s">
        <v>415</v>
      </c>
      <c r="AD2" s="293"/>
      <c r="AE2" s="293"/>
      <c r="AF2" s="293"/>
      <c r="AG2" s="293"/>
      <c r="AH2" s="293"/>
      <c r="AI2" s="293"/>
      <c r="AJ2" s="294"/>
      <c r="AL2" s="274" t="s">
        <v>415</v>
      </c>
      <c r="AM2" s="275"/>
      <c r="AN2" s="275"/>
      <c r="AO2" s="275"/>
      <c r="AP2" s="275"/>
      <c r="AQ2" s="275"/>
      <c r="AR2" s="275"/>
      <c r="AS2" s="275"/>
      <c r="AT2" s="276"/>
      <c r="AV2" s="75"/>
      <c r="AW2" s="63">
        <f>IF(E12=R8,N8+AW16+AW28+AW40+AW52+AW64+AW76,IF(E12=R7,N8+AW16+AW28+AW40+AW52+AW64,IF(E12=R6,N8+AW16+AW28+AW40+AW52,IF(E12=R5,N8+AW16+AW28+AW40,IF(E12=R4,N8+AW16+AW28,IF(E12=R3,N8+AW16,IF(E12=R2,N8)))))))</f>
        <v>257607.45</v>
      </c>
      <c r="AX2" s="63" t="e">
        <f>IF(E12=R8,#REF!+AX16+AX28+AX40+AX52+AX64+AX76,IF(E12=R7,#REF!+AX16+AX28+AX40+AX52+AX64,IF(E12=R6,#REF!+AX16+AX28+AX40+AX52,IF(E12=R5,#REF!+AX16+AX28+AX40,IF(E12=R4,#REF!+AX16+AX28,IF(E12=R3,#REF!+AX16,IF(E12=R2,#REF!)))))))</f>
        <v>#REF!</v>
      </c>
    </row>
    <row r="3" spans="1:50" ht="7.8" customHeight="1" thickBot="1" x14ac:dyDescent="0.4">
      <c r="A3" s="50"/>
      <c r="B3" s="173"/>
      <c r="C3" s="173"/>
      <c r="D3" s="173"/>
      <c r="E3" s="173"/>
      <c r="F3" s="173"/>
      <c r="G3" s="170"/>
      <c r="H3" s="173"/>
      <c r="I3" s="173"/>
      <c r="J3" s="173"/>
      <c r="K3" s="173"/>
      <c r="L3" s="173"/>
      <c r="M3" s="173"/>
      <c r="N3" s="173"/>
      <c r="R3" s="70">
        <v>24</v>
      </c>
      <c r="S3" s="76"/>
      <c r="T3" s="73" t="b">
        <v>0</v>
      </c>
      <c r="U3" s="77" t="s">
        <v>483</v>
      </c>
      <c r="V3" s="73">
        <f>IF(E2="",0,1)</f>
        <v>1</v>
      </c>
      <c r="W3" s="73">
        <f>IF(E4="",0,1)</f>
        <v>1</v>
      </c>
      <c r="X3" s="73">
        <f>IF(AND(F8=0,F10=0),0,IF(AND(F8&gt;0,F10=""),1,IF(AND(F8=0,F10&gt;0),2,3)))</f>
        <v>1</v>
      </c>
      <c r="Y3" s="67"/>
      <c r="Z3" s="133">
        <f>Z16+Z28+Z40+Z52+Z64+Z76</f>
        <v>202338.891</v>
      </c>
      <c r="AA3" s="196">
        <f>-N2+R36+R37+R38+R39+R40</f>
        <v>-406816.66666666669</v>
      </c>
      <c r="AB3" s="195">
        <f ca="1">V19</f>
        <v>45840</v>
      </c>
      <c r="AC3" s="277" t="s">
        <v>321</v>
      </c>
      <c r="AD3" s="278"/>
      <c r="AE3" s="79" t="s">
        <v>417</v>
      </c>
      <c r="AF3" s="79" t="s">
        <v>418</v>
      </c>
      <c r="AG3" s="279" t="s">
        <v>419</v>
      </c>
      <c r="AH3" s="280"/>
      <c r="AI3" s="279" t="s">
        <v>420</v>
      </c>
      <c r="AJ3" s="280"/>
      <c r="AK3" s="80" t="s">
        <v>416</v>
      </c>
      <c r="AL3" s="277" t="s">
        <v>321</v>
      </c>
      <c r="AM3" s="278"/>
      <c r="AN3" s="79" t="s">
        <v>417</v>
      </c>
      <c r="AO3" s="79" t="s">
        <v>418</v>
      </c>
      <c r="AP3" s="279" t="s">
        <v>419</v>
      </c>
      <c r="AQ3" s="280"/>
      <c r="AR3" s="279" t="s">
        <v>420</v>
      </c>
      <c r="AS3" s="280"/>
      <c r="AT3" s="79" t="s">
        <v>327</v>
      </c>
      <c r="AU3" s="81" t="e">
        <f>-N2+N8+#REF!+N12+N6+#REF!</f>
        <v>#REF!</v>
      </c>
    </row>
    <row r="4" spans="1:50" ht="30" customHeight="1" thickBot="1" x14ac:dyDescent="0.4">
      <c r="A4" s="42"/>
      <c r="B4" s="287" t="s">
        <v>421</v>
      </c>
      <c r="C4" s="288"/>
      <c r="D4" s="291"/>
      <c r="E4" s="297">
        <v>1000000</v>
      </c>
      <c r="F4" s="298"/>
      <c r="G4" s="170"/>
      <c r="H4" s="174"/>
      <c r="I4" s="174"/>
      <c r="K4" s="207"/>
      <c r="L4" s="237" t="s">
        <v>484</v>
      </c>
      <c r="M4" s="251"/>
      <c r="N4" s="176">
        <f>IF(X4=1,F8/E4,IF(X4=2,E4/100*F10,""))</f>
        <v>0.5</v>
      </c>
      <c r="R4" s="70">
        <v>36</v>
      </c>
      <c r="S4" s="76"/>
      <c r="T4" s="71"/>
      <c r="U4" s="82">
        <f>IF(T3="Сума авансового платежу перевищує вартість авто",1,IF(T3="Сума авансового платежу дорівнює вартості авто",1,IF(T3="Сума авансового платежу недостатня",1,0)))</f>
        <v>0</v>
      </c>
      <c r="V4" s="73">
        <f>IF(F8="",0,1)</f>
        <v>1</v>
      </c>
      <c r="W4" s="73">
        <f>IF(F10="",0,1)</f>
        <v>0</v>
      </c>
      <c r="X4" s="73">
        <f>IF(AND(V4=1,W4=0),1,IF(AND(W4=1,V4=0),2,IF(AND(V4=1,W4=1),3,IF(AND(V4=0,W4=0),4))))</f>
        <v>1</v>
      </c>
      <c r="AA4" s="196">
        <f>AI4</f>
        <v>10034.413862285801</v>
      </c>
      <c r="AB4" s="185">
        <f ca="1">IF(AND(DAY(V19)&lt;=15,$V$20&gt;DAY(V19)),DATE(YEAR(V19),MONTH(V19),IF($V$20&lt;&gt;"",DAY(IF($V$20&gt;DAY(EOMONTH(V19,0)),EOMONTH(V19,0),$V$20)),DAY(1))),DATE(YEAR(V19),MONTH(V19)+1,IF($V$20&lt;&gt;"",DAY(IF($V$20&gt;DAY(EOMONTH(V19,1)),EOMONTH(V19,1),$V$20)),DAY(1))))</f>
        <v>45871</v>
      </c>
      <c r="AC4" s="281">
        <v>1</v>
      </c>
      <c r="AD4" s="282"/>
      <c r="AE4" s="83">
        <f>IF($U$2=$X$17,PPMT($E$14/1200,AC4,$E$12,-$N$2))</f>
        <v>4621.9138622858009</v>
      </c>
      <c r="AF4" s="84"/>
      <c r="AG4" s="299">
        <f>IF($AE$4=0,$N$2*($E$14/100)*(AB4-$V$19+1)/360,IPMT($E$14/1200,AC4,$E$12,-$N$2))</f>
        <v>5412.5</v>
      </c>
      <c r="AH4" s="300"/>
      <c r="AI4" s="295">
        <f>AG4+AE4</f>
        <v>10034.413862285801</v>
      </c>
      <c r="AJ4" s="296"/>
      <c r="AK4" s="85">
        <f ca="1">DATE(YEAR($V$19),MONTH($V$19)+1,DAY(1)-1)</f>
        <v>45869</v>
      </c>
      <c r="AL4" s="281">
        <v>1</v>
      </c>
      <c r="AM4" s="282"/>
      <c r="AN4" s="86">
        <f ca="1">IF($V$20&gt;15,0,$N$2/$E$12)</f>
        <v>6944.4444444444443</v>
      </c>
      <c r="AO4" s="87"/>
      <c r="AP4" s="283">
        <f ca="1">IF(AN4=0,$N$2*($E$14/100)*(AK4-$V$19+1)/360,$N$2*$E$14/100*31/360)</f>
        <v>5592.916666666667</v>
      </c>
      <c r="AQ4" s="284"/>
      <c r="AR4" s="285">
        <f ca="1">AP4</f>
        <v>5592.916666666667</v>
      </c>
      <c r="AS4" s="286"/>
      <c r="AT4" s="87"/>
      <c r="AU4" s="75">
        <f>AI4</f>
        <v>10034.413862285801</v>
      </c>
    </row>
    <row r="5" spans="1:50" ht="7.2" customHeight="1" thickBot="1" x14ac:dyDescent="0.4">
      <c r="A5" s="48"/>
      <c r="B5" s="174"/>
      <c r="C5" s="174"/>
      <c r="D5" s="174"/>
      <c r="E5" s="174"/>
      <c r="F5" s="174"/>
      <c r="G5" s="170"/>
      <c r="H5" s="174"/>
      <c r="I5" s="174"/>
      <c r="J5" s="174"/>
      <c r="K5" s="174"/>
      <c r="L5" s="174"/>
      <c r="M5" s="174"/>
      <c r="N5" s="174"/>
      <c r="R5" s="88">
        <v>48</v>
      </c>
      <c r="T5" s="71"/>
      <c r="V5" s="71"/>
      <c r="W5" s="78"/>
      <c r="X5" s="71"/>
      <c r="Y5" s="67"/>
      <c r="AA5" s="196">
        <f t="shared" ref="AA5:AA68" si="0">AI5</f>
        <v>10034.413862285801</v>
      </c>
      <c r="AB5" s="185">
        <f ca="1">IF(AC5&gt;$V$26,"-",IF($V$26=AC5,$V$25,DATE(YEAR(AB4),MONTH(AB4)+1,IF($V$20&lt;&gt;"",DAY(IF($V$20&gt;DAY(EOMONTH(AB4,1)),EOMONTH(AB4,1),$V$20)),DAY(1)))))</f>
        <v>45902</v>
      </c>
      <c r="AC5" s="264">
        <v>2</v>
      </c>
      <c r="AD5" s="265"/>
      <c r="AE5" s="83">
        <f>IF(AC5&gt;$V$26,"-",IF($AE$4=0,PPMT($E$14/1200,AC4,$E$12,-$N$2),PPMT($E$14/1200,AC5,$E$12,-$N$2)))</f>
        <v>4671.9460798450446</v>
      </c>
      <c r="AF5" s="84"/>
      <c r="AG5" s="270">
        <f>IF(AC5&gt;$V$26,"-",IF($AE$4=0,IPMT($E$14/1200,AC4,$E$12,-$N$2),IPMT($E$14/1200,AC5,$E$12,-$N$2)))</f>
        <v>5362.4677824407572</v>
      </c>
      <c r="AH5" s="271"/>
      <c r="AI5" s="272">
        <f>IF(AC5&gt;$V$26,"-",AG5+AE5)</f>
        <v>10034.413862285801</v>
      </c>
      <c r="AJ5" s="273"/>
      <c r="AK5" s="85">
        <f t="shared" ref="AK5:AK68" ca="1" si="1">IF(AL5="","",DATE(YEAR(AK4),MONTH(AK4)+2,DAY(1)-1))</f>
        <v>45900</v>
      </c>
      <c r="AL5" s="264">
        <v>2</v>
      </c>
      <c r="AM5" s="265"/>
      <c r="AN5" s="86">
        <f t="shared" ref="AN5:AN68" si="2">$N$2/$E$12</f>
        <v>6944.4444444444443</v>
      </c>
      <c r="AO5" s="87"/>
      <c r="AP5" s="266">
        <f t="shared" ref="AP5:AP68" ca="1" si="3">AT5*$E$14/100*(AK5-AK4)/360</f>
        <v>5515.2372685185192</v>
      </c>
      <c r="AQ5" s="267"/>
      <c r="AR5" s="268">
        <f t="shared" ref="AR5:AR68" ca="1" si="4">AN5+AP5</f>
        <v>12459.681712962964</v>
      </c>
      <c r="AS5" s="269"/>
      <c r="AT5" s="87">
        <f ca="1">$N$2-AN4</f>
        <v>493055.55555555556</v>
      </c>
      <c r="AU5" s="75">
        <f t="shared" ref="AU5:AU68" si="5">AI5</f>
        <v>10034.413862285801</v>
      </c>
    </row>
    <row r="6" spans="1:50" ht="22.8" customHeight="1" thickBot="1" x14ac:dyDescent="0.4">
      <c r="A6" s="48"/>
      <c r="B6" s="287" t="s">
        <v>498</v>
      </c>
      <c r="C6" s="288"/>
      <c r="D6" s="291"/>
      <c r="E6" s="301" t="s">
        <v>398</v>
      </c>
      <c r="F6" s="302"/>
      <c r="G6" s="170"/>
      <c r="H6" s="174"/>
      <c r="I6" s="170"/>
      <c r="J6" s="171"/>
      <c r="K6" s="172"/>
      <c r="L6" s="237" t="s">
        <v>404</v>
      </c>
      <c r="M6" s="251"/>
      <c r="N6" s="176">
        <f>R37</f>
        <v>4950</v>
      </c>
      <c r="R6" s="89">
        <v>60</v>
      </c>
      <c r="T6" s="71"/>
      <c r="W6" s="78"/>
      <c r="X6" s="71"/>
      <c r="Y6" s="67"/>
      <c r="AA6" s="196">
        <f t="shared" si="0"/>
        <v>10034.413862285803</v>
      </c>
      <c r="AB6" s="185">
        <f t="shared" ref="AB6:AB69" ca="1" si="6">IF(AC6&gt;$V$26,"-",IF($V$26=AC6,$V$25,DATE(YEAR(AB5),MONTH(AB5)+1,IF($V$20&lt;&gt;"",DAY(IF($V$20&gt;DAY(EOMONTH(AB5,1)),EOMONTH(AB5,1),$V$20)),DAY(1)))))</f>
        <v>45932</v>
      </c>
      <c r="AC6" s="264">
        <v>3</v>
      </c>
      <c r="AD6" s="265"/>
      <c r="AE6" s="83">
        <f t="shared" ref="AE6:AE69" si="7">IF(AC6&gt;$V$26,"-",IF($AE$4=0,PPMT($E$14/1200,AC5,$E$12,-$N$2),PPMT($E$14/1200,AC6,$E$12,-$N$2)))</f>
        <v>4722.5198961593669</v>
      </c>
      <c r="AF6" s="84"/>
      <c r="AG6" s="270">
        <f t="shared" ref="AG6:AG69" si="8">IF(AC6&gt;$V$26,"-",IF($AE$4=0,IPMT($E$14/1200,AC5,$E$12,-$N$2),IPMT($E$14/1200,AC6,$E$12,-$N$2)))</f>
        <v>5311.8939661264358</v>
      </c>
      <c r="AH6" s="271"/>
      <c r="AI6" s="272">
        <f t="shared" ref="AI6:AI69" si="9">IF(AC6&gt;$V$26,"-",AG6+AE6)</f>
        <v>10034.413862285803</v>
      </c>
      <c r="AJ6" s="273"/>
      <c r="AK6" s="85">
        <f t="shared" ca="1" si="1"/>
        <v>45930</v>
      </c>
      <c r="AL6" s="264">
        <v>3</v>
      </c>
      <c r="AM6" s="265"/>
      <c r="AN6" s="86">
        <f t="shared" si="2"/>
        <v>6944.4444444444443</v>
      </c>
      <c r="AO6" s="87"/>
      <c r="AP6" s="266">
        <f t="shared" ca="1" si="3"/>
        <v>5262.1527777777783</v>
      </c>
      <c r="AQ6" s="267"/>
      <c r="AR6" s="268">
        <f t="shared" ca="1" si="4"/>
        <v>12206.597222222223</v>
      </c>
      <c r="AS6" s="269"/>
      <c r="AT6" s="87">
        <f t="shared" ref="AT6:AT69" ca="1" si="10">AT5-AN5</f>
        <v>486111.11111111112</v>
      </c>
      <c r="AU6" s="75">
        <f t="shared" si="5"/>
        <v>10034.413862285803</v>
      </c>
    </row>
    <row r="7" spans="1:50" ht="7.2" customHeight="1" thickBot="1" x14ac:dyDescent="0.4">
      <c r="A7" s="48"/>
      <c r="B7" s="174"/>
      <c r="C7" s="174"/>
      <c r="D7" s="174"/>
      <c r="E7" s="174"/>
      <c r="F7" s="174"/>
      <c r="G7" s="170"/>
      <c r="H7" s="170"/>
      <c r="I7" s="170"/>
      <c r="J7" s="170"/>
      <c r="K7" s="170"/>
      <c r="L7" s="170"/>
      <c r="M7" s="170"/>
      <c r="N7" s="170"/>
      <c r="R7" s="70">
        <v>72</v>
      </c>
      <c r="T7" s="90"/>
      <c r="U7" s="90"/>
      <c r="V7" s="90"/>
      <c r="X7" s="71"/>
      <c r="Y7" s="67"/>
      <c r="AA7" s="196">
        <f t="shared" si="0"/>
        <v>10034.413862285801</v>
      </c>
      <c r="AB7" s="185">
        <f t="shared" ca="1" si="6"/>
        <v>45963</v>
      </c>
      <c r="AC7" s="264">
        <v>4</v>
      </c>
      <c r="AD7" s="265"/>
      <c r="AE7" s="83">
        <f t="shared" si="7"/>
        <v>4773.6411740352924</v>
      </c>
      <c r="AF7" s="84"/>
      <c r="AG7" s="270">
        <f t="shared" si="8"/>
        <v>5260.7726882505085</v>
      </c>
      <c r="AH7" s="271"/>
      <c r="AI7" s="272">
        <f t="shared" si="9"/>
        <v>10034.413862285801</v>
      </c>
      <c r="AJ7" s="273"/>
      <c r="AK7" s="85">
        <f t="shared" ca="1" si="1"/>
        <v>45961</v>
      </c>
      <c r="AL7" s="264">
        <v>4</v>
      </c>
      <c r="AM7" s="265"/>
      <c r="AN7" s="86">
        <f t="shared" si="2"/>
        <v>6944.4444444444443</v>
      </c>
      <c r="AO7" s="87"/>
      <c r="AP7" s="266">
        <f t="shared" ca="1" si="3"/>
        <v>5359.8784722222226</v>
      </c>
      <c r="AQ7" s="267"/>
      <c r="AR7" s="268">
        <f t="shared" ca="1" si="4"/>
        <v>12304.322916666668</v>
      </c>
      <c r="AS7" s="269"/>
      <c r="AT7" s="87">
        <f t="shared" ca="1" si="10"/>
        <v>479166.66666666669</v>
      </c>
      <c r="AU7" s="75">
        <f t="shared" si="5"/>
        <v>10034.413862285801</v>
      </c>
    </row>
    <row r="8" spans="1:50" ht="25.2" customHeight="1" thickBot="1" x14ac:dyDescent="0.4">
      <c r="A8" s="48"/>
      <c r="B8" s="211" t="s">
        <v>485</v>
      </c>
      <c r="C8" s="212"/>
      <c r="D8" s="213"/>
      <c r="E8" s="175" t="s">
        <v>493</v>
      </c>
      <c r="F8" s="177">
        <v>500000</v>
      </c>
      <c r="G8" s="170"/>
      <c r="H8" s="170"/>
      <c r="I8" s="170"/>
      <c r="J8" s="171"/>
      <c r="K8" s="172"/>
      <c r="L8" s="237" t="s">
        <v>494</v>
      </c>
      <c r="M8" s="251"/>
      <c r="N8" s="176">
        <f>R38</f>
        <v>54900</v>
      </c>
      <c r="R8" s="91">
        <v>84</v>
      </c>
      <c r="AA8" s="196">
        <f t="shared" si="0"/>
        <v>10034.413862285801</v>
      </c>
      <c r="AB8" s="185">
        <f t="shared" ca="1" si="6"/>
        <v>45993</v>
      </c>
      <c r="AC8" s="264">
        <v>5</v>
      </c>
      <c r="AD8" s="265"/>
      <c r="AE8" s="83">
        <f t="shared" si="7"/>
        <v>4825.3158397442248</v>
      </c>
      <c r="AF8" s="84"/>
      <c r="AG8" s="270">
        <f t="shared" si="8"/>
        <v>5209.0980225415769</v>
      </c>
      <c r="AH8" s="271"/>
      <c r="AI8" s="272">
        <f t="shared" si="9"/>
        <v>10034.413862285801</v>
      </c>
      <c r="AJ8" s="273"/>
      <c r="AK8" s="85">
        <f t="shared" ca="1" si="1"/>
        <v>45991</v>
      </c>
      <c r="AL8" s="264">
        <v>5</v>
      </c>
      <c r="AM8" s="265"/>
      <c r="AN8" s="86">
        <f t="shared" si="2"/>
        <v>6944.4444444444443</v>
      </c>
      <c r="AO8" s="87"/>
      <c r="AP8" s="266">
        <f t="shared" ca="1" si="3"/>
        <v>5111.8055555555566</v>
      </c>
      <c r="AQ8" s="267"/>
      <c r="AR8" s="268">
        <f t="shared" ca="1" si="4"/>
        <v>12056.25</v>
      </c>
      <c r="AS8" s="269"/>
      <c r="AT8" s="87">
        <f t="shared" ca="1" si="10"/>
        <v>472222.22222222225</v>
      </c>
      <c r="AU8" s="75">
        <f t="shared" si="5"/>
        <v>10034.413862285801</v>
      </c>
    </row>
    <row r="9" spans="1:50" ht="14.4" customHeight="1" thickBot="1" x14ac:dyDescent="0.4">
      <c r="A9" s="48"/>
      <c r="B9" s="214"/>
      <c r="C9" s="215"/>
      <c r="D9" s="216"/>
      <c r="E9" s="209" t="s">
        <v>486</v>
      </c>
      <c r="F9" s="210"/>
      <c r="G9" s="174"/>
      <c r="H9" s="174"/>
      <c r="I9" s="174"/>
      <c r="J9" s="174"/>
      <c r="K9" s="174"/>
      <c r="L9" s="173"/>
      <c r="M9" s="173"/>
      <c r="N9" s="174"/>
      <c r="O9" s="62"/>
      <c r="AA9" s="196">
        <f t="shared" si="0"/>
        <v>10034.413862285801</v>
      </c>
      <c r="AB9" s="185">
        <f t="shared" ca="1" si="6"/>
        <v>46024</v>
      </c>
      <c r="AC9" s="264">
        <v>6</v>
      </c>
      <c r="AD9" s="265"/>
      <c r="AE9" s="83">
        <f t="shared" si="7"/>
        <v>4877.5498837094556</v>
      </c>
      <c r="AF9" s="84"/>
      <c r="AG9" s="270">
        <f t="shared" si="8"/>
        <v>5156.8639785763462</v>
      </c>
      <c r="AH9" s="271"/>
      <c r="AI9" s="272">
        <f t="shared" si="9"/>
        <v>10034.413862285801</v>
      </c>
      <c r="AJ9" s="273"/>
      <c r="AK9" s="85">
        <f t="shared" ca="1" si="1"/>
        <v>46022</v>
      </c>
      <c r="AL9" s="264">
        <v>6</v>
      </c>
      <c r="AM9" s="265"/>
      <c r="AN9" s="86">
        <f t="shared" si="2"/>
        <v>6944.4444444444443</v>
      </c>
      <c r="AO9" s="87"/>
      <c r="AP9" s="266">
        <f t="shared" ca="1" si="3"/>
        <v>5204.519675925927</v>
      </c>
      <c r="AQ9" s="267"/>
      <c r="AR9" s="268">
        <f t="shared" ca="1" si="4"/>
        <v>12148.964120370372</v>
      </c>
      <c r="AS9" s="269"/>
      <c r="AT9" s="87">
        <f t="shared" ca="1" si="10"/>
        <v>465277.77777777781</v>
      </c>
      <c r="AU9" s="75">
        <f t="shared" si="5"/>
        <v>10034.413862285801</v>
      </c>
    </row>
    <row r="10" spans="1:50" ht="22.2" customHeight="1" thickBot="1" x14ac:dyDescent="0.4">
      <c r="A10" s="48"/>
      <c r="B10" s="217"/>
      <c r="C10" s="218"/>
      <c r="D10" s="219"/>
      <c r="E10" s="175" t="s">
        <v>330</v>
      </c>
      <c r="F10" s="177"/>
      <c r="G10" s="170"/>
      <c r="H10" s="174"/>
      <c r="I10" s="174"/>
      <c r="J10" s="174"/>
      <c r="K10" s="174"/>
      <c r="L10" s="221" t="s">
        <v>495</v>
      </c>
      <c r="M10" s="222"/>
      <c r="N10" s="225">
        <f>Z3</f>
        <v>202338.891</v>
      </c>
      <c r="O10" s="62"/>
      <c r="AA10" s="196">
        <f t="shared" si="0"/>
        <v>10034.413862285801</v>
      </c>
      <c r="AB10" s="185">
        <f t="shared" ca="1" si="6"/>
        <v>46055</v>
      </c>
      <c r="AC10" s="264">
        <v>7</v>
      </c>
      <c r="AD10" s="265"/>
      <c r="AE10" s="83">
        <f t="shared" si="7"/>
        <v>4930.3493612006105</v>
      </c>
      <c r="AF10" s="84"/>
      <c r="AG10" s="270">
        <f t="shared" si="8"/>
        <v>5104.0645010851913</v>
      </c>
      <c r="AH10" s="271"/>
      <c r="AI10" s="272">
        <f t="shared" si="9"/>
        <v>10034.413862285801</v>
      </c>
      <c r="AJ10" s="273"/>
      <c r="AK10" s="85">
        <f t="shared" ca="1" si="1"/>
        <v>46053</v>
      </c>
      <c r="AL10" s="264">
        <v>7</v>
      </c>
      <c r="AM10" s="265"/>
      <c r="AN10" s="86">
        <f t="shared" si="2"/>
        <v>6944.4444444444443</v>
      </c>
      <c r="AO10" s="87"/>
      <c r="AP10" s="266">
        <f t="shared" ca="1" si="3"/>
        <v>5126.8402777777783</v>
      </c>
      <c r="AQ10" s="267"/>
      <c r="AR10" s="268">
        <f t="shared" ca="1" si="4"/>
        <v>12071.284722222223</v>
      </c>
      <c r="AS10" s="269"/>
      <c r="AT10" s="87">
        <f t="shared" ca="1" si="10"/>
        <v>458333.33333333337</v>
      </c>
      <c r="AU10" s="75">
        <f t="shared" si="5"/>
        <v>10034.413862285801</v>
      </c>
    </row>
    <row r="11" spans="1:50" ht="9" customHeight="1" thickBot="1" x14ac:dyDescent="0.4">
      <c r="A11" s="48"/>
      <c r="B11" s="173"/>
      <c r="C11" s="173"/>
      <c r="D11" s="173"/>
      <c r="E11" s="170"/>
      <c r="F11" s="170"/>
      <c r="G11" s="170"/>
      <c r="H11" s="174"/>
      <c r="I11" s="174"/>
      <c r="J11" s="174"/>
      <c r="K11" s="174"/>
      <c r="L11" s="223"/>
      <c r="M11" s="224"/>
      <c r="N11" s="226"/>
      <c r="O11" s="62"/>
      <c r="R11" s="92" t="s">
        <v>428</v>
      </c>
      <c r="S11" s="93"/>
      <c r="AA11" s="196">
        <f t="shared" si="0"/>
        <v>10034.413862285803</v>
      </c>
      <c r="AB11" s="185">
        <f t="shared" ca="1" si="6"/>
        <v>46083</v>
      </c>
      <c r="AC11" s="264">
        <v>8</v>
      </c>
      <c r="AD11" s="265"/>
      <c r="AE11" s="83">
        <f t="shared" si="7"/>
        <v>4983.7203930356081</v>
      </c>
      <c r="AF11" s="84"/>
      <c r="AG11" s="270">
        <f t="shared" si="8"/>
        <v>5050.6934692501945</v>
      </c>
      <c r="AH11" s="271"/>
      <c r="AI11" s="272">
        <f t="shared" si="9"/>
        <v>10034.413862285803</v>
      </c>
      <c r="AJ11" s="273"/>
      <c r="AK11" s="85">
        <f t="shared" ca="1" si="1"/>
        <v>46081</v>
      </c>
      <c r="AL11" s="264">
        <v>8</v>
      </c>
      <c r="AM11" s="265"/>
      <c r="AN11" s="86">
        <f t="shared" si="2"/>
        <v>6944.4444444444443</v>
      </c>
      <c r="AO11" s="87"/>
      <c r="AP11" s="266">
        <f t="shared" ca="1" si="3"/>
        <v>4560.5324074074078</v>
      </c>
      <c r="AQ11" s="267"/>
      <c r="AR11" s="268">
        <f t="shared" ca="1" si="4"/>
        <v>11504.976851851852</v>
      </c>
      <c r="AS11" s="269"/>
      <c r="AT11" s="87">
        <f t="shared" ca="1" si="10"/>
        <v>451388.88888888893</v>
      </c>
      <c r="AU11" s="75">
        <f t="shared" si="5"/>
        <v>10034.413862285803</v>
      </c>
    </row>
    <row r="12" spans="1:50" ht="18" thickBot="1" x14ac:dyDescent="0.4">
      <c r="A12" s="48"/>
      <c r="B12" s="237" t="s">
        <v>425</v>
      </c>
      <c r="C12" s="238"/>
      <c r="D12" s="238"/>
      <c r="E12" s="261">
        <v>72</v>
      </c>
      <c r="F12" s="262"/>
      <c r="G12" s="173"/>
      <c r="H12" s="173"/>
      <c r="I12" s="173"/>
      <c r="J12" s="173"/>
      <c r="K12" s="173"/>
      <c r="L12" s="173"/>
      <c r="M12" s="173"/>
      <c r="N12" s="173"/>
      <c r="O12" s="62"/>
      <c r="Q12" s="94"/>
      <c r="R12" s="95">
        <v>0</v>
      </c>
      <c r="S12" s="94"/>
      <c r="T12" s="94"/>
      <c r="U12" s="94"/>
      <c r="AA12" s="196">
        <f t="shared" si="0"/>
        <v>10034.413862285801</v>
      </c>
      <c r="AB12" s="185">
        <f t="shared" ca="1" si="6"/>
        <v>46114</v>
      </c>
      <c r="AC12" s="264">
        <v>9</v>
      </c>
      <c r="AD12" s="265"/>
      <c r="AE12" s="83">
        <f t="shared" si="7"/>
        <v>5037.6691662902176</v>
      </c>
      <c r="AF12" s="84"/>
      <c r="AG12" s="270">
        <f t="shared" si="8"/>
        <v>4996.7446959955842</v>
      </c>
      <c r="AH12" s="271"/>
      <c r="AI12" s="272">
        <f t="shared" si="9"/>
        <v>10034.413862285801</v>
      </c>
      <c r="AJ12" s="273"/>
      <c r="AK12" s="85">
        <f t="shared" ca="1" si="1"/>
        <v>46112</v>
      </c>
      <c r="AL12" s="264">
        <v>9</v>
      </c>
      <c r="AM12" s="265"/>
      <c r="AN12" s="86">
        <f t="shared" si="2"/>
        <v>6944.4444444444443</v>
      </c>
      <c r="AO12" s="87"/>
      <c r="AP12" s="266">
        <f t="shared" ca="1" si="3"/>
        <v>4971.4814814814827</v>
      </c>
      <c r="AQ12" s="267"/>
      <c r="AR12" s="268">
        <f t="shared" ca="1" si="4"/>
        <v>11915.925925925927</v>
      </c>
      <c r="AS12" s="269"/>
      <c r="AT12" s="87">
        <f t="shared" ca="1" si="10"/>
        <v>444444.4444444445</v>
      </c>
      <c r="AU12" s="75">
        <f t="shared" si="5"/>
        <v>10034.413862285801</v>
      </c>
    </row>
    <row r="13" spans="1:50" ht="10.8" customHeight="1" thickBot="1" x14ac:dyDescent="0.4">
      <c r="A13" s="48"/>
      <c r="B13" s="173"/>
      <c r="C13" s="173"/>
      <c r="D13" s="173"/>
      <c r="E13" s="170"/>
      <c r="F13" s="170"/>
      <c r="G13" s="170"/>
      <c r="H13" s="170"/>
      <c r="I13" s="170"/>
      <c r="J13" s="170"/>
      <c r="K13" s="170"/>
      <c r="L13" s="229" t="s">
        <v>496</v>
      </c>
      <c r="M13" s="230"/>
      <c r="N13" s="225">
        <f>AG88</f>
        <v>222477.79808457763</v>
      </c>
      <c r="O13" s="148">
        <f>N18-N21</f>
        <v>500000.00000000012</v>
      </c>
      <c r="Q13" s="96"/>
      <c r="R13" s="97">
        <f>IF(R12=0,0%,5.99%)</f>
        <v>0</v>
      </c>
      <c r="S13" s="96"/>
      <c r="T13" s="96"/>
      <c r="U13" s="96"/>
      <c r="AA13" s="196">
        <f t="shared" si="0"/>
        <v>10034.413862285801</v>
      </c>
      <c r="AB13" s="185">
        <f t="shared" ca="1" si="6"/>
        <v>46144</v>
      </c>
      <c r="AC13" s="264">
        <v>10</v>
      </c>
      <c r="AD13" s="265"/>
      <c r="AE13" s="83">
        <f t="shared" si="7"/>
        <v>5092.2019350153087</v>
      </c>
      <c r="AF13" s="84"/>
      <c r="AG13" s="270">
        <f t="shared" si="8"/>
        <v>4942.2119272704922</v>
      </c>
      <c r="AH13" s="271"/>
      <c r="AI13" s="272">
        <f t="shared" si="9"/>
        <v>10034.413862285801</v>
      </c>
      <c r="AJ13" s="273"/>
      <c r="AK13" s="85">
        <f t="shared" ca="1" si="1"/>
        <v>46142</v>
      </c>
      <c r="AL13" s="264">
        <v>10</v>
      </c>
      <c r="AM13" s="265"/>
      <c r="AN13" s="86">
        <f t="shared" si="2"/>
        <v>6944.4444444444443</v>
      </c>
      <c r="AO13" s="87"/>
      <c r="AP13" s="266">
        <f t="shared" ca="1" si="3"/>
        <v>4735.9375000000009</v>
      </c>
      <c r="AQ13" s="267"/>
      <c r="AR13" s="268">
        <f t="shared" ca="1" si="4"/>
        <v>11680.381944444445</v>
      </c>
      <c r="AS13" s="269"/>
      <c r="AT13" s="87">
        <f t="shared" ca="1" si="10"/>
        <v>437500.00000000006</v>
      </c>
      <c r="AU13" s="75">
        <f t="shared" si="5"/>
        <v>10034.413862285801</v>
      </c>
    </row>
    <row r="14" spans="1:50" ht="19.5" customHeight="1" thickBot="1" x14ac:dyDescent="0.4">
      <c r="A14" s="48"/>
      <c r="B14" s="237" t="s">
        <v>423</v>
      </c>
      <c r="C14" s="238"/>
      <c r="D14" s="251"/>
      <c r="E14" s="252">
        <f>IF(R33=0,"",R33)</f>
        <v>12.99</v>
      </c>
      <c r="F14" s="253"/>
      <c r="G14" s="170"/>
      <c r="H14" s="170"/>
      <c r="I14" s="170"/>
      <c r="J14" s="170"/>
      <c r="K14" s="170"/>
      <c r="L14" s="231"/>
      <c r="M14" s="232"/>
      <c r="N14" s="226"/>
      <c r="O14" s="98"/>
      <c r="R14" s="62" t="s">
        <v>313</v>
      </c>
      <c r="X14" s="99" t="s">
        <v>432</v>
      </c>
      <c r="AA14" s="196">
        <f t="shared" si="0"/>
        <v>10034.413862285801</v>
      </c>
      <c r="AB14" s="185">
        <f t="shared" ca="1" si="6"/>
        <v>46175</v>
      </c>
      <c r="AC14" s="264">
        <v>11</v>
      </c>
      <c r="AD14" s="265"/>
      <c r="AE14" s="83">
        <f t="shared" si="7"/>
        <v>5147.32502096185</v>
      </c>
      <c r="AF14" s="84"/>
      <c r="AG14" s="270">
        <f t="shared" si="8"/>
        <v>4887.0888413239509</v>
      </c>
      <c r="AH14" s="271"/>
      <c r="AI14" s="272">
        <f t="shared" si="9"/>
        <v>10034.413862285801</v>
      </c>
      <c r="AJ14" s="273"/>
      <c r="AK14" s="85">
        <f t="shared" ca="1" si="1"/>
        <v>46173</v>
      </c>
      <c r="AL14" s="264">
        <v>11</v>
      </c>
      <c r="AM14" s="265"/>
      <c r="AN14" s="86">
        <f t="shared" si="2"/>
        <v>6944.4444444444443</v>
      </c>
      <c r="AO14" s="87"/>
      <c r="AP14" s="266">
        <f t="shared" ca="1" si="3"/>
        <v>4816.1226851851861</v>
      </c>
      <c r="AQ14" s="267"/>
      <c r="AR14" s="268">
        <f t="shared" ca="1" si="4"/>
        <v>11760.567129629631</v>
      </c>
      <c r="AS14" s="269"/>
      <c r="AT14" s="87">
        <f t="shared" ca="1" si="10"/>
        <v>430555.55555555562</v>
      </c>
      <c r="AU14" s="75">
        <f t="shared" si="5"/>
        <v>10034.413862285801</v>
      </c>
    </row>
    <row r="15" spans="1:50" ht="6.75" customHeight="1" thickBot="1" x14ac:dyDescent="0.4">
      <c r="A15" s="48"/>
      <c r="B15" s="173"/>
      <c r="C15" s="173"/>
      <c r="D15" s="173"/>
      <c r="E15" s="170"/>
      <c r="F15" s="170"/>
      <c r="G15" s="170"/>
      <c r="H15" s="170"/>
      <c r="I15" s="170"/>
      <c r="J15" s="171"/>
      <c r="K15" s="172"/>
      <c r="L15" s="173"/>
      <c r="M15" s="173"/>
      <c r="O15" s="62"/>
      <c r="Q15" s="62" t="s">
        <v>435</v>
      </c>
      <c r="R15" s="100">
        <f>$E$4-IF($X$4=1,$F$8,IF($X$4=2,$E$4/100*$F$10,0))+$N$8</f>
        <v>554900</v>
      </c>
      <c r="X15" s="101" t="s">
        <v>398</v>
      </c>
      <c r="AA15" s="196">
        <f>IFERROR(AI15+Z16,"-")</f>
        <v>59444.413862285808</v>
      </c>
      <c r="AB15" s="185">
        <f t="shared" ca="1" si="6"/>
        <v>46205</v>
      </c>
      <c r="AC15" s="264">
        <v>12</v>
      </c>
      <c r="AD15" s="265"/>
      <c r="AE15" s="83">
        <f t="shared" si="7"/>
        <v>5203.0448143137619</v>
      </c>
      <c r="AF15" s="84"/>
      <c r="AG15" s="270">
        <f t="shared" si="8"/>
        <v>4831.3690479720399</v>
      </c>
      <c r="AH15" s="271"/>
      <c r="AI15" s="272">
        <f t="shared" si="9"/>
        <v>10034.413862285801</v>
      </c>
      <c r="AJ15" s="273"/>
      <c r="AK15" s="85">
        <f t="shared" ca="1" si="1"/>
        <v>46203</v>
      </c>
      <c r="AL15" s="264">
        <v>12</v>
      </c>
      <c r="AM15" s="265"/>
      <c r="AN15" s="86">
        <f t="shared" si="2"/>
        <v>6944.4444444444443</v>
      </c>
      <c r="AO15" s="87"/>
      <c r="AP15" s="266">
        <f t="shared" ca="1" si="3"/>
        <v>4585.5902777777783</v>
      </c>
      <c r="AQ15" s="267"/>
      <c r="AR15" s="268">
        <f t="shared" ca="1" si="4"/>
        <v>11530.034722222223</v>
      </c>
      <c r="AS15" s="269"/>
      <c r="AT15" s="87">
        <f t="shared" ca="1" si="10"/>
        <v>423611.11111111118</v>
      </c>
      <c r="AU15" s="75">
        <f t="shared" si="5"/>
        <v>10034.413862285801</v>
      </c>
    </row>
    <row r="16" spans="1:50" ht="36" customHeight="1" thickBot="1" x14ac:dyDescent="0.4">
      <c r="A16" s="42"/>
      <c r="B16" s="241" t="s">
        <v>487</v>
      </c>
      <c r="C16" s="242"/>
      <c r="D16" s="243"/>
      <c r="E16" s="247">
        <f>R35</f>
        <v>10034.413862285804</v>
      </c>
      <c r="F16" s="248"/>
      <c r="G16" s="170"/>
      <c r="H16" s="170"/>
      <c r="I16" s="170"/>
      <c r="J16" s="170"/>
      <c r="K16" s="170"/>
      <c r="L16" s="237" t="s">
        <v>497</v>
      </c>
      <c r="M16" s="238"/>
      <c r="N16" s="176">
        <f>R39</f>
        <v>33333.333333333336</v>
      </c>
      <c r="Q16" s="62" t="s">
        <v>436</v>
      </c>
      <c r="R16" s="102">
        <f>$E$4-IF($X$4=1,$F$8,IF($X$4=2,$E$4/100*$F$10,0))</f>
        <v>500000</v>
      </c>
      <c r="Z16" s="116">
        <f>IF($V$26&gt;AC16,$E$4*0.9*5.49%,0)</f>
        <v>49410.000000000007</v>
      </c>
      <c r="AA16" s="196">
        <f t="shared" si="0"/>
        <v>10034.413862285804</v>
      </c>
      <c r="AB16" s="185">
        <f t="shared" ca="1" si="6"/>
        <v>46236</v>
      </c>
      <c r="AC16" s="264">
        <v>13</v>
      </c>
      <c r="AD16" s="265"/>
      <c r="AE16" s="83">
        <f t="shared" si="7"/>
        <v>5259.3677744287097</v>
      </c>
      <c r="AF16" s="84"/>
      <c r="AG16" s="270">
        <f t="shared" si="8"/>
        <v>4775.0460878570939</v>
      </c>
      <c r="AH16" s="271"/>
      <c r="AI16" s="272">
        <f t="shared" si="9"/>
        <v>10034.413862285804</v>
      </c>
      <c r="AJ16" s="273"/>
      <c r="AK16" s="85">
        <f t="shared" ca="1" si="1"/>
        <v>46234</v>
      </c>
      <c r="AL16" s="264">
        <v>13</v>
      </c>
      <c r="AM16" s="265"/>
      <c r="AN16" s="86">
        <f t="shared" si="2"/>
        <v>6944.4444444444443</v>
      </c>
      <c r="AO16" s="87"/>
      <c r="AP16" s="266">
        <f t="shared" ca="1" si="3"/>
        <v>4660.7638888888896</v>
      </c>
      <c r="AQ16" s="267"/>
      <c r="AR16" s="268">
        <f t="shared" ca="1" si="4"/>
        <v>11605.208333333334</v>
      </c>
      <c r="AS16" s="269"/>
      <c r="AT16" s="87">
        <f t="shared" ca="1" si="10"/>
        <v>416666.66666666674</v>
      </c>
      <c r="AU16" s="75" t="e">
        <f>AI16+AW16+AX16</f>
        <v>#REF!</v>
      </c>
      <c r="AW16" s="63">
        <f>IF($E$12&gt;$R$2,$E$4*0.9*5.5%,"")</f>
        <v>49500</v>
      </c>
      <c r="AX16" s="103" t="e">
        <f>IF(#REF!=0,0,IF($E$12&gt;$R$2,(AE90-SUM(AE4:AE15))*0.0299,""))</f>
        <v>#REF!</v>
      </c>
    </row>
    <row r="17" spans="1:50" ht="6" customHeight="1" thickBot="1" x14ac:dyDescent="0.4">
      <c r="A17" s="42"/>
      <c r="B17" s="244"/>
      <c r="C17" s="245"/>
      <c r="D17" s="246"/>
      <c r="E17" s="249"/>
      <c r="F17" s="250"/>
      <c r="G17" s="170"/>
      <c r="H17" s="170"/>
      <c r="I17" s="170"/>
      <c r="J17" s="170"/>
      <c r="K17" s="170"/>
      <c r="L17" s="170"/>
      <c r="M17" s="170"/>
      <c r="N17" s="170"/>
      <c r="O17" s="62"/>
      <c r="X17" s="104" t="s">
        <v>414</v>
      </c>
      <c r="AA17" s="196">
        <f t="shared" si="0"/>
        <v>10034.413862285803</v>
      </c>
      <c r="AB17" s="185">
        <f t="shared" ca="1" si="6"/>
        <v>46267</v>
      </c>
      <c r="AC17" s="264">
        <v>14</v>
      </c>
      <c r="AD17" s="265"/>
      <c r="AE17" s="83">
        <f t="shared" si="7"/>
        <v>5316.3004305868999</v>
      </c>
      <c r="AF17" s="84"/>
      <c r="AG17" s="270">
        <f t="shared" si="8"/>
        <v>4718.1134316989028</v>
      </c>
      <c r="AH17" s="271"/>
      <c r="AI17" s="272">
        <f t="shared" si="9"/>
        <v>10034.413862285803</v>
      </c>
      <c r="AJ17" s="273"/>
      <c r="AK17" s="85">
        <f t="shared" ca="1" si="1"/>
        <v>46265</v>
      </c>
      <c r="AL17" s="264">
        <v>14</v>
      </c>
      <c r="AM17" s="265"/>
      <c r="AN17" s="86">
        <f t="shared" si="2"/>
        <v>6944.4444444444443</v>
      </c>
      <c r="AO17" s="87"/>
      <c r="AP17" s="266">
        <f t="shared" ca="1" si="3"/>
        <v>4583.0844907407418</v>
      </c>
      <c r="AQ17" s="267"/>
      <c r="AR17" s="268">
        <f t="shared" ca="1" si="4"/>
        <v>11527.528935185186</v>
      </c>
      <c r="AS17" s="269"/>
      <c r="AT17" s="87">
        <f t="shared" ca="1" si="10"/>
        <v>409722.22222222231</v>
      </c>
      <c r="AU17" s="75">
        <f t="shared" si="5"/>
        <v>10034.413862285803</v>
      </c>
    </row>
    <row r="18" spans="1:50" ht="8.25" customHeight="1" thickBot="1" x14ac:dyDescent="0.4">
      <c r="A18" s="48"/>
      <c r="B18" s="173"/>
      <c r="C18" s="173"/>
      <c r="D18" s="173"/>
      <c r="E18" s="170"/>
      <c r="F18" s="170"/>
      <c r="G18" s="170"/>
      <c r="H18" s="170"/>
      <c r="I18" s="170"/>
      <c r="J18" s="170"/>
      <c r="K18" s="170"/>
      <c r="L18" s="233" t="s">
        <v>488</v>
      </c>
      <c r="M18" s="234"/>
      <c r="N18" s="305">
        <f>AE88+N21</f>
        <v>1018000.0224179111</v>
      </c>
      <c r="O18" s="62"/>
      <c r="U18" s="105"/>
      <c r="V18" s="105"/>
      <c r="X18" s="106" t="e">
        <f>IF(OR(#REF!=S28,#REF!=S31),"Класична","")</f>
        <v>#REF!</v>
      </c>
      <c r="AA18" s="196">
        <f t="shared" si="0"/>
        <v>10034.413862285801</v>
      </c>
      <c r="AB18" s="185">
        <f t="shared" ca="1" si="6"/>
        <v>46297</v>
      </c>
      <c r="AC18" s="264">
        <v>15</v>
      </c>
      <c r="AD18" s="265"/>
      <c r="AE18" s="83">
        <f t="shared" si="7"/>
        <v>5373.8493827480024</v>
      </c>
      <c r="AF18" s="84"/>
      <c r="AG18" s="270">
        <f t="shared" si="8"/>
        <v>4660.5644795377993</v>
      </c>
      <c r="AH18" s="271"/>
      <c r="AI18" s="272">
        <f t="shared" si="9"/>
        <v>10034.413862285801</v>
      </c>
      <c r="AJ18" s="273"/>
      <c r="AK18" s="85">
        <f t="shared" ca="1" si="1"/>
        <v>46295</v>
      </c>
      <c r="AL18" s="264">
        <v>15</v>
      </c>
      <c r="AM18" s="265"/>
      <c r="AN18" s="86">
        <f t="shared" si="2"/>
        <v>6944.4444444444443</v>
      </c>
      <c r="AO18" s="87"/>
      <c r="AP18" s="266">
        <f t="shared" ca="1" si="3"/>
        <v>4360.0694444444462</v>
      </c>
      <c r="AQ18" s="267"/>
      <c r="AR18" s="268">
        <f t="shared" ca="1" si="4"/>
        <v>11304.513888888891</v>
      </c>
      <c r="AS18" s="269"/>
      <c r="AT18" s="87">
        <f t="shared" ca="1" si="10"/>
        <v>402777.77777777787</v>
      </c>
      <c r="AU18" s="75">
        <f t="shared" si="5"/>
        <v>10034.413862285801</v>
      </c>
    </row>
    <row r="19" spans="1:50" ht="52.2" customHeight="1" thickBot="1" x14ac:dyDescent="0.4">
      <c r="A19" s="45"/>
      <c r="B19" s="256" t="s">
        <v>489</v>
      </c>
      <c r="C19" s="257"/>
      <c r="D19" s="258"/>
      <c r="E19" s="303">
        <f ca="1">IF(OR(F10&gt;80,AND(F8&gt;0,N4&gt;80%,X4&lt;&gt;3)),"Для уточнення інформації звертайтесь на відділення",R41)</f>
        <v>0.37858796715736398</v>
      </c>
      <c r="F19" s="304"/>
      <c r="G19" s="170"/>
      <c r="H19" s="170"/>
      <c r="I19" s="170"/>
      <c r="J19" s="170"/>
      <c r="K19" s="170"/>
      <c r="L19" s="235"/>
      <c r="M19" s="236"/>
      <c r="N19" s="306"/>
      <c r="O19" s="62"/>
      <c r="R19" s="67" t="s">
        <v>437</v>
      </c>
      <c r="T19" s="107"/>
      <c r="U19" s="62" t="s">
        <v>438</v>
      </c>
      <c r="V19" s="108">
        <f ca="1">TODAY()</f>
        <v>45840</v>
      </c>
      <c r="X19" s="109">
        <v>1</v>
      </c>
      <c r="Y19" s="92">
        <v>31</v>
      </c>
      <c r="AA19" s="196">
        <f t="shared" si="0"/>
        <v>10034.413862285801</v>
      </c>
      <c r="AB19" s="185">
        <f t="shared" ca="1" si="6"/>
        <v>46328</v>
      </c>
      <c r="AC19" s="264">
        <v>16</v>
      </c>
      <c r="AD19" s="265"/>
      <c r="AE19" s="83">
        <f t="shared" si="7"/>
        <v>5432.0213023162496</v>
      </c>
      <c r="AF19" s="84"/>
      <c r="AG19" s="270">
        <f t="shared" si="8"/>
        <v>4602.3925599695522</v>
      </c>
      <c r="AH19" s="271"/>
      <c r="AI19" s="272">
        <f t="shared" si="9"/>
        <v>10034.413862285801</v>
      </c>
      <c r="AJ19" s="273"/>
      <c r="AK19" s="85">
        <f t="shared" ca="1" si="1"/>
        <v>46326</v>
      </c>
      <c r="AL19" s="264">
        <v>16</v>
      </c>
      <c r="AM19" s="265"/>
      <c r="AN19" s="86">
        <f t="shared" si="2"/>
        <v>6944.4444444444443</v>
      </c>
      <c r="AO19" s="87"/>
      <c r="AP19" s="266">
        <f t="shared" ca="1" si="3"/>
        <v>4427.7256944444453</v>
      </c>
      <c r="AQ19" s="267"/>
      <c r="AR19" s="268">
        <f t="shared" ca="1" si="4"/>
        <v>11372.170138888891</v>
      </c>
      <c r="AS19" s="269"/>
      <c r="AT19" s="87">
        <f t="shared" ca="1" si="10"/>
        <v>395833.33333333343</v>
      </c>
      <c r="AU19" s="75">
        <f t="shared" si="5"/>
        <v>10034.413862285801</v>
      </c>
    </row>
    <row r="20" spans="1:50" ht="10.199999999999999" customHeight="1" thickBot="1" x14ac:dyDescent="0.35">
      <c r="A20" s="51"/>
      <c r="B20" s="51"/>
      <c r="C20" s="51"/>
      <c r="D20" s="51"/>
      <c r="E20" s="51"/>
      <c r="F20" s="51"/>
      <c r="H20" s="42"/>
      <c r="I20" s="42"/>
      <c r="J20" s="42"/>
      <c r="K20" s="42"/>
      <c r="L20" s="42"/>
      <c r="M20" s="42"/>
      <c r="N20" s="44"/>
      <c r="O20" s="62"/>
      <c r="R20" s="110" t="e">
        <f>IF(#REF!="Так",ROUND((E4-F10+N8)*#REF!/100,2),IF(#REF!="Ні",ROUND((E4-F10)*#REF!/100,2),0))</f>
        <v>#REF!</v>
      </c>
      <c r="U20" s="111" t="s">
        <v>439</v>
      </c>
      <c r="V20" s="112">
        <f ca="1">DAY(V19)</f>
        <v>2</v>
      </c>
      <c r="X20" s="92">
        <v>2</v>
      </c>
      <c r="Y20" s="92">
        <v>28</v>
      </c>
      <c r="AA20" s="196">
        <f t="shared" si="0"/>
        <v>10034.413862285803</v>
      </c>
      <c r="AB20" s="185">
        <f t="shared" ca="1" si="6"/>
        <v>46358</v>
      </c>
      <c r="AC20" s="264">
        <v>17</v>
      </c>
      <c r="AD20" s="265"/>
      <c r="AE20" s="83">
        <f t="shared" si="7"/>
        <v>5490.822932913823</v>
      </c>
      <c r="AF20" s="84"/>
      <c r="AG20" s="270">
        <f t="shared" si="8"/>
        <v>4543.5909293719797</v>
      </c>
      <c r="AH20" s="271"/>
      <c r="AI20" s="272">
        <f t="shared" si="9"/>
        <v>10034.413862285803</v>
      </c>
      <c r="AJ20" s="273"/>
      <c r="AK20" s="85">
        <f t="shared" ca="1" si="1"/>
        <v>46356</v>
      </c>
      <c r="AL20" s="264">
        <v>17</v>
      </c>
      <c r="AM20" s="265"/>
      <c r="AN20" s="86">
        <f t="shared" si="2"/>
        <v>6944.4444444444443</v>
      </c>
      <c r="AO20" s="87"/>
      <c r="AP20" s="266">
        <f t="shared" ca="1" si="3"/>
        <v>4209.7222222222235</v>
      </c>
      <c r="AQ20" s="267"/>
      <c r="AR20" s="268">
        <f t="shared" ca="1" si="4"/>
        <v>11154.166666666668</v>
      </c>
      <c r="AS20" s="269"/>
      <c r="AT20" s="87">
        <f t="shared" ca="1" si="10"/>
        <v>388888.88888888899</v>
      </c>
      <c r="AU20" s="75">
        <f t="shared" si="5"/>
        <v>10034.413862285803</v>
      </c>
    </row>
    <row r="21" spans="1:50" ht="33" customHeight="1" thickBot="1" x14ac:dyDescent="0.35">
      <c r="A21" s="147"/>
      <c r="B21" s="256" t="s">
        <v>509</v>
      </c>
      <c r="C21" s="257"/>
      <c r="D21" s="258"/>
      <c r="E21" s="259">
        <f>IF(X4=2,N4,F8)+N6+N8+N16</f>
        <v>593183.33333333337</v>
      </c>
      <c r="F21" s="260"/>
      <c r="G21" s="118"/>
      <c r="H21" s="118"/>
      <c r="I21" s="118"/>
      <c r="J21" s="118"/>
      <c r="K21" s="118"/>
      <c r="L21" s="239" t="s">
        <v>490</v>
      </c>
      <c r="M21" s="240"/>
      <c r="N21" s="203">
        <f>N13+SUM(R36:R40)+Z3</f>
        <v>518000.02241791098</v>
      </c>
      <c r="O21" s="62"/>
      <c r="U21" s="114" t="s">
        <v>416</v>
      </c>
      <c r="V21" s="115">
        <f ca="1">MONTH(V19)</f>
        <v>7</v>
      </c>
      <c r="X21" s="92">
        <v>3</v>
      </c>
      <c r="Y21" s="92">
        <v>31</v>
      </c>
      <c r="AA21" s="196">
        <f t="shared" si="0"/>
        <v>10034.413862285803</v>
      </c>
      <c r="AB21" s="185">
        <f t="shared" ca="1" si="6"/>
        <v>46389</v>
      </c>
      <c r="AC21" s="264">
        <v>18</v>
      </c>
      <c r="AD21" s="265"/>
      <c r="AE21" s="83">
        <f t="shared" si="7"/>
        <v>5550.2610911626152</v>
      </c>
      <c r="AF21" s="84"/>
      <c r="AG21" s="270">
        <f t="shared" si="8"/>
        <v>4484.1527711231874</v>
      </c>
      <c r="AH21" s="271"/>
      <c r="AI21" s="272">
        <f t="shared" si="9"/>
        <v>10034.413862285803</v>
      </c>
      <c r="AJ21" s="273"/>
      <c r="AK21" s="85">
        <f t="shared" ca="1" si="1"/>
        <v>46387</v>
      </c>
      <c r="AL21" s="264">
        <v>18</v>
      </c>
      <c r="AM21" s="265"/>
      <c r="AN21" s="86">
        <f t="shared" si="2"/>
        <v>6944.4444444444443</v>
      </c>
      <c r="AO21" s="87"/>
      <c r="AP21" s="266">
        <f t="shared" ca="1" si="3"/>
        <v>4272.3668981481496</v>
      </c>
      <c r="AQ21" s="267"/>
      <c r="AR21" s="268">
        <f t="shared" ca="1" si="4"/>
        <v>11216.811342592595</v>
      </c>
      <c r="AS21" s="269"/>
      <c r="AT21" s="87">
        <f t="shared" ca="1" si="10"/>
        <v>381944.44444444455</v>
      </c>
      <c r="AU21" s="75">
        <f t="shared" si="5"/>
        <v>10034.413862285803</v>
      </c>
    </row>
    <row r="22" spans="1:50" ht="58.2" customHeight="1" thickBot="1" x14ac:dyDescent="0.35">
      <c r="A22" s="61"/>
      <c r="B22" s="220" t="s">
        <v>510</v>
      </c>
      <c r="C22" s="220"/>
      <c r="D22" s="220"/>
      <c r="E22" s="220"/>
      <c r="F22" s="220"/>
      <c r="G22" s="220"/>
      <c r="H22" s="220"/>
      <c r="I22" s="220"/>
      <c r="J22" s="220"/>
      <c r="K22" s="220"/>
      <c r="L22" s="220"/>
      <c r="M22" s="220"/>
      <c r="N22" s="220"/>
      <c r="O22" s="62"/>
      <c r="U22" s="116" t="s">
        <v>441</v>
      </c>
      <c r="V22" s="117">
        <v>1200000</v>
      </c>
      <c r="X22" s="92">
        <v>4</v>
      </c>
      <c r="Y22" s="92">
        <v>30</v>
      </c>
      <c r="AA22" s="196">
        <f t="shared" si="0"/>
        <v>10034.413862285803</v>
      </c>
      <c r="AB22" s="185">
        <f t="shared" ca="1" si="6"/>
        <v>46420</v>
      </c>
      <c r="AC22" s="264">
        <v>19</v>
      </c>
      <c r="AD22" s="265"/>
      <c r="AE22" s="83">
        <f t="shared" si="7"/>
        <v>5610.3426674744505</v>
      </c>
      <c r="AF22" s="84"/>
      <c r="AG22" s="270">
        <f t="shared" si="8"/>
        <v>4424.0711948113521</v>
      </c>
      <c r="AH22" s="271"/>
      <c r="AI22" s="272">
        <f t="shared" si="9"/>
        <v>10034.413862285803</v>
      </c>
      <c r="AJ22" s="273"/>
      <c r="AK22" s="85">
        <f t="shared" ca="1" si="1"/>
        <v>46418</v>
      </c>
      <c r="AL22" s="264">
        <v>19</v>
      </c>
      <c r="AM22" s="265"/>
      <c r="AN22" s="86">
        <f t="shared" si="2"/>
        <v>6944.4444444444443</v>
      </c>
      <c r="AO22" s="87"/>
      <c r="AP22" s="266">
        <f t="shared" ca="1" si="3"/>
        <v>4194.6875000000018</v>
      </c>
      <c r="AQ22" s="267"/>
      <c r="AR22" s="268">
        <f t="shared" ca="1" si="4"/>
        <v>11139.131944444445</v>
      </c>
      <c r="AS22" s="269"/>
      <c r="AT22" s="87">
        <f t="shared" ca="1" si="10"/>
        <v>375000.00000000012</v>
      </c>
      <c r="AU22" s="75">
        <f t="shared" si="5"/>
        <v>10034.413862285803</v>
      </c>
    </row>
    <row r="23" spans="1:50" ht="13.8" customHeight="1" thickBot="1" x14ac:dyDescent="0.35">
      <c r="A23" s="43"/>
      <c r="B23" s="255" t="s">
        <v>321</v>
      </c>
      <c r="C23" s="255"/>
      <c r="D23" s="204" t="s">
        <v>323</v>
      </c>
      <c r="E23" s="254" t="s">
        <v>324</v>
      </c>
      <c r="F23" s="254"/>
      <c r="G23" s="263" t="s">
        <v>502</v>
      </c>
      <c r="H23" s="263"/>
      <c r="I23" s="202"/>
      <c r="J23" s="61"/>
      <c r="K23" s="61"/>
      <c r="L23" s="61"/>
      <c r="M23" s="61"/>
      <c r="N23" s="61"/>
      <c r="O23" s="62"/>
      <c r="U23" s="119" t="s">
        <v>442</v>
      </c>
      <c r="V23" s="120">
        <f>IF(X4=1,F8/E4*100,IF(X4=2,F10,0))</f>
        <v>50</v>
      </c>
      <c r="X23" s="92">
        <v>5</v>
      </c>
      <c r="Y23" s="92">
        <v>31</v>
      </c>
      <c r="AA23" s="196">
        <f t="shared" si="0"/>
        <v>10034.413862285801</v>
      </c>
      <c r="AB23" s="185">
        <f t="shared" ca="1" si="6"/>
        <v>46448</v>
      </c>
      <c r="AC23" s="264">
        <v>20</v>
      </c>
      <c r="AD23" s="265"/>
      <c r="AE23" s="83">
        <f t="shared" si="7"/>
        <v>5671.0746268498615</v>
      </c>
      <c r="AF23" s="84"/>
      <c r="AG23" s="270">
        <f t="shared" si="8"/>
        <v>4363.3392354359403</v>
      </c>
      <c r="AH23" s="271"/>
      <c r="AI23" s="272">
        <f t="shared" si="9"/>
        <v>10034.413862285801</v>
      </c>
      <c r="AJ23" s="273"/>
      <c r="AK23" s="85">
        <f t="shared" ca="1" si="1"/>
        <v>46446</v>
      </c>
      <c r="AL23" s="264">
        <v>20</v>
      </c>
      <c r="AM23" s="265"/>
      <c r="AN23" s="86">
        <f t="shared" si="2"/>
        <v>6944.4444444444443</v>
      </c>
      <c r="AO23" s="87"/>
      <c r="AP23" s="266">
        <f t="shared" ca="1" si="3"/>
        <v>3718.587962962964</v>
      </c>
      <c r="AQ23" s="267"/>
      <c r="AR23" s="268">
        <f t="shared" ca="1" si="4"/>
        <v>10663.032407407409</v>
      </c>
      <c r="AS23" s="269"/>
      <c r="AT23" s="87">
        <f t="shared" ca="1" si="10"/>
        <v>368055.55555555568</v>
      </c>
      <c r="AU23" s="75">
        <f t="shared" si="5"/>
        <v>10034.413862285801</v>
      </c>
    </row>
    <row r="24" spans="1:50" ht="13.8" customHeight="1" thickBot="1" x14ac:dyDescent="0.35">
      <c r="A24" s="43"/>
      <c r="B24" s="228">
        <v>1</v>
      </c>
      <c r="C24" s="228"/>
      <c r="D24" s="205">
        <f t="shared" ref="D24:D35" si="11">AE4</f>
        <v>4621.9138622858009</v>
      </c>
      <c r="E24" s="227">
        <f t="shared" ref="E24:E35" si="12">AG4</f>
        <v>5412.5</v>
      </c>
      <c r="F24" s="227"/>
      <c r="G24" s="227">
        <f t="shared" ref="G24:G35" si="13">AI4</f>
        <v>10034.413862285801</v>
      </c>
      <c r="H24" s="227"/>
      <c r="I24" s="202"/>
      <c r="J24" s="61"/>
      <c r="K24" s="61"/>
      <c r="L24" s="61"/>
      <c r="M24" s="61"/>
      <c r="N24" s="61"/>
      <c r="O24" s="62"/>
      <c r="Q24" s="121">
        <f ca="1">TODAY()</f>
        <v>45840</v>
      </c>
      <c r="R24" s="122" t="s">
        <v>438</v>
      </c>
      <c r="S24" s="122" t="s">
        <v>443</v>
      </c>
      <c r="X24" s="92"/>
      <c r="Y24" s="92"/>
      <c r="AA24" s="196">
        <f t="shared" si="0"/>
        <v>10034.413862285801</v>
      </c>
      <c r="AB24" s="185">
        <f t="shared" ca="1" si="6"/>
        <v>46479</v>
      </c>
      <c r="AC24" s="264">
        <v>21</v>
      </c>
      <c r="AD24" s="265"/>
      <c r="AE24" s="83">
        <f t="shared" si="7"/>
        <v>5732.464009685511</v>
      </c>
      <c r="AF24" s="84"/>
      <c r="AG24" s="270">
        <f t="shared" si="8"/>
        <v>4301.9498526002908</v>
      </c>
      <c r="AH24" s="271"/>
      <c r="AI24" s="272">
        <f t="shared" si="9"/>
        <v>10034.413862285801</v>
      </c>
      <c r="AJ24" s="273"/>
      <c r="AK24" s="85">
        <f t="shared" ca="1" si="1"/>
        <v>46477</v>
      </c>
      <c r="AL24" s="264">
        <v>21</v>
      </c>
      <c r="AM24" s="265"/>
      <c r="AN24" s="86">
        <f t="shared" si="2"/>
        <v>6944.4444444444443</v>
      </c>
      <c r="AO24" s="87"/>
      <c r="AP24" s="266">
        <f t="shared" ca="1" si="3"/>
        <v>4039.3287037037053</v>
      </c>
      <c r="AQ24" s="267"/>
      <c r="AR24" s="268">
        <f t="shared" ca="1" si="4"/>
        <v>10983.77314814815</v>
      </c>
      <c r="AS24" s="269"/>
      <c r="AT24" s="87">
        <f t="shared" ca="1" si="10"/>
        <v>361111.11111111124</v>
      </c>
      <c r="AU24" s="75">
        <f t="shared" si="5"/>
        <v>10034.413862285801</v>
      </c>
    </row>
    <row r="25" spans="1:50" ht="13.8" customHeight="1" thickBot="1" x14ac:dyDescent="0.35">
      <c r="A25" s="43"/>
      <c r="B25" s="228">
        <v>2</v>
      </c>
      <c r="C25" s="228"/>
      <c r="D25" s="205">
        <f t="shared" si="11"/>
        <v>4671.9460798450446</v>
      </c>
      <c r="E25" s="227">
        <f t="shared" si="12"/>
        <v>5362.4677824407572</v>
      </c>
      <c r="F25" s="227"/>
      <c r="G25" s="227">
        <f t="shared" si="13"/>
        <v>10034.413862285801</v>
      </c>
      <c r="H25" s="227"/>
      <c r="I25" s="202"/>
      <c r="J25" s="61"/>
      <c r="K25" s="61"/>
      <c r="L25" s="61"/>
      <c r="M25" s="61"/>
      <c r="N25" s="61"/>
      <c r="O25" s="62"/>
      <c r="Q25" s="122">
        <f ca="1">IF(Q24&lt;R26,S25,IF(Q24&lt;R27,S26,S27))</f>
        <v>2270</v>
      </c>
      <c r="R25" s="121">
        <v>43831</v>
      </c>
      <c r="S25" s="122">
        <v>2102</v>
      </c>
      <c r="T25" s="123"/>
      <c r="U25" s="111" t="s">
        <v>499</v>
      </c>
      <c r="V25" s="108">
        <f ca="1">EDATE(V19,V26)-1</f>
        <v>48030</v>
      </c>
      <c r="W25" s="124"/>
      <c r="X25" s="92">
        <v>6</v>
      </c>
      <c r="Y25" s="92">
        <v>30</v>
      </c>
      <c r="AA25" s="196">
        <f t="shared" si="0"/>
        <v>10034.413862285804</v>
      </c>
      <c r="AB25" s="185">
        <f t="shared" ca="1" si="6"/>
        <v>46509</v>
      </c>
      <c r="AC25" s="264">
        <v>22</v>
      </c>
      <c r="AD25" s="265"/>
      <c r="AE25" s="83">
        <f t="shared" si="7"/>
        <v>5794.5179325903573</v>
      </c>
      <c r="AF25" s="84"/>
      <c r="AG25" s="270">
        <f t="shared" si="8"/>
        <v>4239.8959296954463</v>
      </c>
      <c r="AH25" s="271"/>
      <c r="AI25" s="272">
        <f t="shared" si="9"/>
        <v>10034.413862285804</v>
      </c>
      <c r="AJ25" s="273"/>
      <c r="AK25" s="85">
        <f t="shared" ca="1" si="1"/>
        <v>46507</v>
      </c>
      <c r="AL25" s="264">
        <v>22</v>
      </c>
      <c r="AM25" s="265"/>
      <c r="AN25" s="86">
        <f t="shared" si="2"/>
        <v>6944.4444444444443</v>
      </c>
      <c r="AO25" s="87"/>
      <c r="AP25" s="266">
        <f t="shared" ca="1" si="3"/>
        <v>3833.8541666666688</v>
      </c>
      <c r="AQ25" s="267"/>
      <c r="AR25" s="268">
        <f t="shared" ca="1" si="4"/>
        <v>10778.298611111113</v>
      </c>
      <c r="AS25" s="269"/>
      <c r="AT25" s="87">
        <f t="shared" ca="1" si="10"/>
        <v>354166.6666666668</v>
      </c>
      <c r="AU25" s="75">
        <f t="shared" si="5"/>
        <v>10034.413862285804</v>
      </c>
    </row>
    <row r="26" spans="1:50" ht="13.8" customHeight="1" thickBot="1" x14ac:dyDescent="0.35">
      <c r="A26" s="43"/>
      <c r="B26" s="228">
        <v>3</v>
      </c>
      <c r="C26" s="228"/>
      <c r="D26" s="205">
        <f t="shared" si="11"/>
        <v>4722.5198961593669</v>
      </c>
      <c r="E26" s="227">
        <f t="shared" si="12"/>
        <v>5311.8939661264358</v>
      </c>
      <c r="F26" s="227"/>
      <c r="G26" s="227">
        <f t="shared" si="13"/>
        <v>10034.413862285803</v>
      </c>
      <c r="H26" s="227"/>
      <c r="I26" s="202"/>
      <c r="J26" s="53"/>
      <c r="K26" s="54"/>
      <c r="L26" s="54"/>
      <c r="M26" s="54"/>
      <c r="N26" s="54"/>
      <c r="O26" s="125"/>
      <c r="Q26" s="122"/>
      <c r="R26" s="121">
        <v>44013</v>
      </c>
      <c r="S26" s="122">
        <v>2197</v>
      </c>
      <c r="T26" s="123"/>
      <c r="U26" s="115" t="s">
        <v>500</v>
      </c>
      <c r="V26" s="115">
        <f>E12</f>
        <v>72</v>
      </c>
      <c r="W26" s="124"/>
      <c r="X26" s="92">
        <v>7</v>
      </c>
      <c r="Y26" s="92">
        <v>31</v>
      </c>
      <c r="AA26" s="196">
        <f t="shared" si="0"/>
        <v>10034.413862285801</v>
      </c>
      <c r="AB26" s="185">
        <f t="shared" ca="1" si="6"/>
        <v>46540</v>
      </c>
      <c r="AC26" s="264">
        <f>AC25+1</f>
        <v>23</v>
      </c>
      <c r="AD26" s="265"/>
      <c r="AE26" s="83">
        <f t="shared" si="7"/>
        <v>5857.2435892106469</v>
      </c>
      <c r="AF26" s="84"/>
      <c r="AG26" s="270">
        <f t="shared" si="8"/>
        <v>4177.1702730751549</v>
      </c>
      <c r="AH26" s="271"/>
      <c r="AI26" s="272">
        <f t="shared" si="9"/>
        <v>10034.413862285801</v>
      </c>
      <c r="AJ26" s="273"/>
      <c r="AK26" s="85">
        <f t="shared" ca="1" si="1"/>
        <v>46538</v>
      </c>
      <c r="AL26" s="264">
        <v>23</v>
      </c>
      <c r="AM26" s="265"/>
      <c r="AN26" s="86">
        <f t="shared" si="2"/>
        <v>6944.4444444444443</v>
      </c>
      <c r="AO26" s="87"/>
      <c r="AP26" s="266">
        <f t="shared" ca="1" si="3"/>
        <v>3883.9699074074088</v>
      </c>
      <c r="AQ26" s="267"/>
      <c r="AR26" s="268">
        <f t="shared" ca="1" si="4"/>
        <v>10828.414351851854</v>
      </c>
      <c r="AS26" s="269"/>
      <c r="AT26" s="87">
        <f t="shared" ca="1" si="10"/>
        <v>347222.22222222236</v>
      </c>
      <c r="AU26" s="75">
        <f t="shared" si="5"/>
        <v>10034.413862285801</v>
      </c>
    </row>
    <row r="27" spans="1:50" ht="13.8" customHeight="1" x14ac:dyDescent="0.3">
      <c r="A27" s="43"/>
      <c r="B27" s="228">
        <v>4</v>
      </c>
      <c r="C27" s="228"/>
      <c r="D27" s="205">
        <f t="shared" si="11"/>
        <v>4773.6411740352924</v>
      </c>
      <c r="E27" s="227">
        <f t="shared" si="12"/>
        <v>5260.7726882505085</v>
      </c>
      <c r="F27" s="227"/>
      <c r="G27" s="227">
        <f t="shared" si="13"/>
        <v>10034.413862285801</v>
      </c>
      <c r="H27" s="227"/>
      <c r="I27" s="202"/>
      <c r="J27" s="53"/>
      <c r="K27" s="54"/>
      <c r="L27" s="54"/>
      <c r="M27" s="54"/>
      <c r="N27" s="54"/>
      <c r="O27" s="125"/>
      <c r="Q27" s="122"/>
      <c r="R27" s="121">
        <v>44166</v>
      </c>
      <c r="S27" s="122">
        <v>2270</v>
      </c>
      <c r="T27" s="123"/>
      <c r="U27" s="123"/>
      <c r="V27" s="123"/>
      <c r="W27" s="124"/>
      <c r="X27" s="92">
        <v>8</v>
      </c>
      <c r="Y27" s="92">
        <v>31</v>
      </c>
      <c r="AA27" s="196">
        <f>IFERROR(AI27+Z28,"-")</f>
        <v>54503.413862285801</v>
      </c>
      <c r="AB27" s="185">
        <f t="shared" ca="1" si="6"/>
        <v>46570</v>
      </c>
      <c r="AC27" s="264">
        <f>AC26+1</f>
        <v>24</v>
      </c>
      <c r="AD27" s="265"/>
      <c r="AE27" s="83">
        <f t="shared" si="7"/>
        <v>5920.6482510638525</v>
      </c>
      <c r="AF27" s="84"/>
      <c r="AG27" s="270">
        <f t="shared" si="8"/>
        <v>4113.7656112219493</v>
      </c>
      <c r="AH27" s="271"/>
      <c r="AI27" s="272">
        <f t="shared" si="9"/>
        <v>10034.413862285801</v>
      </c>
      <c r="AJ27" s="273"/>
      <c r="AK27" s="85">
        <f t="shared" ca="1" si="1"/>
        <v>46568</v>
      </c>
      <c r="AL27" s="264">
        <v>24</v>
      </c>
      <c r="AM27" s="265"/>
      <c r="AN27" s="86">
        <f t="shared" si="2"/>
        <v>6944.4444444444443</v>
      </c>
      <c r="AO27" s="87"/>
      <c r="AP27" s="266">
        <f t="shared" ca="1" si="3"/>
        <v>3683.5069444444457</v>
      </c>
      <c r="AQ27" s="267"/>
      <c r="AR27" s="268">
        <f t="shared" ca="1" si="4"/>
        <v>10627.951388888891</v>
      </c>
      <c r="AS27" s="269"/>
      <c r="AT27" s="87">
        <f t="shared" ca="1" si="10"/>
        <v>340277.77777777793</v>
      </c>
      <c r="AU27" s="75">
        <f t="shared" si="5"/>
        <v>10034.413862285801</v>
      </c>
    </row>
    <row r="28" spans="1:50" ht="13.8" customHeight="1" x14ac:dyDescent="0.3">
      <c r="A28" s="43"/>
      <c r="B28" s="228">
        <v>5</v>
      </c>
      <c r="C28" s="228"/>
      <c r="D28" s="205">
        <f t="shared" si="11"/>
        <v>4825.3158397442248</v>
      </c>
      <c r="E28" s="227">
        <f t="shared" si="12"/>
        <v>5209.0980225415769</v>
      </c>
      <c r="F28" s="227"/>
      <c r="G28" s="227">
        <f t="shared" si="13"/>
        <v>10034.413862285801</v>
      </c>
      <c r="H28" s="227"/>
      <c r="I28" s="202"/>
      <c r="J28" s="53"/>
      <c r="K28" s="54"/>
      <c r="L28" s="54"/>
      <c r="M28" s="54"/>
      <c r="N28" s="54"/>
      <c r="O28" s="125"/>
      <c r="R28" s="191">
        <v>45658</v>
      </c>
      <c r="S28" s="92">
        <v>3028</v>
      </c>
      <c r="T28" s="123"/>
      <c r="U28" s="123"/>
      <c r="V28" s="123"/>
      <c r="W28" s="124"/>
      <c r="X28" s="92">
        <v>9</v>
      </c>
      <c r="Y28" s="92">
        <v>30</v>
      </c>
      <c r="Z28" s="116">
        <f>IF($V$26&gt;AC28,$E$4*0.9*0.9*5.49%,0)</f>
        <v>44469</v>
      </c>
      <c r="AA28" s="196">
        <f t="shared" si="0"/>
        <v>10034.413862285803</v>
      </c>
      <c r="AB28" s="185">
        <f t="shared" ca="1" si="6"/>
        <v>46601</v>
      </c>
      <c r="AC28" s="264">
        <f t="shared" ref="AC28:AC78" si="14">AC27+1</f>
        <v>25</v>
      </c>
      <c r="AD28" s="265"/>
      <c r="AE28" s="83">
        <f t="shared" si="7"/>
        <v>5984.7392683816197</v>
      </c>
      <c r="AF28" s="84"/>
      <c r="AG28" s="270">
        <f t="shared" si="8"/>
        <v>4049.674593904183</v>
      </c>
      <c r="AH28" s="271"/>
      <c r="AI28" s="272">
        <f t="shared" si="9"/>
        <v>10034.413862285803</v>
      </c>
      <c r="AJ28" s="273"/>
      <c r="AK28" s="85">
        <f t="shared" ca="1" si="1"/>
        <v>46599</v>
      </c>
      <c r="AL28" s="264">
        <v>25</v>
      </c>
      <c r="AM28" s="265"/>
      <c r="AN28" s="86">
        <f t="shared" si="2"/>
        <v>6944.4444444444443</v>
      </c>
      <c r="AO28" s="87"/>
      <c r="AP28" s="266">
        <f t="shared" ca="1" si="3"/>
        <v>3728.6111111111131</v>
      </c>
      <c r="AQ28" s="267"/>
      <c r="AR28" s="268">
        <f t="shared" ca="1" si="4"/>
        <v>10673.055555555558</v>
      </c>
      <c r="AS28" s="269"/>
      <c r="AT28" s="87">
        <f t="shared" ca="1" si="10"/>
        <v>333333.33333333349</v>
      </c>
      <c r="AU28" s="75" t="e">
        <f>AI28+AW28+AX28</f>
        <v>#REF!</v>
      </c>
      <c r="AW28" s="63">
        <f>IF($E$12&gt;$R$3,$E$4*0.9*0.9*5.5%,"")</f>
        <v>44550</v>
      </c>
      <c r="AX28" s="63" t="e">
        <f>IF(#REF!=0,0,IF($E$12&gt;$R$3,(AE90-SUM(AE4:AE27))*0.0299,""))</f>
        <v>#REF!</v>
      </c>
    </row>
    <row r="29" spans="1:50" ht="13.8" customHeight="1" x14ac:dyDescent="0.3">
      <c r="A29" s="43"/>
      <c r="B29" s="228">
        <v>6</v>
      </c>
      <c r="C29" s="228"/>
      <c r="D29" s="205">
        <f t="shared" si="11"/>
        <v>4877.5498837094556</v>
      </c>
      <c r="E29" s="227">
        <f t="shared" si="12"/>
        <v>5156.8639785763462</v>
      </c>
      <c r="F29" s="227"/>
      <c r="G29" s="227">
        <f t="shared" si="13"/>
        <v>10034.413862285801</v>
      </c>
      <c r="H29" s="227"/>
      <c r="I29" s="202"/>
      <c r="J29" s="53"/>
      <c r="K29" s="54"/>
      <c r="L29" s="54"/>
      <c r="M29" s="54"/>
      <c r="N29" s="54"/>
      <c r="O29" s="125"/>
      <c r="T29" s="123"/>
      <c r="U29" s="123"/>
      <c r="V29" s="123"/>
      <c r="W29" s="124"/>
      <c r="X29" s="92">
        <v>10</v>
      </c>
      <c r="Y29" s="92">
        <v>31</v>
      </c>
      <c r="AA29" s="196">
        <f t="shared" si="0"/>
        <v>10034.413862285803</v>
      </c>
      <c r="AB29" s="185">
        <f t="shared" ca="1" si="6"/>
        <v>46632</v>
      </c>
      <c r="AC29" s="264">
        <f t="shared" si="14"/>
        <v>26</v>
      </c>
      <c r="AD29" s="265"/>
      <c r="AE29" s="83">
        <f t="shared" si="7"/>
        <v>6049.5240709618502</v>
      </c>
      <c r="AF29" s="84"/>
      <c r="AG29" s="270">
        <f t="shared" si="8"/>
        <v>3984.8897913239525</v>
      </c>
      <c r="AH29" s="271"/>
      <c r="AI29" s="272">
        <f t="shared" si="9"/>
        <v>10034.413862285803</v>
      </c>
      <c r="AJ29" s="273"/>
      <c r="AK29" s="85">
        <f t="shared" ca="1" si="1"/>
        <v>46630</v>
      </c>
      <c r="AL29" s="264">
        <v>26</v>
      </c>
      <c r="AM29" s="265"/>
      <c r="AN29" s="86">
        <f t="shared" si="2"/>
        <v>6944.4444444444443</v>
      </c>
      <c r="AO29" s="87"/>
      <c r="AP29" s="266">
        <f t="shared" ca="1" si="3"/>
        <v>3650.9317129629644</v>
      </c>
      <c r="AQ29" s="267"/>
      <c r="AR29" s="268">
        <f t="shared" ca="1" si="4"/>
        <v>10595.376157407409</v>
      </c>
      <c r="AS29" s="269"/>
      <c r="AT29" s="87">
        <f t="shared" ca="1" si="10"/>
        <v>326388.88888888905</v>
      </c>
      <c r="AU29" s="75">
        <f t="shared" si="5"/>
        <v>10034.413862285803</v>
      </c>
    </row>
    <row r="30" spans="1:50" ht="13.8" customHeight="1" x14ac:dyDescent="0.3">
      <c r="A30" s="43"/>
      <c r="B30" s="228">
        <v>7</v>
      </c>
      <c r="C30" s="228"/>
      <c r="D30" s="205">
        <f t="shared" si="11"/>
        <v>4930.3493612006105</v>
      </c>
      <c r="E30" s="227">
        <f t="shared" si="12"/>
        <v>5104.0645010851913</v>
      </c>
      <c r="F30" s="227"/>
      <c r="G30" s="227">
        <f t="shared" si="13"/>
        <v>10034.413862285801</v>
      </c>
      <c r="H30" s="227"/>
      <c r="I30" s="202"/>
      <c r="J30" s="53"/>
      <c r="K30" s="54"/>
      <c r="L30" s="54"/>
      <c r="M30" s="50"/>
      <c r="N30" s="54"/>
      <c r="O30" s="125"/>
      <c r="T30" s="123"/>
      <c r="U30" s="123"/>
      <c r="V30" s="123"/>
      <c r="W30" s="124"/>
      <c r="X30" s="92">
        <v>11</v>
      </c>
      <c r="Y30" s="92">
        <v>30</v>
      </c>
      <c r="AA30" s="196">
        <f t="shared" si="0"/>
        <v>10034.413862285803</v>
      </c>
      <c r="AB30" s="185">
        <f t="shared" ca="1" si="6"/>
        <v>46662</v>
      </c>
      <c r="AC30" s="264">
        <f t="shared" si="14"/>
        <v>27</v>
      </c>
      <c r="AD30" s="265"/>
      <c r="AE30" s="83">
        <f t="shared" si="7"/>
        <v>6115.0101690300116</v>
      </c>
      <c r="AF30" s="84"/>
      <c r="AG30" s="270">
        <f t="shared" si="8"/>
        <v>3919.4036932557906</v>
      </c>
      <c r="AH30" s="271"/>
      <c r="AI30" s="272">
        <f t="shared" si="9"/>
        <v>10034.413862285803</v>
      </c>
      <c r="AJ30" s="273"/>
      <c r="AK30" s="85">
        <f t="shared" ca="1" si="1"/>
        <v>46660</v>
      </c>
      <c r="AL30" s="264">
        <v>27</v>
      </c>
      <c r="AM30" s="265"/>
      <c r="AN30" s="86">
        <f t="shared" si="2"/>
        <v>6944.4444444444443</v>
      </c>
      <c r="AO30" s="87"/>
      <c r="AP30" s="266">
        <f t="shared" ca="1" si="3"/>
        <v>3457.9861111111131</v>
      </c>
      <c r="AQ30" s="267"/>
      <c r="AR30" s="268">
        <f t="shared" ca="1" si="4"/>
        <v>10402.430555555558</v>
      </c>
      <c r="AS30" s="269"/>
      <c r="AT30" s="87">
        <f t="shared" ca="1" si="10"/>
        <v>319444.44444444461</v>
      </c>
      <c r="AU30" s="75">
        <f t="shared" si="5"/>
        <v>10034.413862285803</v>
      </c>
    </row>
    <row r="31" spans="1:50" ht="13.8" customHeight="1" x14ac:dyDescent="0.3">
      <c r="A31" s="43"/>
      <c r="B31" s="228">
        <v>8</v>
      </c>
      <c r="C31" s="228"/>
      <c r="D31" s="205">
        <f t="shared" si="11"/>
        <v>4983.7203930356081</v>
      </c>
      <c r="E31" s="227">
        <f t="shared" si="12"/>
        <v>5050.6934692501945</v>
      </c>
      <c r="F31" s="227"/>
      <c r="G31" s="227">
        <f t="shared" si="13"/>
        <v>10034.413862285803</v>
      </c>
      <c r="H31" s="227"/>
      <c r="I31" s="202"/>
      <c r="J31" s="53"/>
      <c r="K31" s="54"/>
      <c r="L31" s="54"/>
      <c r="M31" s="54"/>
      <c r="N31" s="54"/>
      <c r="O31" s="125"/>
      <c r="T31" s="123"/>
      <c r="U31" s="123"/>
      <c r="V31" s="123"/>
      <c r="W31" s="124"/>
      <c r="X31" s="92">
        <v>12</v>
      </c>
      <c r="Y31" s="92">
        <v>31</v>
      </c>
      <c r="AA31" s="196">
        <f t="shared" si="0"/>
        <v>10034.413862285801</v>
      </c>
      <c r="AB31" s="185">
        <f t="shared" ca="1" si="6"/>
        <v>46693</v>
      </c>
      <c r="AC31" s="264">
        <f t="shared" si="14"/>
        <v>28</v>
      </c>
      <c r="AD31" s="265"/>
      <c r="AE31" s="83">
        <f t="shared" si="7"/>
        <v>6181.2051541097617</v>
      </c>
      <c r="AF31" s="84"/>
      <c r="AG31" s="270">
        <f t="shared" si="8"/>
        <v>3853.2087081760401</v>
      </c>
      <c r="AH31" s="271"/>
      <c r="AI31" s="272">
        <f t="shared" si="9"/>
        <v>10034.413862285801</v>
      </c>
      <c r="AJ31" s="273"/>
      <c r="AK31" s="85">
        <f t="shared" ca="1" si="1"/>
        <v>46691</v>
      </c>
      <c r="AL31" s="264">
        <v>28</v>
      </c>
      <c r="AM31" s="265"/>
      <c r="AN31" s="86">
        <f t="shared" si="2"/>
        <v>6944.4444444444443</v>
      </c>
      <c r="AO31" s="87"/>
      <c r="AP31" s="266">
        <f t="shared" ca="1" si="3"/>
        <v>3495.5729166666688</v>
      </c>
      <c r="AQ31" s="267"/>
      <c r="AR31" s="268">
        <f t="shared" ca="1" si="4"/>
        <v>10440.017361111113</v>
      </c>
      <c r="AS31" s="269"/>
      <c r="AT31" s="87">
        <f t="shared" ca="1" si="10"/>
        <v>312500.00000000017</v>
      </c>
      <c r="AU31" s="75">
        <f t="shared" si="5"/>
        <v>10034.413862285801</v>
      </c>
    </row>
    <row r="32" spans="1:50" ht="13.8" customHeight="1" x14ac:dyDescent="0.3">
      <c r="A32" s="43"/>
      <c r="B32" s="228">
        <v>9</v>
      </c>
      <c r="C32" s="228"/>
      <c r="D32" s="205">
        <f t="shared" si="11"/>
        <v>5037.6691662902176</v>
      </c>
      <c r="E32" s="227">
        <f t="shared" si="12"/>
        <v>4996.7446959955842</v>
      </c>
      <c r="F32" s="227"/>
      <c r="G32" s="227">
        <f t="shared" si="13"/>
        <v>10034.413862285801</v>
      </c>
      <c r="H32" s="227"/>
      <c r="I32" s="202"/>
      <c r="J32" s="53"/>
      <c r="K32" s="54"/>
      <c r="L32" s="54"/>
      <c r="M32" s="54"/>
      <c r="N32" s="54"/>
      <c r="O32" s="125"/>
      <c r="Q32" s="126" t="s">
        <v>446</v>
      </c>
      <c r="R32" s="127" t="s">
        <v>477</v>
      </c>
      <c r="S32" s="188" t="s">
        <v>504</v>
      </c>
      <c r="T32" s="188" t="s">
        <v>491</v>
      </c>
      <c r="U32" s="187" t="s">
        <v>492</v>
      </c>
      <c r="V32" s="123"/>
      <c r="W32" s="124"/>
      <c r="AA32" s="196">
        <f t="shared" si="0"/>
        <v>10034.413862285803</v>
      </c>
      <c r="AB32" s="185">
        <f t="shared" ca="1" si="6"/>
        <v>46723</v>
      </c>
      <c r="AC32" s="264">
        <f t="shared" si="14"/>
        <v>29</v>
      </c>
      <c r="AD32" s="265"/>
      <c r="AE32" s="83">
        <f t="shared" si="7"/>
        <v>6248.1166999030011</v>
      </c>
      <c r="AF32" s="84"/>
      <c r="AG32" s="270">
        <f t="shared" si="8"/>
        <v>3786.2971623828021</v>
      </c>
      <c r="AH32" s="271"/>
      <c r="AI32" s="272">
        <f t="shared" si="9"/>
        <v>10034.413862285803</v>
      </c>
      <c r="AJ32" s="273"/>
      <c r="AK32" s="85">
        <f t="shared" ca="1" si="1"/>
        <v>46721</v>
      </c>
      <c r="AL32" s="264">
        <v>29</v>
      </c>
      <c r="AM32" s="265"/>
      <c r="AN32" s="86">
        <f t="shared" si="2"/>
        <v>6944.4444444444443</v>
      </c>
      <c r="AO32" s="87"/>
      <c r="AP32" s="266">
        <f t="shared" ca="1" si="3"/>
        <v>3307.638888888891</v>
      </c>
      <c r="AQ32" s="267"/>
      <c r="AR32" s="268">
        <f t="shared" ca="1" si="4"/>
        <v>10252.083333333336</v>
      </c>
      <c r="AS32" s="269"/>
      <c r="AT32" s="87">
        <f t="shared" ca="1" si="10"/>
        <v>305555.55555555574</v>
      </c>
      <c r="AU32" s="75">
        <f t="shared" si="5"/>
        <v>10034.413862285803</v>
      </c>
    </row>
    <row r="33" spans="1:50" ht="13.8" customHeight="1" x14ac:dyDescent="0.3">
      <c r="A33" s="43"/>
      <c r="B33" s="228">
        <v>10</v>
      </c>
      <c r="C33" s="228"/>
      <c r="D33" s="205">
        <f t="shared" si="11"/>
        <v>5092.2019350153087</v>
      </c>
      <c r="E33" s="227">
        <f t="shared" si="12"/>
        <v>4942.2119272704922</v>
      </c>
      <c r="F33" s="227"/>
      <c r="G33" s="227">
        <f t="shared" si="13"/>
        <v>10034.413862285801</v>
      </c>
      <c r="H33" s="227"/>
      <c r="I33" s="202"/>
      <c r="J33" s="53"/>
      <c r="K33" s="54"/>
      <c r="L33" s="54"/>
      <c r="M33" s="57"/>
      <c r="N33" s="54"/>
      <c r="O33" s="125"/>
      <c r="Q33" s="126" t="s">
        <v>447</v>
      </c>
      <c r="R33" s="146">
        <f>Калькулятор!N6</f>
        <v>12.99</v>
      </c>
      <c r="S33" s="189">
        <f>Калькулятор!G9</f>
        <v>9.9000000000000008E-3</v>
      </c>
      <c r="T33" s="190">
        <v>5.4899999999999997E-2</v>
      </c>
      <c r="U33" s="128">
        <v>750</v>
      </c>
      <c r="V33" s="123"/>
      <c r="W33" s="124"/>
      <c r="AA33" s="196">
        <f t="shared" si="0"/>
        <v>10034.413862285804</v>
      </c>
      <c r="AB33" s="185">
        <f t="shared" ca="1" si="6"/>
        <v>46754</v>
      </c>
      <c r="AC33" s="264">
        <f t="shared" si="14"/>
        <v>30</v>
      </c>
      <c r="AD33" s="265"/>
      <c r="AE33" s="83">
        <f t="shared" si="7"/>
        <v>6315.7525631794515</v>
      </c>
      <c r="AF33" s="84"/>
      <c r="AG33" s="270">
        <f t="shared" si="8"/>
        <v>3718.6612991063525</v>
      </c>
      <c r="AH33" s="271"/>
      <c r="AI33" s="272">
        <f t="shared" si="9"/>
        <v>10034.413862285804</v>
      </c>
      <c r="AJ33" s="273"/>
      <c r="AK33" s="85">
        <f t="shared" ca="1" si="1"/>
        <v>46752</v>
      </c>
      <c r="AL33" s="264">
        <v>30</v>
      </c>
      <c r="AM33" s="265"/>
      <c r="AN33" s="86">
        <f t="shared" si="2"/>
        <v>6944.4444444444443</v>
      </c>
      <c r="AO33" s="87"/>
      <c r="AP33" s="266">
        <f t="shared" ca="1" si="3"/>
        <v>3340.2141203703727</v>
      </c>
      <c r="AQ33" s="267"/>
      <c r="AR33" s="268">
        <f t="shared" ca="1" si="4"/>
        <v>10284.658564814818</v>
      </c>
      <c r="AS33" s="269"/>
      <c r="AT33" s="87">
        <f t="shared" ca="1" si="10"/>
        <v>298611.1111111113</v>
      </c>
      <c r="AU33" s="75">
        <f t="shared" si="5"/>
        <v>10034.413862285804</v>
      </c>
    </row>
    <row r="34" spans="1:50" ht="13.8" customHeight="1" x14ac:dyDescent="0.3">
      <c r="A34" s="43"/>
      <c r="B34" s="228">
        <v>11</v>
      </c>
      <c r="C34" s="228"/>
      <c r="D34" s="205">
        <f t="shared" si="11"/>
        <v>5147.32502096185</v>
      </c>
      <c r="E34" s="227">
        <f t="shared" si="12"/>
        <v>4887.0888413239509</v>
      </c>
      <c r="F34" s="227"/>
      <c r="G34" s="227">
        <f t="shared" si="13"/>
        <v>10034.413862285801</v>
      </c>
      <c r="H34" s="227"/>
      <c r="I34" s="202"/>
      <c r="J34" s="53"/>
      <c r="K34" s="54"/>
      <c r="L34" s="54"/>
      <c r="M34" s="54"/>
      <c r="N34" s="54"/>
      <c r="O34" s="125"/>
      <c r="R34" s="129"/>
      <c r="T34" s="123"/>
      <c r="U34" s="123"/>
      <c r="V34" s="123"/>
      <c r="W34" s="124"/>
      <c r="AA34" s="196">
        <f t="shared" si="0"/>
        <v>10034.413862285803</v>
      </c>
      <c r="AB34" s="185">
        <f t="shared" ca="1" si="6"/>
        <v>46785</v>
      </c>
      <c r="AC34" s="264">
        <f t="shared" si="14"/>
        <v>31</v>
      </c>
      <c r="AD34" s="265"/>
      <c r="AE34" s="83">
        <f t="shared" si="7"/>
        <v>6384.1205846758676</v>
      </c>
      <c r="AF34" s="84"/>
      <c r="AG34" s="270">
        <f t="shared" si="8"/>
        <v>3650.2932776099346</v>
      </c>
      <c r="AH34" s="271"/>
      <c r="AI34" s="272">
        <f t="shared" si="9"/>
        <v>10034.413862285803</v>
      </c>
      <c r="AJ34" s="273"/>
      <c r="AK34" s="85">
        <f t="shared" ca="1" si="1"/>
        <v>46783</v>
      </c>
      <c r="AL34" s="264">
        <v>31</v>
      </c>
      <c r="AM34" s="265"/>
      <c r="AN34" s="86">
        <f t="shared" si="2"/>
        <v>6944.4444444444443</v>
      </c>
      <c r="AO34" s="87"/>
      <c r="AP34" s="266">
        <f t="shared" ca="1" si="3"/>
        <v>3262.5347222222249</v>
      </c>
      <c r="AQ34" s="267"/>
      <c r="AR34" s="268">
        <f t="shared" ca="1" si="4"/>
        <v>10206.97916666667</v>
      </c>
      <c r="AS34" s="269"/>
      <c r="AT34" s="87">
        <f t="shared" ca="1" si="10"/>
        <v>291666.66666666686</v>
      </c>
      <c r="AU34" s="75">
        <f t="shared" si="5"/>
        <v>10034.413862285803</v>
      </c>
    </row>
    <row r="35" spans="1:50" ht="13.8" customHeight="1" x14ac:dyDescent="0.3">
      <c r="A35" s="43"/>
      <c r="B35" s="228">
        <v>12</v>
      </c>
      <c r="C35" s="228"/>
      <c r="D35" s="205">
        <f t="shared" si="11"/>
        <v>5203.0448143137619</v>
      </c>
      <c r="E35" s="227">
        <f t="shared" si="12"/>
        <v>4831.3690479720399</v>
      </c>
      <c r="F35" s="227"/>
      <c r="G35" s="227">
        <f t="shared" si="13"/>
        <v>10034.413862285801</v>
      </c>
      <c r="H35" s="227"/>
      <c r="I35" s="202"/>
      <c r="J35" s="53"/>
      <c r="K35" s="56"/>
      <c r="L35" s="56"/>
      <c r="M35" s="54"/>
      <c r="N35" s="54"/>
      <c r="O35" s="125"/>
      <c r="Q35" s="192" t="s">
        <v>502</v>
      </c>
      <c r="R35" s="193">
        <f>MAX(AI4:AJ87)</f>
        <v>10034.413862285804</v>
      </c>
      <c r="S35" s="63"/>
      <c r="T35" s="123"/>
      <c r="V35" s="123"/>
      <c r="W35" s="124"/>
      <c r="AA35" s="196">
        <f t="shared" si="0"/>
        <v>10034.413862285804</v>
      </c>
      <c r="AB35" s="185">
        <f t="shared" ca="1" si="6"/>
        <v>46814</v>
      </c>
      <c r="AC35" s="264">
        <f t="shared" si="14"/>
        <v>32</v>
      </c>
      <c r="AD35" s="265"/>
      <c r="AE35" s="83">
        <f t="shared" si="7"/>
        <v>6453.2286900049849</v>
      </c>
      <c r="AF35" s="84"/>
      <c r="AG35" s="270">
        <f t="shared" si="8"/>
        <v>3581.1851722808187</v>
      </c>
      <c r="AH35" s="271"/>
      <c r="AI35" s="272">
        <f t="shared" si="9"/>
        <v>10034.413862285804</v>
      </c>
      <c r="AJ35" s="273"/>
      <c r="AK35" s="85">
        <f t="shared" ca="1" si="1"/>
        <v>46812</v>
      </c>
      <c r="AL35" s="264">
        <v>32</v>
      </c>
      <c r="AM35" s="265"/>
      <c r="AN35" s="86">
        <f t="shared" si="2"/>
        <v>6944.4444444444443</v>
      </c>
      <c r="AO35" s="87"/>
      <c r="AP35" s="266">
        <f t="shared" ca="1" si="3"/>
        <v>2979.3807870370392</v>
      </c>
      <c r="AQ35" s="267"/>
      <c r="AR35" s="268">
        <f t="shared" ca="1" si="4"/>
        <v>9923.8252314814836</v>
      </c>
      <c r="AS35" s="269"/>
      <c r="AT35" s="87">
        <f t="shared" ca="1" si="10"/>
        <v>284722.22222222242</v>
      </c>
      <c r="AU35" s="75">
        <f t="shared" si="5"/>
        <v>10034.413862285804</v>
      </c>
    </row>
    <row r="36" spans="1:50" ht="13.8" customHeight="1" x14ac:dyDescent="0.3">
      <c r="A36" s="43"/>
      <c r="B36" s="228">
        <f>IF(E12=12,"Всього:",IF(B35&lt;$E$12,B35+1,""))</f>
        <v>13</v>
      </c>
      <c r="C36" s="228"/>
      <c r="D36" s="205">
        <f>IF(E12=12,SUM(D24:D35),IF(B35&lt;$E$12,AE16,""))</f>
        <v>5259.3677744287097</v>
      </c>
      <c r="E36" s="227">
        <f>IF(E12=12,SUM(E24:F35),IF(B35&lt;$E$12,AG16,""))</f>
        <v>4775.0460878570939</v>
      </c>
      <c r="F36" s="227"/>
      <c r="G36" s="227">
        <f>IF(E12=12,SUM(G24:H35),IF(B35&lt;$E$12,AI16,""))</f>
        <v>10034.413862285804</v>
      </c>
      <c r="H36" s="227"/>
      <c r="I36" s="202"/>
      <c r="J36" s="53"/>
      <c r="K36" s="56"/>
      <c r="L36" s="56"/>
      <c r="M36" s="54"/>
      <c r="N36" s="54"/>
      <c r="O36" s="125"/>
      <c r="Q36" s="12" t="s">
        <v>403</v>
      </c>
      <c r="R36" s="92">
        <f>Калькулятор!N40</f>
        <v>0</v>
      </c>
      <c r="S36" s="63"/>
      <c r="T36" s="123"/>
      <c r="U36" s="123"/>
      <c r="V36" s="123"/>
      <c r="W36" s="124"/>
      <c r="AA36" s="196">
        <f t="shared" si="0"/>
        <v>10034.413862285803</v>
      </c>
      <c r="AB36" s="185">
        <f t="shared" ca="1" si="6"/>
        <v>46845</v>
      </c>
      <c r="AC36" s="264">
        <f t="shared" si="14"/>
        <v>33</v>
      </c>
      <c r="AD36" s="265"/>
      <c r="AE36" s="83">
        <f t="shared" si="7"/>
        <v>6523.0848905742878</v>
      </c>
      <c r="AF36" s="84"/>
      <c r="AG36" s="270">
        <f t="shared" si="8"/>
        <v>3511.3289717115144</v>
      </c>
      <c r="AH36" s="271"/>
      <c r="AI36" s="272">
        <f t="shared" si="9"/>
        <v>10034.413862285803</v>
      </c>
      <c r="AJ36" s="273"/>
      <c r="AK36" s="85">
        <f t="shared" ca="1" si="1"/>
        <v>46843</v>
      </c>
      <c r="AL36" s="264">
        <v>33</v>
      </c>
      <c r="AM36" s="265"/>
      <c r="AN36" s="86">
        <f t="shared" si="2"/>
        <v>6944.4444444444443</v>
      </c>
      <c r="AO36" s="87"/>
      <c r="AP36" s="266">
        <f t="shared" ca="1" si="3"/>
        <v>3107.1759259259288</v>
      </c>
      <c r="AQ36" s="267"/>
      <c r="AR36" s="268">
        <f t="shared" ca="1" si="4"/>
        <v>10051.620370370372</v>
      </c>
      <c r="AS36" s="269"/>
      <c r="AT36" s="87">
        <f t="shared" ca="1" si="10"/>
        <v>277777.77777777798</v>
      </c>
      <c r="AU36" s="75">
        <f t="shared" si="5"/>
        <v>10034.413862285803</v>
      </c>
    </row>
    <row r="37" spans="1:50" ht="13.8" customHeight="1" x14ac:dyDescent="0.3">
      <c r="A37" s="43"/>
      <c r="B37" s="228">
        <f t="shared" ref="B37:B100" si="15">IF(B36&lt;$E$12,B36+1,"")</f>
        <v>14</v>
      </c>
      <c r="C37" s="228"/>
      <c r="D37" s="205">
        <f t="shared" ref="D37:D47" si="16">IF(B36&lt;$E$12,AE17,"")</f>
        <v>5316.3004305868999</v>
      </c>
      <c r="E37" s="227">
        <f t="shared" ref="E37:E47" si="17">IF(B36&lt;$E$12,AG17,"")</f>
        <v>4718.1134316989028</v>
      </c>
      <c r="F37" s="227"/>
      <c r="G37" s="227">
        <f t="shared" ref="G37:G47" si="18">IF(B36&lt;$E$12,AI17,"")</f>
        <v>10034.413862285803</v>
      </c>
      <c r="H37" s="227"/>
      <c r="I37" s="202"/>
      <c r="J37" s="53"/>
      <c r="K37" s="56"/>
      <c r="L37" s="56"/>
      <c r="M37" s="54"/>
      <c r="N37" s="54"/>
      <c r="O37" s="125"/>
      <c r="Q37" s="192" t="s">
        <v>505</v>
      </c>
      <c r="R37" s="192">
        <f>N2*S33</f>
        <v>4950</v>
      </c>
      <c r="S37" s="63"/>
      <c r="AA37" s="196">
        <f t="shared" si="0"/>
        <v>10034.413862285803</v>
      </c>
      <c r="AB37" s="185">
        <f t="shared" ca="1" si="6"/>
        <v>46875</v>
      </c>
      <c r="AC37" s="264">
        <f t="shared" si="14"/>
        <v>34</v>
      </c>
      <c r="AD37" s="265"/>
      <c r="AE37" s="83">
        <f t="shared" si="7"/>
        <v>6593.6972845147548</v>
      </c>
      <c r="AF37" s="84"/>
      <c r="AG37" s="270">
        <f t="shared" si="8"/>
        <v>3440.7165777710479</v>
      </c>
      <c r="AH37" s="271"/>
      <c r="AI37" s="272">
        <f t="shared" si="9"/>
        <v>10034.413862285803</v>
      </c>
      <c r="AJ37" s="273"/>
      <c r="AK37" s="85">
        <f t="shared" ca="1" si="1"/>
        <v>46873</v>
      </c>
      <c r="AL37" s="264">
        <v>34</v>
      </c>
      <c r="AM37" s="265"/>
      <c r="AN37" s="86">
        <f t="shared" si="2"/>
        <v>6944.4444444444443</v>
      </c>
      <c r="AO37" s="87"/>
      <c r="AP37" s="266">
        <f t="shared" ca="1" si="3"/>
        <v>2931.7708333333358</v>
      </c>
      <c r="AQ37" s="267"/>
      <c r="AR37" s="268">
        <f t="shared" ca="1" si="4"/>
        <v>9876.215277777781</v>
      </c>
      <c r="AS37" s="269"/>
      <c r="AT37" s="87">
        <f t="shared" ca="1" si="10"/>
        <v>270833.33333333355</v>
      </c>
      <c r="AU37" s="75">
        <f t="shared" si="5"/>
        <v>10034.413862285803</v>
      </c>
    </row>
    <row r="38" spans="1:50" ht="13.8" customHeight="1" x14ac:dyDescent="0.3">
      <c r="A38" s="43"/>
      <c r="B38" s="228">
        <f t="shared" si="15"/>
        <v>15</v>
      </c>
      <c r="C38" s="228"/>
      <c r="D38" s="205">
        <f t="shared" si="16"/>
        <v>5373.8493827480024</v>
      </c>
      <c r="E38" s="227">
        <f t="shared" si="17"/>
        <v>4660.5644795377993</v>
      </c>
      <c r="F38" s="227"/>
      <c r="G38" s="227">
        <f t="shared" si="18"/>
        <v>10034.413862285801</v>
      </c>
      <c r="H38" s="227"/>
      <c r="I38" s="202"/>
      <c r="J38" s="53"/>
      <c r="K38" s="56"/>
      <c r="L38" s="56"/>
      <c r="M38" s="54"/>
      <c r="N38" s="54"/>
      <c r="O38" s="125"/>
      <c r="Q38" s="192" t="s">
        <v>405</v>
      </c>
      <c r="R38" s="192">
        <f>E4*T33</f>
        <v>54900</v>
      </c>
      <c r="S38" s="63"/>
      <c r="T38" s="131"/>
      <c r="U38" s="132"/>
      <c r="V38" s="133"/>
      <c r="W38" s="133"/>
      <c r="X38" s="133"/>
      <c r="Y38" s="133"/>
      <c r="AA38" s="196">
        <f t="shared" si="0"/>
        <v>10034.413862285801</v>
      </c>
      <c r="AB38" s="185">
        <f t="shared" ca="1" si="6"/>
        <v>46906</v>
      </c>
      <c r="AC38" s="264">
        <f t="shared" si="14"/>
        <v>35</v>
      </c>
      <c r="AD38" s="265"/>
      <c r="AE38" s="83">
        <f t="shared" si="7"/>
        <v>6665.0740576196258</v>
      </c>
      <c r="AF38" s="84"/>
      <c r="AG38" s="270">
        <f t="shared" si="8"/>
        <v>3369.339804666175</v>
      </c>
      <c r="AH38" s="271"/>
      <c r="AI38" s="272">
        <f t="shared" si="9"/>
        <v>10034.413862285801</v>
      </c>
      <c r="AJ38" s="273"/>
      <c r="AK38" s="85">
        <f t="shared" ca="1" si="1"/>
        <v>46904</v>
      </c>
      <c r="AL38" s="264">
        <v>35</v>
      </c>
      <c r="AM38" s="265"/>
      <c r="AN38" s="86">
        <f t="shared" si="2"/>
        <v>6944.4444444444443</v>
      </c>
      <c r="AO38" s="87"/>
      <c r="AP38" s="266">
        <f t="shared" ca="1" si="3"/>
        <v>2951.8171296296323</v>
      </c>
      <c r="AQ38" s="267"/>
      <c r="AR38" s="268">
        <f t="shared" ca="1" si="4"/>
        <v>9896.2615740740766</v>
      </c>
      <c r="AS38" s="269"/>
      <c r="AT38" s="87">
        <f t="shared" ca="1" si="10"/>
        <v>263888.88888888911</v>
      </c>
      <c r="AU38" s="75">
        <f t="shared" si="5"/>
        <v>10034.413862285801</v>
      </c>
    </row>
    <row r="39" spans="1:50" ht="13.8" customHeight="1" thickBot="1" x14ac:dyDescent="0.35">
      <c r="A39" s="43"/>
      <c r="B39" s="228">
        <f t="shared" si="15"/>
        <v>16</v>
      </c>
      <c r="C39" s="228"/>
      <c r="D39" s="205">
        <f t="shared" si="16"/>
        <v>5432.0213023162496</v>
      </c>
      <c r="E39" s="227">
        <f t="shared" si="17"/>
        <v>4602.3925599695522</v>
      </c>
      <c r="F39" s="227"/>
      <c r="G39" s="227">
        <f t="shared" si="18"/>
        <v>10034.413862285801</v>
      </c>
      <c r="H39" s="227"/>
      <c r="I39" s="202"/>
      <c r="J39" s="53"/>
      <c r="K39" s="55"/>
      <c r="L39" s="56"/>
      <c r="M39" s="54"/>
      <c r="N39" s="54"/>
      <c r="O39" s="125"/>
      <c r="Q39" s="92" t="s">
        <v>406</v>
      </c>
      <c r="R39" s="194">
        <f>IF(E6="Ні",IF(E4/1.2&lt;=165*$S$28,E4/1.2*3%,IF(E4/1.2&lt;=290*$S$28,E4/1.2*4%,E4/1.2*5%)),0)</f>
        <v>33333.333333333336</v>
      </c>
      <c r="T39" s="131"/>
      <c r="U39" s="132"/>
      <c r="V39" s="132"/>
      <c r="W39" s="132"/>
      <c r="X39" s="132"/>
      <c r="Y39" s="132"/>
      <c r="AA39" s="196">
        <f>IFERROR(AI39+Z40,"-")</f>
        <v>50056.513862285807</v>
      </c>
      <c r="AB39" s="185">
        <f t="shared" ca="1" si="6"/>
        <v>46936</v>
      </c>
      <c r="AC39" s="264">
        <f t="shared" si="14"/>
        <v>36</v>
      </c>
      <c r="AD39" s="265"/>
      <c r="AE39" s="83">
        <f t="shared" si="7"/>
        <v>6737.2234842933594</v>
      </c>
      <c r="AF39" s="84"/>
      <c r="AG39" s="270">
        <f t="shared" si="8"/>
        <v>3297.1903779924428</v>
      </c>
      <c r="AH39" s="271"/>
      <c r="AI39" s="272">
        <f t="shared" si="9"/>
        <v>10034.413862285803</v>
      </c>
      <c r="AJ39" s="273"/>
      <c r="AK39" s="85">
        <f t="shared" ca="1" si="1"/>
        <v>46934</v>
      </c>
      <c r="AL39" s="264">
        <v>36</v>
      </c>
      <c r="AM39" s="265"/>
      <c r="AN39" s="86">
        <f t="shared" si="2"/>
        <v>6944.4444444444443</v>
      </c>
      <c r="AO39" s="87"/>
      <c r="AP39" s="266">
        <f t="shared" ca="1" si="3"/>
        <v>2781.4236111111136</v>
      </c>
      <c r="AQ39" s="267"/>
      <c r="AR39" s="268">
        <f t="shared" ca="1" si="4"/>
        <v>9725.8680555555584</v>
      </c>
      <c r="AS39" s="269"/>
      <c r="AT39" s="87">
        <f t="shared" ca="1" si="10"/>
        <v>256944.44444444467</v>
      </c>
      <c r="AU39" s="75">
        <f t="shared" si="5"/>
        <v>10034.413862285803</v>
      </c>
    </row>
    <row r="40" spans="1:50" ht="13.8" customHeight="1" x14ac:dyDescent="0.3">
      <c r="A40" s="43"/>
      <c r="B40" s="228">
        <f t="shared" si="15"/>
        <v>17</v>
      </c>
      <c r="C40" s="228"/>
      <c r="D40" s="205">
        <f t="shared" si="16"/>
        <v>5490.822932913823</v>
      </c>
      <c r="E40" s="227">
        <f t="shared" si="17"/>
        <v>4543.5909293719797</v>
      </c>
      <c r="F40" s="227"/>
      <c r="G40" s="227">
        <f t="shared" si="18"/>
        <v>10034.413862285803</v>
      </c>
      <c r="H40" s="227"/>
      <c r="I40" s="202"/>
      <c r="J40" s="53"/>
      <c r="K40" s="134" t="s">
        <v>451</v>
      </c>
      <c r="L40" s="56"/>
      <c r="M40" s="54"/>
      <c r="N40" s="54"/>
      <c r="O40" s="125"/>
      <c r="Q40" s="92" t="s">
        <v>471</v>
      </c>
      <c r="R40" s="92">
        <f>Калькулятор!N43+Калькулятор!N37</f>
        <v>0</v>
      </c>
      <c r="T40" s="135"/>
      <c r="U40" s="135"/>
      <c r="V40" s="135"/>
      <c r="W40" s="135"/>
      <c r="X40" s="135"/>
      <c r="Y40" s="135"/>
      <c r="Z40" s="116">
        <f>IF($V$26&gt;AC40,$E$4*0.9*0.9*0.9*5.49%,0)</f>
        <v>40022.100000000006</v>
      </c>
      <c r="AA40" s="196">
        <f t="shared" si="0"/>
        <v>10034.413862285803</v>
      </c>
      <c r="AB40" s="185">
        <f t="shared" ca="1" si="6"/>
        <v>46967</v>
      </c>
      <c r="AC40" s="264">
        <f t="shared" si="14"/>
        <v>37</v>
      </c>
      <c r="AD40" s="265"/>
      <c r="AE40" s="83">
        <f t="shared" si="7"/>
        <v>6810.1539285108347</v>
      </c>
      <c r="AF40" s="84"/>
      <c r="AG40" s="270">
        <f t="shared" si="8"/>
        <v>3224.2599337749675</v>
      </c>
      <c r="AH40" s="271"/>
      <c r="AI40" s="272">
        <f t="shared" si="9"/>
        <v>10034.413862285803</v>
      </c>
      <c r="AJ40" s="273"/>
      <c r="AK40" s="85">
        <f t="shared" ca="1" si="1"/>
        <v>46965</v>
      </c>
      <c r="AL40" s="264">
        <v>37</v>
      </c>
      <c r="AM40" s="265"/>
      <c r="AN40" s="86">
        <f t="shared" si="2"/>
        <v>6944.4444444444443</v>
      </c>
      <c r="AO40" s="87"/>
      <c r="AP40" s="266">
        <f t="shared" ca="1" si="3"/>
        <v>2796.4583333333362</v>
      </c>
      <c r="AQ40" s="267"/>
      <c r="AR40" s="268">
        <f t="shared" ca="1" si="4"/>
        <v>9740.902777777781</v>
      </c>
      <c r="AS40" s="269"/>
      <c r="AT40" s="87">
        <f t="shared" ca="1" si="10"/>
        <v>250000.00000000023</v>
      </c>
      <c r="AU40" s="75" t="e">
        <f>AI40+AW40+AX40</f>
        <v>#REF!</v>
      </c>
      <c r="AW40" s="63">
        <f>IF($E$12&gt;$R$4,$E$4*0.9*0.9*0.9*5.5%,"")</f>
        <v>40095</v>
      </c>
      <c r="AX40" s="63" t="e">
        <f>IF(#REF!=0,0,IF($E$12&gt;$R$4,(AE90-SUM(AE4:AE39))*0.0299,""))</f>
        <v>#REF!</v>
      </c>
    </row>
    <row r="41" spans="1:50" ht="13.8" customHeight="1" thickBot="1" x14ac:dyDescent="0.35">
      <c r="A41" s="43"/>
      <c r="B41" s="228">
        <f t="shared" si="15"/>
        <v>18</v>
      </c>
      <c r="C41" s="228"/>
      <c r="D41" s="205">
        <f t="shared" si="16"/>
        <v>5550.2610911626152</v>
      </c>
      <c r="E41" s="227">
        <f t="shared" si="17"/>
        <v>4484.1527711231874</v>
      </c>
      <c r="F41" s="227"/>
      <c r="G41" s="227">
        <f t="shared" si="18"/>
        <v>10034.413862285803</v>
      </c>
      <c r="H41" s="227"/>
      <c r="I41" s="202"/>
      <c r="J41" s="53"/>
      <c r="K41" s="136"/>
      <c r="L41" s="56"/>
      <c r="M41" s="54"/>
      <c r="N41" s="54"/>
      <c r="O41" s="125"/>
      <c r="Q41" s="192" t="s">
        <v>503</v>
      </c>
      <c r="R41" s="197">
        <f ca="1">IF(V26=12,XIRR(AA3:AA15,AB3:AB15),IF(V26=24,XIRR(AA3:AA27,AB3:AB27),IF(V26=36,XIRR(AA3:AA39,AB3:AB39),IF(V26=48,XIRR(AA3:AA51,AB3:AB51),IF(V26=60,XIRR(AA3:AA63,AB3:AB63),IF(V26=72,XIRR(AA3:AA75,AB3:AB75),IF(V26=84,XIRR(AA3:AA87,AB3:AB87))))))))</f>
        <v>0.37858796715736398</v>
      </c>
      <c r="S41" s="74"/>
      <c r="T41" s="74"/>
      <c r="U41" s="74"/>
      <c r="V41" s="74"/>
      <c r="W41" s="74"/>
      <c r="X41" s="74"/>
      <c r="Y41" s="74"/>
      <c r="AA41" s="196">
        <f t="shared" si="0"/>
        <v>10034.413862285803</v>
      </c>
      <c r="AB41" s="185">
        <f t="shared" ca="1" si="6"/>
        <v>46998</v>
      </c>
      <c r="AC41" s="264">
        <f t="shared" si="14"/>
        <v>38</v>
      </c>
      <c r="AD41" s="265"/>
      <c r="AE41" s="83">
        <f t="shared" si="7"/>
        <v>6883.8738447869646</v>
      </c>
      <c r="AF41" s="84"/>
      <c r="AG41" s="270">
        <f t="shared" si="8"/>
        <v>3150.5400174988381</v>
      </c>
      <c r="AH41" s="271"/>
      <c r="AI41" s="272">
        <f t="shared" si="9"/>
        <v>10034.413862285803</v>
      </c>
      <c r="AJ41" s="273"/>
      <c r="AK41" s="85">
        <f t="shared" ca="1" si="1"/>
        <v>46996</v>
      </c>
      <c r="AL41" s="264">
        <v>38</v>
      </c>
      <c r="AM41" s="265"/>
      <c r="AN41" s="86">
        <f t="shared" si="2"/>
        <v>6944.4444444444443</v>
      </c>
      <c r="AO41" s="87"/>
      <c r="AP41" s="266">
        <f t="shared" ca="1" si="3"/>
        <v>2718.7789351851875</v>
      </c>
      <c r="AQ41" s="267"/>
      <c r="AR41" s="268">
        <f t="shared" ca="1" si="4"/>
        <v>9663.2233796296314</v>
      </c>
      <c r="AS41" s="269"/>
      <c r="AT41" s="87">
        <f t="shared" ca="1" si="10"/>
        <v>243055.55555555579</v>
      </c>
      <c r="AU41" s="75">
        <f t="shared" si="5"/>
        <v>10034.413862285803</v>
      </c>
    </row>
    <row r="42" spans="1:50" ht="13.8" customHeight="1" x14ac:dyDescent="0.3">
      <c r="A42" s="43"/>
      <c r="B42" s="228">
        <f t="shared" si="15"/>
        <v>19</v>
      </c>
      <c r="C42" s="228"/>
      <c r="D42" s="205">
        <f t="shared" si="16"/>
        <v>5610.3426674744505</v>
      </c>
      <c r="E42" s="227">
        <f t="shared" si="17"/>
        <v>4424.0711948113521</v>
      </c>
      <c r="F42" s="227"/>
      <c r="G42" s="227">
        <f t="shared" si="18"/>
        <v>10034.413862285803</v>
      </c>
      <c r="H42" s="227"/>
      <c r="I42" s="202"/>
      <c r="J42" s="53"/>
      <c r="K42" s="55"/>
      <c r="L42" s="56"/>
      <c r="M42" s="54"/>
      <c r="N42" s="54"/>
      <c r="O42" s="125"/>
      <c r="R42" s="63"/>
      <c r="S42" s="74"/>
      <c r="T42" s="74"/>
      <c r="U42" s="74"/>
      <c r="V42" s="74"/>
      <c r="W42" s="74"/>
      <c r="X42" s="74"/>
      <c r="Y42" s="74"/>
      <c r="AA42" s="196">
        <f t="shared" si="0"/>
        <v>10034.413862285801</v>
      </c>
      <c r="AB42" s="185">
        <f t="shared" ca="1" si="6"/>
        <v>47028</v>
      </c>
      <c r="AC42" s="264">
        <f t="shared" si="14"/>
        <v>39</v>
      </c>
      <c r="AD42" s="265"/>
      <c r="AE42" s="83">
        <f t="shared" si="7"/>
        <v>6958.3917791567819</v>
      </c>
      <c r="AF42" s="84"/>
      <c r="AG42" s="270">
        <f t="shared" si="8"/>
        <v>3076.0220831290185</v>
      </c>
      <c r="AH42" s="271"/>
      <c r="AI42" s="272">
        <f t="shared" si="9"/>
        <v>10034.413862285801</v>
      </c>
      <c r="AJ42" s="273"/>
      <c r="AK42" s="85">
        <f t="shared" ca="1" si="1"/>
        <v>47026</v>
      </c>
      <c r="AL42" s="264">
        <v>39</v>
      </c>
      <c r="AM42" s="265"/>
      <c r="AN42" s="86">
        <f t="shared" si="2"/>
        <v>6944.4444444444443</v>
      </c>
      <c r="AO42" s="87"/>
      <c r="AP42" s="266">
        <f t="shared" ca="1" si="3"/>
        <v>2555.9027777777806</v>
      </c>
      <c r="AQ42" s="267"/>
      <c r="AR42" s="268">
        <f t="shared" ca="1" si="4"/>
        <v>9500.3472222222244</v>
      </c>
      <c r="AS42" s="269"/>
      <c r="AT42" s="87">
        <f t="shared" ca="1" si="10"/>
        <v>236111.11111111136</v>
      </c>
      <c r="AU42" s="75">
        <f t="shared" si="5"/>
        <v>10034.413862285801</v>
      </c>
    </row>
    <row r="43" spans="1:50" ht="13.8" customHeight="1" x14ac:dyDescent="0.3">
      <c r="A43" s="43"/>
      <c r="B43" s="228">
        <f t="shared" si="15"/>
        <v>20</v>
      </c>
      <c r="C43" s="228"/>
      <c r="D43" s="205">
        <f t="shared" si="16"/>
        <v>5671.0746268498615</v>
      </c>
      <c r="E43" s="227">
        <f t="shared" si="17"/>
        <v>4363.3392354359403</v>
      </c>
      <c r="F43" s="227"/>
      <c r="G43" s="227">
        <f t="shared" si="18"/>
        <v>10034.413862285801</v>
      </c>
      <c r="H43" s="227"/>
      <c r="I43" s="202"/>
      <c r="J43" s="53"/>
      <c r="K43" s="55"/>
      <c r="L43" s="56"/>
      <c r="M43" s="54"/>
      <c r="N43" s="54"/>
      <c r="O43" s="137"/>
      <c r="S43" s="74"/>
      <c r="T43" s="74"/>
      <c r="U43" s="74"/>
      <c r="V43" s="74"/>
      <c r="W43" s="74"/>
      <c r="X43" s="74"/>
      <c r="Y43" s="74"/>
      <c r="AA43" s="196">
        <f t="shared" si="0"/>
        <v>10034.413862285804</v>
      </c>
      <c r="AB43" s="185">
        <f t="shared" ca="1" si="6"/>
        <v>47059</v>
      </c>
      <c r="AC43" s="264">
        <f>AC42+1</f>
        <v>40</v>
      </c>
      <c r="AD43" s="265"/>
      <c r="AE43" s="83">
        <f t="shared" si="7"/>
        <v>7033.7163701661566</v>
      </c>
      <c r="AF43" s="84"/>
      <c r="AG43" s="270">
        <f t="shared" si="8"/>
        <v>3000.697492119647</v>
      </c>
      <c r="AH43" s="271"/>
      <c r="AI43" s="272">
        <f t="shared" si="9"/>
        <v>10034.413862285804</v>
      </c>
      <c r="AJ43" s="273"/>
      <c r="AK43" s="85">
        <f t="shared" ca="1" si="1"/>
        <v>47057</v>
      </c>
      <c r="AL43" s="264">
        <v>40</v>
      </c>
      <c r="AM43" s="265"/>
      <c r="AN43" s="86">
        <f t="shared" si="2"/>
        <v>6944.4444444444443</v>
      </c>
      <c r="AO43" s="87"/>
      <c r="AP43" s="266">
        <f t="shared" ca="1" si="3"/>
        <v>2563.4201388888919</v>
      </c>
      <c r="AQ43" s="267"/>
      <c r="AR43" s="268">
        <f t="shared" ca="1" si="4"/>
        <v>9507.8645833333358</v>
      </c>
      <c r="AS43" s="269"/>
      <c r="AT43" s="87">
        <f t="shared" ca="1" si="10"/>
        <v>229166.66666666692</v>
      </c>
      <c r="AU43" s="75">
        <f t="shared" si="5"/>
        <v>10034.413862285804</v>
      </c>
    </row>
    <row r="44" spans="1:50" ht="13.8" customHeight="1" x14ac:dyDescent="0.3">
      <c r="A44" s="43"/>
      <c r="B44" s="228">
        <f t="shared" si="15"/>
        <v>21</v>
      </c>
      <c r="C44" s="228"/>
      <c r="D44" s="205">
        <f t="shared" si="16"/>
        <v>5732.464009685511</v>
      </c>
      <c r="E44" s="227">
        <f t="shared" si="17"/>
        <v>4301.9498526002908</v>
      </c>
      <c r="F44" s="227"/>
      <c r="G44" s="227">
        <f t="shared" si="18"/>
        <v>10034.413862285801</v>
      </c>
      <c r="H44" s="227"/>
      <c r="I44" s="202"/>
      <c r="J44" s="53"/>
      <c r="K44" s="55"/>
      <c r="L44" s="56"/>
      <c r="M44" s="54"/>
      <c r="N44" s="54"/>
      <c r="O44" s="137"/>
      <c r="S44" s="74"/>
      <c r="T44" s="74"/>
      <c r="U44" s="74"/>
      <c r="V44" s="74"/>
      <c r="W44" s="74"/>
      <c r="X44" s="74"/>
      <c r="Y44" s="74"/>
      <c r="AA44" s="196">
        <f t="shared" si="0"/>
        <v>10034.413862285801</v>
      </c>
      <c r="AB44" s="185">
        <f t="shared" ca="1" si="6"/>
        <v>47089</v>
      </c>
      <c r="AC44" s="264">
        <f t="shared" si="14"/>
        <v>41</v>
      </c>
      <c r="AD44" s="265"/>
      <c r="AE44" s="83">
        <f t="shared" si="7"/>
        <v>7109.8563498732037</v>
      </c>
      <c r="AF44" s="84"/>
      <c r="AG44" s="270">
        <f t="shared" si="8"/>
        <v>2924.557512412598</v>
      </c>
      <c r="AH44" s="271"/>
      <c r="AI44" s="272">
        <f t="shared" si="9"/>
        <v>10034.413862285801</v>
      </c>
      <c r="AJ44" s="273"/>
      <c r="AK44" s="85">
        <f t="shared" ca="1" si="1"/>
        <v>47087</v>
      </c>
      <c r="AL44" s="264">
        <v>41</v>
      </c>
      <c r="AM44" s="265"/>
      <c r="AN44" s="86">
        <f t="shared" si="2"/>
        <v>6944.4444444444443</v>
      </c>
      <c r="AO44" s="87"/>
      <c r="AP44" s="266">
        <f t="shared" ca="1" si="3"/>
        <v>2405.5555555555584</v>
      </c>
      <c r="AQ44" s="267"/>
      <c r="AR44" s="268">
        <f t="shared" ca="1" si="4"/>
        <v>9350.0000000000036</v>
      </c>
      <c r="AS44" s="269"/>
      <c r="AT44" s="87">
        <f t="shared" ca="1" si="10"/>
        <v>222222.22222222248</v>
      </c>
      <c r="AU44" s="75">
        <f t="shared" si="5"/>
        <v>10034.413862285801</v>
      </c>
    </row>
    <row r="45" spans="1:50" ht="13.8" customHeight="1" x14ac:dyDescent="0.3">
      <c r="A45" s="43"/>
      <c r="B45" s="228">
        <f t="shared" si="15"/>
        <v>22</v>
      </c>
      <c r="C45" s="228"/>
      <c r="D45" s="205">
        <f t="shared" si="16"/>
        <v>5794.5179325903573</v>
      </c>
      <c r="E45" s="227">
        <f t="shared" si="17"/>
        <v>4239.8959296954463</v>
      </c>
      <c r="F45" s="227"/>
      <c r="G45" s="227">
        <f t="shared" si="18"/>
        <v>10034.413862285804</v>
      </c>
      <c r="H45" s="227"/>
      <c r="I45" s="202"/>
      <c r="J45" s="53"/>
      <c r="K45" s="55"/>
      <c r="L45" s="56"/>
      <c r="M45" s="54"/>
      <c r="N45" s="54"/>
      <c r="O45" s="137"/>
      <c r="S45" s="74"/>
      <c r="T45" s="74"/>
      <c r="U45" s="74"/>
      <c r="V45" s="74"/>
      <c r="W45" s="74"/>
      <c r="X45" s="74"/>
      <c r="Y45" s="74"/>
      <c r="AA45" s="196">
        <f t="shared" si="0"/>
        <v>10034.413862285803</v>
      </c>
      <c r="AB45" s="185">
        <f t="shared" ca="1" si="6"/>
        <v>47120</v>
      </c>
      <c r="AC45" s="264">
        <f t="shared" si="14"/>
        <v>42</v>
      </c>
      <c r="AD45" s="265"/>
      <c r="AE45" s="83">
        <f t="shared" si="7"/>
        <v>7186.8205448605822</v>
      </c>
      <c r="AF45" s="84"/>
      <c r="AG45" s="270">
        <f t="shared" si="8"/>
        <v>2847.5933174252204</v>
      </c>
      <c r="AH45" s="271"/>
      <c r="AI45" s="272">
        <f t="shared" si="9"/>
        <v>10034.413862285803</v>
      </c>
      <c r="AJ45" s="273"/>
      <c r="AK45" s="85">
        <f t="shared" ca="1" si="1"/>
        <v>47118</v>
      </c>
      <c r="AL45" s="264">
        <v>42</v>
      </c>
      <c r="AM45" s="265"/>
      <c r="AN45" s="86">
        <f t="shared" si="2"/>
        <v>6944.4444444444443</v>
      </c>
      <c r="AO45" s="87"/>
      <c r="AP45" s="266">
        <f t="shared" ca="1" si="3"/>
        <v>2408.0613425925958</v>
      </c>
      <c r="AQ45" s="267"/>
      <c r="AR45" s="268">
        <f t="shared" ca="1" si="4"/>
        <v>9352.5057870370401</v>
      </c>
      <c r="AS45" s="269"/>
      <c r="AT45" s="87">
        <f t="shared" ca="1" si="10"/>
        <v>215277.77777777804</v>
      </c>
      <c r="AU45" s="75">
        <f t="shared" si="5"/>
        <v>10034.413862285803</v>
      </c>
    </row>
    <row r="46" spans="1:50" ht="13.8" customHeight="1" x14ac:dyDescent="0.3">
      <c r="A46" s="43"/>
      <c r="B46" s="228">
        <f t="shared" si="15"/>
        <v>23</v>
      </c>
      <c r="C46" s="228"/>
      <c r="D46" s="205">
        <f t="shared" si="16"/>
        <v>5857.2435892106469</v>
      </c>
      <c r="E46" s="227">
        <f t="shared" si="17"/>
        <v>4177.1702730751549</v>
      </c>
      <c r="F46" s="227"/>
      <c r="G46" s="227">
        <f t="shared" si="18"/>
        <v>10034.413862285801</v>
      </c>
      <c r="H46" s="227"/>
      <c r="I46" s="202"/>
      <c r="J46" s="113"/>
      <c r="K46" s="55"/>
      <c r="L46" s="55"/>
      <c r="M46" s="50"/>
      <c r="N46" s="138"/>
      <c r="O46" s="137"/>
      <c r="P46" s="139"/>
      <c r="S46" s="74"/>
      <c r="T46" s="74"/>
      <c r="U46" s="74"/>
      <c r="V46" s="74"/>
      <c r="W46" s="74"/>
      <c r="X46" s="74"/>
      <c r="Y46" s="74"/>
      <c r="AA46" s="196">
        <f t="shared" si="0"/>
        <v>10034.413862285804</v>
      </c>
      <c r="AB46" s="185">
        <f t="shared" ca="1" si="6"/>
        <v>47151</v>
      </c>
      <c r="AC46" s="264">
        <f t="shared" si="14"/>
        <v>43</v>
      </c>
      <c r="AD46" s="265"/>
      <c r="AE46" s="83">
        <f t="shared" si="7"/>
        <v>7264.6178772586991</v>
      </c>
      <c r="AF46" s="84"/>
      <c r="AG46" s="270">
        <f t="shared" si="8"/>
        <v>2769.795985027105</v>
      </c>
      <c r="AH46" s="271"/>
      <c r="AI46" s="272">
        <f t="shared" si="9"/>
        <v>10034.413862285804</v>
      </c>
      <c r="AJ46" s="273"/>
      <c r="AK46" s="85">
        <f t="shared" ca="1" si="1"/>
        <v>47149</v>
      </c>
      <c r="AL46" s="264">
        <v>43</v>
      </c>
      <c r="AM46" s="265"/>
      <c r="AN46" s="86">
        <f t="shared" si="2"/>
        <v>6944.4444444444443</v>
      </c>
      <c r="AO46" s="87"/>
      <c r="AP46" s="266">
        <f t="shared" ca="1" si="3"/>
        <v>2330.3819444444475</v>
      </c>
      <c r="AQ46" s="267"/>
      <c r="AR46" s="268">
        <f t="shared" ca="1" si="4"/>
        <v>9274.8263888888923</v>
      </c>
      <c r="AS46" s="269"/>
      <c r="AT46" s="87">
        <f t="shared" ca="1" si="10"/>
        <v>208333.3333333336</v>
      </c>
      <c r="AU46" s="75">
        <f t="shared" si="5"/>
        <v>10034.413862285804</v>
      </c>
    </row>
    <row r="47" spans="1:50" ht="13.8" customHeight="1" x14ac:dyDescent="0.3">
      <c r="A47" s="43"/>
      <c r="B47" s="228">
        <f t="shared" si="15"/>
        <v>24</v>
      </c>
      <c r="C47" s="228"/>
      <c r="D47" s="205">
        <f t="shared" si="16"/>
        <v>5920.6482510638525</v>
      </c>
      <c r="E47" s="227">
        <f t="shared" si="17"/>
        <v>4113.7656112219493</v>
      </c>
      <c r="F47" s="227"/>
      <c r="G47" s="227">
        <f t="shared" si="18"/>
        <v>10034.413862285801</v>
      </c>
      <c r="H47" s="227"/>
      <c r="I47" s="202"/>
      <c r="J47" s="113"/>
      <c r="K47" s="55"/>
      <c r="L47" s="55"/>
      <c r="M47" s="50"/>
      <c r="N47" s="138"/>
      <c r="O47" s="137"/>
      <c r="P47" s="139"/>
      <c r="S47" s="74"/>
      <c r="T47" s="74"/>
      <c r="U47" s="74"/>
      <c r="V47" s="74"/>
      <c r="W47" s="74"/>
      <c r="X47" s="74"/>
      <c r="Y47" s="74"/>
      <c r="AA47" s="196">
        <f t="shared" si="0"/>
        <v>10034.413862285803</v>
      </c>
      <c r="AB47" s="185">
        <f t="shared" ca="1" si="6"/>
        <v>47179</v>
      </c>
      <c r="AC47" s="264">
        <f t="shared" si="14"/>
        <v>44</v>
      </c>
      <c r="AD47" s="265"/>
      <c r="AE47" s="83">
        <f t="shared" si="7"/>
        <v>7343.2573657800231</v>
      </c>
      <c r="AF47" s="84"/>
      <c r="AG47" s="270">
        <f t="shared" si="8"/>
        <v>2691.1564965057792</v>
      </c>
      <c r="AH47" s="271"/>
      <c r="AI47" s="272">
        <f t="shared" si="9"/>
        <v>10034.413862285803</v>
      </c>
      <c r="AJ47" s="273"/>
      <c r="AK47" s="85">
        <f t="shared" ca="1" si="1"/>
        <v>47177</v>
      </c>
      <c r="AL47" s="264">
        <v>44</v>
      </c>
      <c r="AM47" s="265"/>
      <c r="AN47" s="86">
        <f t="shared" si="2"/>
        <v>6944.4444444444443</v>
      </c>
      <c r="AO47" s="87"/>
      <c r="AP47" s="266">
        <f t="shared" ca="1" si="3"/>
        <v>2034.6990740740769</v>
      </c>
      <c r="AQ47" s="267"/>
      <c r="AR47" s="268">
        <f t="shared" ca="1" si="4"/>
        <v>8979.1435185185219</v>
      </c>
      <c r="AS47" s="269"/>
      <c r="AT47" s="87">
        <f t="shared" ca="1" si="10"/>
        <v>201388.88888888917</v>
      </c>
      <c r="AU47" s="75">
        <f t="shared" si="5"/>
        <v>10034.413862285803</v>
      </c>
    </row>
    <row r="48" spans="1:50" ht="13.8" customHeight="1" x14ac:dyDescent="0.3">
      <c r="A48" s="43"/>
      <c r="B48" s="228">
        <f>IF(E12=24,"Всього:",IF(B47&lt;$E$12,B47+1,""))</f>
        <v>25</v>
      </c>
      <c r="C48" s="228"/>
      <c r="D48" s="205">
        <f>IF(E12=24,SUM(D24:D47),IF(B47&lt;$E$12,AE28,""))</f>
        <v>5984.7392683816197</v>
      </c>
      <c r="E48" s="227">
        <f>IF(E12=24,SUM(E24:F47),IF(B47&lt;$E$12,AG28,""))</f>
        <v>4049.674593904183</v>
      </c>
      <c r="F48" s="227"/>
      <c r="G48" s="227">
        <f>IF(E12=24,SUM(G24:H47),IF(B47&lt;$E$12,AI28,""))</f>
        <v>10034.413862285803</v>
      </c>
      <c r="H48" s="227"/>
      <c r="I48" s="202"/>
      <c r="J48" s="113"/>
      <c r="K48" s="55"/>
      <c r="L48" s="55"/>
      <c r="M48" s="50"/>
      <c r="N48" s="138"/>
      <c r="O48" s="137"/>
      <c r="P48" s="139"/>
      <c r="S48" s="74"/>
      <c r="T48" s="74"/>
      <c r="U48" s="74"/>
      <c r="V48" s="74"/>
      <c r="W48" s="74"/>
      <c r="X48" s="74"/>
      <c r="Y48" s="74"/>
      <c r="AA48" s="196">
        <f t="shared" si="0"/>
        <v>10034.413862285801</v>
      </c>
      <c r="AB48" s="185">
        <f t="shared" ca="1" si="6"/>
        <v>47210</v>
      </c>
      <c r="AC48" s="264">
        <f t="shared" si="14"/>
        <v>45</v>
      </c>
      <c r="AD48" s="265"/>
      <c r="AE48" s="83">
        <f t="shared" si="7"/>
        <v>7422.7481267645908</v>
      </c>
      <c r="AF48" s="84"/>
      <c r="AG48" s="270">
        <f t="shared" si="8"/>
        <v>2611.665735521211</v>
      </c>
      <c r="AH48" s="271"/>
      <c r="AI48" s="272">
        <f t="shared" si="9"/>
        <v>10034.413862285801</v>
      </c>
      <c r="AJ48" s="273"/>
      <c r="AK48" s="85">
        <f t="shared" ca="1" si="1"/>
        <v>47208</v>
      </c>
      <c r="AL48" s="264">
        <v>45</v>
      </c>
      <c r="AM48" s="265"/>
      <c r="AN48" s="86">
        <f t="shared" si="2"/>
        <v>6944.4444444444443</v>
      </c>
      <c r="AO48" s="87"/>
      <c r="AP48" s="266">
        <f t="shared" ca="1" si="3"/>
        <v>2175.0231481481514</v>
      </c>
      <c r="AQ48" s="267"/>
      <c r="AR48" s="268">
        <f t="shared" ca="1" si="4"/>
        <v>9119.4675925925949</v>
      </c>
      <c r="AS48" s="269"/>
      <c r="AT48" s="87">
        <f t="shared" ca="1" si="10"/>
        <v>194444.44444444473</v>
      </c>
      <c r="AU48" s="75">
        <f t="shared" si="5"/>
        <v>10034.413862285801</v>
      </c>
    </row>
    <row r="49" spans="1:50" ht="13.8" customHeight="1" x14ac:dyDescent="0.3">
      <c r="A49" s="43"/>
      <c r="B49" s="228">
        <f t="shared" si="15"/>
        <v>26</v>
      </c>
      <c r="C49" s="228"/>
      <c r="D49" s="205">
        <f t="shared" ref="D49:D59" si="19">IF(B48&lt;$E$12,AE29,"")</f>
        <v>6049.5240709618502</v>
      </c>
      <c r="E49" s="227">
        <f t="shared" ref="E49:E59" si="20">IF(B48&lt;$E$12,AG29,"")</f>
        <v>3984.8897913239525</v>
      </c>
      <c r="F49" s="227"/>
      <c r="G49" s="227">
        <f t="shared" ref="G49:G59" si="21">IF(B48&lt;$E$12,AI29,"")</f>
        <v>10034.413862285803</v>
      </c>
      <c r="H49" s="227"/>
      <c r="I49" s="202"/>
      <c r="J49" s="53"/>
      <c r="K49" s="55"/>
      <c r="L49" s="55"/>
      <c r="M49" s="50"/>
      <c r="N49" s="138"/>
      <c r="O49" s="137"/>
      <c r="S49" s="74"/>
      <c r="T49" s="74"/>
      <c r="U49" s="74"/>
      <c r="V49" s="74"/>
      <c r="W49" s="74"/>
      <c r="X49" s="74"/>
      <c r="Y49" s="74"/>
      <c r="AA49" s="196">
        <f t="shared" si="0"/>
        <v>10034.413862285803</v>
      </c>
      <c r="AB49" s="185">
        <f t="shared" ca="1" si="6"/>
        <v>47240</v>
      </c>
      <c r="AC49" s="264">
        <f t="shared" si="14"/>
        <v>46</v>
      </c>
      <c r="AD49" s="265"/>
      <c r="AE49" s="83">
        <f t="shared" si="7"/>
        <v>7503.0993752368186</v>
      </c>
      <c r="AF49" s="84"/>
      <c r="AG49" s="270">
        <f t="shared" si="8"/>
        <v>2531.3144870489841</v>
      </c>
      <c r="AH49" s="271"/>
      <c r="AI49" s="272">
        <f t="shared" si="9"/>
        <v>10034.413862285803</v>
      </c>
      <c r="AJ49" s="273"/>
      <c r="AK49" s="85">
        <f t="shared" ca="1" si="1"/>
        <v>47238</v>
      </c>
      <c r="AL49" s="264">
        <v>46</v>
      </c>
      <c r="AM49" s="265"/>
      <c r="AN49" s="86">
        <f t="shared" si="2"/>
        <v>6944.4444444444443</v>
      </c>
      <c r="AO49" s="87"/>
      <c r="AP49" s="266">
        <f t="shared" ca="1" si="3"/>
        <v>2029.687500000003</v>
      </c>
      <c r="AQ49" s="267"/>
      <c r="AR49" s="268">
        <f t="shared" ca="1" si="4"/>
        <v>8974.1319444444471</v>
      </c>
      <c r="AS49" s="269"/>
      <c r="AT49" s="87">
        <f t="shared" ca="1" si="10"/>
        <v>187500.00000000029</v>
      </c>
      <c r="AU49" s="75">
        <f t="shared" si="5"/>
        <v>10034.413862285803</v>
      </c>
    </row>
    <row r="50" spans="1:50" ht="13.8" customHeight="1" thickBot="1" x14ac:dyDescent="0.35">
      <c r="A50" s="43"/>
      <c r="B50" s="228">
        <f t="shared" si="15"/>
        <v>27</v>
      </c>
      <c r="C50" s="228"/>
      <c r="D50" s="205">
        <f t="shared" si="19"/>
        <v>6115.0101690300116</v>
      </c>
      <c r="E50" s="227">
        <f t="shared" si="20"/>
        <v>3919.4036932557906</v>
      </c>
      <c r="F50" s="227"/>
      <c r="G50" s="227">
        <f t="shared" si="21"/>
        <v>10034.413862285803</v>
      </c>
      <c r="H50" s="227"/>
      <c r="I50" s="202"/>
      <c r="J50" s="53"/>
      <c r="K50" s="55"/>
      <c r="L50" s="55"/>
      <c r="M50" s="50"/>
      <c r="N50" s="138"/>
      <c r="O50" s="137"/>
      <c r="S50" s="74"/>
      <c r="AA50" s="196">
        <f t="shared" si="0"/>
        <v>10034.413862285803</v>
      </c>
      <c r="AB50" s="185">
        <f t="shared" ca="1" si="6"/>
        <v>47271</v>
      </c>
      <c r="AC50" s="264">
        <f t="shared" si="14"/>
        <v>47</v>
      </c>
      <c r="AD50" s="265"/>
      <c r="AE50" s="83">
        <f t="shared" si="7"/>
        <v>7584.3204259737568</v>
      </c>
      <c r="AF50" s="84"/>
      <c r="AG50" s="270">
        <f t="shared" si="8"/>
        <v>2450.0934363120455</v>
      </c>
      <c r="AH50" s="271"/>
      <c r="AI50" s="272">
        <f t="shared" si="9"/>
        <v>10034.413862285803</v>
      </c>
      <c r="AJ50" s="273"/>
      <c r="AK50" s="85">
        <f t="shared" ca="1" si="1"/>
        <v>47269</v>
      </c>
      <c r="AL50" s="264">
        <v>47</v>
      </c>
      <c r="AM50" s="265"/>
      <c r="AN50" s="86">
        <f t="shared" si="2"/>
        <v>6944.4444444444443</v>
      </c>
      <c r="AO50" s="87"/>
      <c r="AP50" s="266">
        <f t="shared" ca="1" si="3"/>
        <v>2019.6643518518554</v>
      </c>
      <c r="AQ50" s="267"/>
      <c r="AR50" s="268">
        <f t="shared" ca="1" si="4"/>
        <v>8964.1087962962993</v>
      </c>
      <c r="AS50" s="269"/>
      <c r="AT50" s="87">
        <f t="shared" ca="1" si="10"/>
        <v>180555.55555555585</v>
      </c>
      <c r="AU50" s="75">
        <f t="shared" si="5"/>
        <v>10034.413862285803</v>
      </c>
    </row>
    <row r="51" spans="1:50" ht="13.8" customHeight="1" x14ac:dyDescent="0.3">
      <c r="A51" s="43"/>
      <c r="B51" s="228">
        <f t="shared" si="15"/>
        <v>28</v>
      </c>
      <c r="C51" s="228"/>
      <c r="D51" s="205">
        <f t="shared" si="19"/>
        <v>6181.2051541097617</v>
      </c>
      <c r="E51" s="227">
        <f t="shared" si="20"/>
        <v>3853.2087081760401</v>
      </c>
      <c r="F51" s="227"/>
      <c r="G51" s="227">
        <f t="shared" si="21"/>
        <v>10034.413862285801</v>
      </c>
      <c r="H51" s="227"/>
      <c r="I51" s="202"/>
      <c r="J51" s="53"/>
      <c r="K51" s="140" t="s">
        <v>453</v>
      </c>
      <c r="L51" s="55"/>
      <c r="M51" s="54"/>
      <c r="N51" s="138"/>
      <c r="O51" s="137"/>
      <c r="S51" s="74"/>
      <c r="AA51" s="196">
        <f>IFERROR(AI51+Z52,"-")</f>
        <v>46054.3038622858</v>
      </c>
      <c r="AB51" s="185">
        <f t="shared" ca="1" si="6"/>
        <v>47301</v>
      </c>
      <c r="AC51" s="264">
        <f t="shared" si="14"/>
        <v>48</v>
      </c>
      <c r="AD51" s="265"/>
      <c r="AE51" s="83">
        <f t="shared" si="7"/>
        <v>7666.4206945849237</v>
      </c>
      <c r="AF51" s="84"/>
      <c r="AG51" s="270">
        <f t="shared" si="8"/>
        <v>2367.993167700879</v>
      </c>
      <c r="AH51" s="271"/>
      <c r="AI51" s="272">
        <f t="shared" si="9"/>
        <v>10034.413862285803</v>
      </c>
      <c r="AJ51" s="273"/>
      <c r="AK51" s="85">
        <f t="shared" ca="1" si="1"/>
        <v>47299</v>
      </c>
      <c r="AL51" s="264">
        <v>48</v>
      </c>
      <c r="AM51" s="265"/>
      <c r="AN51" s="86">
        <f t="shared" si="2"/>
        <v>6944.4444444444443</v>
      </c>
      <c r="AO51" s="87"/>
      <c r="AP51" s="266">
        <f t="shared" ca="1" si="3"/>
        <v>1879.340277777781</v>
      </c>
      <c r="AQ51" s="267"/>
      <c r="AR51" s="268">
        <f t="shared" ca="1" si="4"/>
        <v>8823.7847222222263</v>
      </c>
      <c r="AS51" s="269"/>
      <c r="AT51" s="87">
        <f t="shared" ca="1" si="10"/>
        <v>173611.11111111142</v>
      </c>
      <c r="AU51" s="75">
        <f t="shared" si="5"/>
        <v>10034.413862285803</v>
      </c>
    </row>
    <row r="52" spans="1:50" ht="13.8" customHeight="1" x14ac:dyDescent="0.3">
      <c r="A52" s="43"/>
      <c r="B52" s="228">
        <f t="shared" si="15"/>
        <v>29</v>
      </c>
      <c r="C52" s="228"/>
      <c r="D52" s="205">
        <f t="shared" si="19"/>
        <v>6248.1166999030011</v>
      </c>
      <c r="E52" s="227">
        <f t="shared" si="20"/>
        <v>3786.2971623828021</v>
      </c>
      <c r="F52" s="227"/>
      <c r="G52" s="227">
        <f t="shared" si="21"/>
        <v>10034.413862285803</v>
      </c>
      <c r="H52" s="227"/>
      <c r="I52" s="202"/>
      <c r="J52" s="53"/>
      <c r="K52" s="141"/>
      <c r="L52" s="55"/>
      <c r="M52" s="54"/>
      <c r="N52" s="138"/>
      <c r="O52" s="137"/>
      <c r="S52" s="74"/>
      <c r="T52" s="74"/>
      <c r="U52" s="74"/>
      <c r="Z52" s="116">
        <f>IF($V$26&gt;AC52,$E$4*0.9*0.9*0.9*0.9*5.49%,0)</f>
        <v>36019.89</v>
      </c>
      <c r="AA52" s="196">
        <f t="shared" si="0"/>
        <v>10034.413862285801</v>
      </c>
      <c r="AB52" s="185">
        <f t="shared" ca="1" si="6"/>
        <v>47332</v>
      </c>
      <c r="AC52" s="264">
        <f t="shared" si="14"/>
        <v>49</v>
      </c>
      <c r="AD52" s="265"/>
      <c r="AE52" s="83">
        <f t="shared" si="7"/>
        <v>7749.4096986038039</v>
      </c>
      <c r="AF52" s="84"/>
      <c r="AG52" s="270">
        <f t="shared" si="8"/>
        <v>2285.0041636819974</v>
      </c>
      <c r="AH52" s="271"/>
      <c r="AI52" s="272">
        <f t="shared" si="9"/>
        <v>10034.413862285801</v>
      </c>
      <c r="AJ52" s="273"/>
      <c r="AK52" s="85">
        <f t="shared" ca="1" si="1"/>
        <v>47330</v>
      </c>
      <c r="AL52" s="264">
        <v>49</v>
      </c>
      <c r="AM52" s="265"/>
      <c r="AN52" s="86">
        <f t="shared" si="2"/>
        <v>6944.4444444444443</v>
      </c>
      <c r="AO52" s="87"/>
      <c r="AP52" s="266">
        <f t="shared" ca="1" si="3"/>
        <v>1864.3055555555595</v>
      </c>
      <c r="AQ52" s="267"/>
      <c r="AR52" s="268">
        <f t="shared" ca="1" si="4"/>
        <v>8808.7500000000036</v>
      </c>
      <c r="AS52" s="269"/>
      <c r="AT52" s="87">
        <f t="shared" ca="1" si="10"/>
        <v>166666.66666666698</v>
      </c>
      <c r="AU52" s="75" t="e">
        <f>AI52+AW52+AX52</f>
        <v>#REF!</v>
      </c>
      <c r="AW52" s="63">
        <f>IF($E$12&gt;$R$5,$E$4*0.9*0.9*0.9*0.9*5.5%,"")</f>
        <v>36085.5</v>
      </c>
      <c r="AX52" s="63" t="e">
        <f>IF(#REF!=0,0,IF($E$12&gt;$R$5,(AE90-SUM(AE4:AE51))*0.0299,""))</f>
        <v>#REF!</v>
      </c>
    </row>
    <row r="53" spans="1:50" ht="13.8" customHeight="1" thickBot="1" x14ac:dyDescent="0.35">
      <c r="A53" s="43"/>
      <c r="B53" s="228">
        <f t="shared" si="15"/>
        <v>30</v>
      </c>
      <c r="C53" s="228"/>
      <c r="D53" s="205">
        <f t="shared" si="19"/>
        <v>6315.7525631794515</v>
      </c>
      <c r="E53" s="227">
        <f t="shared" si="20"/>
        <v>3718.6612991063525</v>
      </c>
      <c r="F53" s="227"/>
      <c r="G53" s="227">
        <f t="shared" si="21"/>
        <v>10034.413862285804</v>
      </c>
      <c r="H53" s="227"/>
      <c r="I53" s="202"/>
      <c r="J53" s="53"/>
      <c r="K53" s="142"/>
      <c r="L53" s="55"/>
      <c r="M53" s="50"/>
      <c r="N53" s="138"/>
      <c r="O53" s="137"/>
      <c r="S53" s="74"/>
      <c r="AA53" s="196">
        <f t="shared" si="0"/>
        <v>10034.413862285801</v>
      </c>
      <c r="AB53" s="185">
        <f t="shared" ca="1" si="6"/>
        <v>47363</v>
      </c>
      <c r="AC53" s="264">
        <f t="shared" si="14"/>
        <v>50</v>
      </c>
      <c r="AD53" s="265"/>
      <c r="AE53" s="83">
        <f t="shared" si="7"/>
        <v>7833.2970585911899</v>
      </c>
      <c r="AF53" s="84"/>
      <c r="AG53" s="270">
        <f t="shared" si="8"/>
        <v>2201.1168036946115</v>
      </c>
      <c r="AH53" s="271"/>
      <c r="AI53" s="272">
        <f t="shared" si="9"/>
        <v>10034.413862285801</v>
      </c>
      <c r="AJ53" s="273"/>
      <c r="AK53" s="85">
        <f t="shared" ca="1" si="1"/>
        <v>47361</v>
      </c>
      <c r="AL53" s="264">
        <v>50</v>
      </c>
      <c r="AM53" s="265"/>
      <c r="AN53" s="86">
        <f t="shared" si="2"/>
        <v>6944.4444444444443</v>
      </c>
      <c r="AO53" s="87"/>
      <c r="AP53" s="266">
        <f t="shared" ca="1" si="3"/>
        <v>1786.6261574074108</v>
      </c>
      <c r="AQ53" s="267"/>
      <c r="AR53" s="268">
        <f t="shared" ca="1" si="4"/>
        <v>8731.0706018518558</v>
      </c>
      <c r="AS53" s="269"/>
      <c r="AT53" s="87">
        <f t="shared" ca="1" si="10"/>
        <v>159722.22222222254</v>
      </c>
      <c r="AU53" s="75">
        <f t="shared" si="5"/>
        <v>10034.413862285801</v>
      </c>
    </row>
    <row r="54" spans="1:50" ht="13.8" customHeight="1" x14ac:dyDescent="0.3">
      <c r="A54" s="43"/>
      <c r="B54" s="228">
        <f t="shared" si="15"/>
        <v>31</v>
      </c>
      <c r="C54" s="228"/>
      <c r="D54" s="205">
        <f t="shared" si="19"/>
        <v>6384.1205846758676</v>
      </c>
      <c r="E54" s="227">
        <f t="shared" si="20"/>
        <v>3650.2932776099346</v>
      </c>
      <c r="F54" s="227"/>
      <c r="G54" s="227">
        <f t="shared" si="21"/>
        <v>10034.413862285803</v>
      </c>
      <c r="H54" s="227"/>
      <c r="I54" s="202"/>
      <c r="J54" s="113"/>
      <c r="K54" s="113"/>
      <c r="L54" s="55"/>
      <c r="M54" s="113"/>
      <c r="N54" s="113"/>
      <c r="O54" s="139"/>
      <c r="P54" s="139"/>
      <c r="S54" s="74"/>
      <c r="AA54" s="196">
        <f t="shared" si="0"/>
        <v>10034.413862285803</v>
      </c>
      <c r="AB54" s="185">
        <f t="shared" ca="1" si="6"/>
        <v>47393</v>
      </c>
      <c r="AC54" s="264">
        <f t="shared" si="14"/>
        <v>51</v>
      </c>
      <c r="AD54" s="265"/>
      <c r="AE54" s="83">
        <f t="shared" si="7"/>
        <v>7918.0924992504406</v>
      </c>
      <c r="AF54" s="84"/>
      <c r="AG54" s="270">
        <f t="shared" si="8"/>
        <v>2116.3213630353616</v>
      </c>
      <c r="AH54" s="271"/>
      <c r="AI54" s="272">
        <f t="shared" si="9"/>
        <v>10034.413862285803</v>
      </c>
      <c r="AJ54" s="273"/>
      <c r="AK54" s="85">
        <f t="shared" ca="1" si="1"/>
        <v>47391</v>
      </c>
      <c r="AL54" s="264">
        <v>51</v>
      </c>
      <c r="AM54" s="265"/>
      <c r="AN54" s="86">
        <f t="shared" si="2"/>
        <v>6944.4444444444443</v>
      </c>
      <c r="AO54" s="87"/>
      <c r="AP54" s="266">
        <f t="shared" ca="1" si="3"/>
        <v>1653.819444444448</v>
      </c>
      <c r="AQ54" s="267"/>
      <c r="AR54" s="268">
        <f t="shared" ca="1" si="4"/>
        <v>8598.2638888888923</v>
      </c>
      <c r="AS54" s="269"/>
      <c r="AT54" s="87">
        <f t="shared" ca="1" si="10"/>
        <v>152777.7777777781</v>
      </c>
      <c r="AU54" s="75">
        <f t="shared" si="5"/>
        <v>10034.413862285803</v>
      </c>
    </row>
    <row r="55" spans="1:50" ht="13.8" customHeight="1" x14ac:dyDescent="0.3">
      <c r="A55" s="43"/>
      <c r="B55" s="228">
        <f t="shared" si="15"/>
        <v>32</v>
      </c>
      <c r="C55" s="228"/>
      <c r="D55" s="205">
        <f t="shared" si="19"/>
        <v>6453.2286900049849</v>
      </c>
      <c r="E55" s="227">
        <f t="shared" si="20"/>
        <v>3581.1851722808187</v>
      </c>
      <c r="F55" s="227"/>
      <c r="G55" s="227">
        <f t="shared" si="21"/>
        <v>10034.413862285804</v>
      </c>
      <c r="H55" s="227"/>
      <c r="I55" s="202"/>
      <c r="J55" s="53"/>
      <c r="K55" s="53"/>
      <c r="L55" s="53"/>
      <c r="M55" s="53"/>
      <c r="N55" s="50"/>
      <c r="O55" s="98"/>
      <c r="S55" s="74"/>
      <c r="AA55" s="196">
        <f t="shared" si="0"/>
        <v>10034.413862285803</v>
      </c>
      <c r="AB55" s="185">
        <f t="shared" ca="1" si="6"/>
        <v>47424</v>
      </c>
      <c r="AC55" s="264">
        <f t="shared" si="14"/>
        <v>52</v>
      </c>
      <c r="AD55" s="265"/>
      <c r="AE55" s="83">
        <f t="shared" si="7"/>
        <v>8003.805850554827</v>
      </c>
      <c r="AF55" s="84"/>
      <c r="AG55" s="270">
        <f t="shared" si="8"/>
        <v>2030.6080117309759</v>
      </c>
      <c r="AH55" s="271"/>
      <c r="AI55" s="272">
        <f t="shared" si="9"/>
        <v>10034.413862285803</v>
      </c>
      <c r="AJ55" s="273"/>
      <c r="AK55" s="85">
        <f t="shared" ca="1" si="1"/>
        <v>47422</v>
      </c>
      <c r="AL55" s="264">
        <v>52</v>
      </c>
      <c r="AM55" s="265"/>
      <c r="AN55" s="86">
        <f t="shared" si="2"/>
        <v>6944.4444444444443</v>
      </c>
      <c r="AO55" s="87"/>
      <c r="AP55" s="266">
        <f t="shared" ca="1" si="3"/>
        <v>1631.267361111115</v>
      </c>
      <c r="AQ55" s="267"/>
      <c r="AR55" s="268">
        <f t="shared" ca="1" si="4"/>
        <v>8575.7118055555584</v>
      </c>
      <c r="AS55" s="269"/>
      <c r="AT55" s="87">
        <f t="shared" ca="1" si="10"/>
        <v>145833.33333333366</v>
      </c>
      <c r="AU55" s="75">
        <f t="shared" si="5"/>
        <v>10034.413862285803</v>
      </c>
    </row>
    <row r="56" spans="1:50" ht="13.8" customHeight="1" x14ac:dyDescent="0.3">
      <c r="A56" s="43"/>
      <c r="B56" s="228">
        <f t="shared" si="15"/>
        <v>33</v>
      </c>
      <c r="C56" s="228"/>
      <c r="D56" s="205">
        <f t="shared" si="19"/>
        <v>6523.0848905742878</v>
      </c>
      <c r="E56" s="227">
        <f t="shared" si="20"/>
        <v>3511.3289717115144</v>
      </c>
      <c r="F56" s="227"/>
      <c r="G56" s="227">
        <f t="shared" si="21"/>
        <v>10034.413862285803</v>
      </c>
      <c r="H56" s="227"/>
      <c r="I56" s="202"/>
      <c r="J56" s="53"/>
      <c r="K56" s="53"/>
      <c r="L56" s="53"/>
      <c r="M56" s="53"/>
      <c r="N56" s="50"/>
      <c r="O56" s="98"/>
      <c r="AA56" s="196">
        <f t="shared" si="0"/>
        <v>10034.413862285803</v>
      </c>
      <c r="AB56" s="185">
        <f t="shared" ca="1" si="6"/>
        <v>47454</v>
      </c>
      <c r="AC56" s="264">
        <f t="shared" si="14"/>
        <v>53</v>
      </c>
      <c r="AD56" s="265"/>
      <c r="AE56" s="83">
        <f t="shared" si="7"/>
        <v>8090.4470488870829</v>
      </c>
      <c r="AF56" s="84"/>
      <c r="AG56" s="270">
        <f t="shared" si="8"/>
        <v>1943.96681339872</v>
      </c>
      <c r="AH56" s="271"/>
      <c r="AI56" s="272">
        <f t="shared" si="9"/>
        <v>10034.413862285803</v>
      </c>
      <c r="AJ56" s="273"/>
      <c r="AK56" s="85">
        <f t="shared" ca="1" si="1"/>
        <v>47452</v>
      </c>
      <c r="AL56" s="264">
        <v>53</v>
      </c>
      <c r="AM56" s="265"/>
      <c r="AN56" s="86">
        <f t="shared" si="2"/>
        <v>6944.4444444444443</v>
      </c>
      <c r="AO56" s="87"/>
      <c r="AP56" s="266">
        <f t="shared" ca="1" si="3"/>
        <v>1503.472222222226</v>
      </c>
      <c r="AQ56" s="267"/>
      <c r="AR56" s="268">
        <f t="shared" ca="1" si="4"/>
        <v>8447.9166666666697</v>
      </c>
      <c r="AS56" s="269"/>
      <c r="AT56" s="87">
        <f t="shared" ca="1" si="10"/>
        <v>138888.88888888923</v>
      </c>
      <c r="AU56" s="75">
        <f t="shared" si="5"/>
        <v>10034.413862285803</v>
      </c>
    </row>
    <row r="57" spans="1:50" ht="13.8" customHeight="1" x14ac:dyDescent="0.3">
      <c r="A57" s="43"/>
      <c r="B57" s="228">
        <f t="shared" si="15"/>
        <v>34</v>
      </c>
      <c r="C57" s="228"/>
      <c r="D57" s="205">
        <f t="shared" si="19"/>
        <v>6593.6972845147548</v>
      </c>
      <c r="E57" s="227">
        <f t="shared" si="20"/>
        <v>3440.7165777710479</v>
      </c>
      <c r="F57" s="227"/>
      <c r="G57" s="227">
        <f t="shared" si="21"/>
        <v>10034.413862285803</v>
      </c>
      <c r="H57" s="227"/>
      <c r="I57" s="202"/>
      <c r="J57" s="53"/>
      <c r="K57" s="53"/>
      <c r="L57" s="53"/>
      <c r="M57" s="53"/>
      <c r="N57" s="50"/>
      <c r="O57" s="98"/>
      <c r="AA57" s="196">
        <f t="shared" si="0"/>
        <v>10034.413862285803</v>
      </c>
      <c r="AB57" s="185">
        <f t="shared" ca="1" si="6"/>
        <v>47485</v>
      </c>
      <c r="AC57" s="264">
        <f t="shared" si="14"/>
        <v>54</v>
      </c>
      <c r="AD57" s="265"/>
      <c r="AE57" s="83">
        <f t="shared" si="7"/>
        <v>8178.0261381912851</v>
      </c>
      <c r="AF57" s="84"/>
      <c r="AG57" s="270">
        <f t="shared" si="8"/>
        <v>1856.3877240945174</v>
      </c>
      <c r="AH57" s="271"/>
      <c r="AI57" s="272">
        <f t="shared" si="9"/>
        <v>10034.413862285803</v>
      </c>
      <c r="AJ57" s="273"/>
      <c r="AK57" s="85">
        <f t="shared" ca="1" si="1"/>
        <v>47483</v>
      </c>
      <c r="AL57" s="264">
        <v>54</v>
      </c>
      <c r="AM57" s="265"/>
      <c r="AN57" s="86">
        <f t="shared" si="2"/>
        <v>6944.4444444444443</v>
      </c>
      <c r="AO57" s="87"/>
      <c r="AP57" s="266">
        <f t="shared" ca="1" si="3"/>
        <v>1475.9085648148189</v>
      </c>
      <c r="AQ57" s="267"/>
      <c r="AR57" s="268">
        <f t="shared" ca="1" si="4"/>
        <v>8420.3530092592628</v>
      </c>
      <c r="AS57" s="269"/>
      <c r="AT57" s="87">
        <f t="shared" ca="1" si="10"/>
        <v>131944.44444444479</v>
      </c>
      <c r="AU57" s="75">
        <f t="shared" si="5"/>
        <v>10034.413862285803</v>
      </c>
    </row>
    <row r="58" spans="1:50" ht="13.8" customHeight="1" x14ac:dyDescent="0.3">
      <c r="A58" s="43"/>
      <c r="B58" s="228">
        <f t="shared" si="15"/>
        <v>35</v>
      </c>
      <c r="C58" s="228"/>
      <c r="D58" s="205">
        <f t="shared" si="19"/>
        <v>6665.0740576196258</v>
      </c>
      <c r="E58" s="227">
        <f t="shared" si="20"/>
        <v>3369.339804666175</v>
      </c>
      <c r="F58" s="227"/>
      <c r="G58" s="227">
        <f t="shared" si="21"/>
        <v>10034.413862285801</v>
      </c>
      <c r="H58" s="227"/>
      <c r="I58" s="202"/>
      <c r="J58" s="53"/>
      <c r="K58" s="53"/>
      <c r="L58" s="53"/>
      <c r="M58" s="53"/>
      <c r="N58" s="50"/>
      <c r="O58" s="98"/>
      <c r="S58" s="74"/>
      <c r="AA58" s="196">
        <f t="shared" si="0"/>
        <v>10034.413862285804</v>
      </c>
      <c r="AB58" s="185">
        <f t="shared" ca="1" si="6"/>
        <v>47516</v>
      </c>
      <c r="AC58" s="264">
        <f t="shared" si="14"/>
        <v>55</v>
      </c>
      <c r="AD58" s="265"/>
      <c r="AE58" s="83">
        <f t="shared" si="7"/>
        <v>8266.553271137207</v>
      </c>
      <c r="AF58" s="84"/>
      <c r="AG58" s="270">
        <f t="shared" si="8"/>
        <v>1767.8605911485968</v>
      </c>
      <c r="AH58" s="271"/>
      <c r="AI58" s="272">
        <f t="shared" si="9"/>
        <v>10034.413862285804</v>
      </c>
      <c r="AJ58" s="273"/>
      <c r="AK58" s="85">
        <f t="shared" ca="1" si="1"/>
        <v>47514</v>
      </c>
      <c r="AL58" s="264">
        <v>55</v>
      </c>
      <c r="AM58" s="265"/>
      <c r="AN58" s="86">
        <f t="shared" si="2"/>
        <v>6944.4444444444443</v>
      </c>
      <c r="AO58" s="87"/>
      <c r="AP58" s="266">
        <f t="shared" ca="1" si="3"/>
        <v>1398.2291666666706</v>
      </c>
      <c r="AQ58" s="267"/>
      <c r="AR58" s="268">
        <f t="shared" ca="1" si="4"/>
        <v>8342.673611111115</v>
      </c>
      <c r="AS58" s="269"/>
      <c r="AT58" s="87">
        <f t="shared" ca="1" si="10"/>
        <v>125000.00000000035</v>
      </c>
      <c r="AU58" s="75">
        <f t="shared" si="5"/>
        <v>10034.413862285804</v>
      </c>
    </row>
    <row r="59" spans="1:50" ht="13.8" customHeight="1" x14ac:dyDescent="0.3">
      <c r="A59" s="43"/>
      <c r="B59" s="228">
        <f t="shared" si="15"/>
        <v>36</v>
      </c>
      <c r="C59" s="228"/>
      <c r="D59" s="205">
        <f t="shared" si="19"/>
        <v>6737.2234842933594</v>
      </c>
      <c r="E59" s="227">
        <f t="shared" si="20"/>
        <v>3297.1903779924428</v>
      </c>
      <c r="F59" s="227"/>
      <c r="G59" s="227">
        <f t="shared" si="21"/>
        <v>10034.413862285803</v>
      </c>
      <c r="H59" s="227"/>
      <c r="I59" s="202"/>
      <c r="J59" s="53"/>
      <c r="K59" s="53"/>
      <c r="L59" s="53"/>
      <c r="M59" s="53"/>
      <c r="N59" s="50"/>
      <c r="O59" s="98"/>
      <c r="S59" s="74"/>
      <c r="AA59" s="196">
        <f t="shared" si="0"/>
        <v>10034.413862285801</v>
      </c>
      <c r="AB59" s="185">
        <f t="shared" ca="1" si="6"/>
        <v>47544</v>
      </c>
      <c r="AC59" s="264">
        <f t="shared" si="14"/>
        <v>56</v>
      </c>
      <c r="AD59" s="265"/>
      <c r="AE59" s="83">
        <f t="shared" si="7"/>
        <v>8356.0387102972654</v>
      </c>
      <c r="AF59" s="84"/>
      <c r="AG59" s="270">
        <f t="shared" si="8"/>
        <v>1678.3751519885363</v>
      </c>
      <c r="AH59" s="271"/>
      <c r="AI59" s="272">
        <f t="shared" si="9"/>
        <v>10034.413862285801</v>
      </c>
      <c r="AJ59" s="273"/>
      <c r="AK59" s="85">
        <f t="shared" ca="1" si="1"/>
        <v>47542</v>
      </c>
      <c r="AL59" s="264">
        <v>56</v>
      </c>
      <c r="AM59" s="265"/>
      <c r="AN59" s="86">
        <f t="shared" si="2"/>
        <v>6944.4444444444443</v>
      </c>
      <c r="AO59" s="87"/>
      <c r="AP59" s="266">
        <f t="shared" ca="1" si="3"/>
        <v>1192.7546296296332</v>
      </c>
      <c r="AQ59" s="267"/>
      <c r="AR59" s="268">
        <f t="shared" ca="1" si="4"/>
        <v>8137.1990740740775</v>
      </c>
      <c r="AS59" s="269"/>
      <c r="AT59" s="87">
        <f t="shared" ca="1" si="10"/>
        <v>118055.55555555591</v>
      </c>
      <c r="AU59" s="75">
        <f t="shared" si="5"/>
        <v>10034.413862285801</v>
      </c>
    </row>
    <row r="60" spans="1:50" ht="13.8" customHeight="1" x14ac:dyDescent="0.3">
      <c r="A60" s="43"/>
      <c r="B60" s="228">
        <f>IF(E12=36,"Всього:",IF(B59&lt;$E$12,B59+1,""))</f>
        <v>37</v>
      </c>
      <c r="C60" s="228"/>
      <c r="D60" s="205">
        <f>IF(E12=36,SUM(D24:D59),IF(B59&lt;$E$12,AE40,""))</f>
        <v>6810.1539285108347</v>
      </c>
      <c r="E60" s="227">
        <f>IF(E12=36,SUM(E24:F59),IF(B59&lt;$E$12,AG40,""))</f>
        <v>3224.2599337749675</v>
      </c>
      <c r="F60" s="227"/>
      <c r="G60" s="227">
        <f>IF(E12=36,SUM(G24:H59),IF(B59&lt;$E$12,AI40,""))</f>
        <v>10034.413862285803</v>
      </c>
      <c r="H60" s="227"/>
      <c r="I60" s="202"/>
      <c r="J60" s="53"/>
      <c r="K60" s="53"/>
      <c r="L60" s="53"/>
      <c r="M60" s="53"/>
      <c r="N60" s="50"/>
      <c r="O60" s="98"/>
      <c r="S60" s="74"/>
      <c r="T60" s="74"/>
      <c r="U60" s="74"/>
      <c r="V60" s="74"/>
      <c r="W60" s="74"/>
      <c r="X60" s="74"/>
      <c r="Y60" s="74"/>
      <c r="AA60" s="196">
        <f t="shared" si="0"/>
        <v>10034.413862285803</v>
      </c>
      <c r="AB60" s="185">
        <f t="shared" ca="1" si="6"/>
        <v>47575</v>
      </c>
      <c r="AC60" s="264">
        <f t="shared" si="14"/>
        <v>57</v>
      </c>
      <c r="AD60" s="265"/>
      <c r="AE60" s="83">
        <f t="shared" si="7"/>
        <v>8446.4928293362336</v>
      </c>
      <c r="AF60" s="84"/>
      <c r="AG60" s="270">
        <f t="shared" si="8"/>
        <v>1587.9210329495686</v>
      </c>
      <c r="AH60" s="271"/>
      <c r="AI60" s="272">
        <f t="shared" si="9"/>
        <v>10034.413862285803</v>
      </c>
      <c r="AJ60" s="273"/>
      <c r="AK60" s="85">
        <f t="shared" ca="1" si="1"/>
        <v>47573</v>
      </c>
      <c r="AL60" s="264">
        <v>57</v>
      </c>
      <c r="AM60" s="265"/>
      <c r="AN60" s="86">
        <f t="shared" si="2"/>
        <v>6944.4444444444443</v>
      </c>
      <c r="AO60" s="87"/>
      <c r="AP60" s="266">
        <f t="shared" ca="1" si="3"/>
        <v>1242.8703703703745</v>
      </c>
      <c r="AQ60" s="267"/>
      <c r="AR60" s="268">
        <f t="shared" ca="1" si="4"/>
        <v>8187.3148148148193</v>
      </c>
      <c r="AS60" s="269"/>
      <c r="AT60" s="87">
        <f t="shared" ca="1" si="10"/>
        <v>111111.11111111147</v>
      </c>
      <c r="AU60" s="75">
        <f t="shared" si="5"/>
        <v>10034.413862285803</v>
      </c>
    </row>
    <row r="61" spans="1:50" ht="13.8" customHeight="1" x14ac:dyDescent="0.3">
      <c r="A61" s="43"/>
      <c r="B61" s="228">
        <f t="shared" si="15"/>
        <v>38</v>
      </c>
      <c r="C61" s="228"/>
      <c r="D61" s="205">
        <f t="shared" ref="D61:D71" si="22">IF(B60&lt;$E$12,AE41,"")</f>
        <v>6883.8738447869646</v>
      </c>
      <c r="E61" s="227">
        <f t="shared" ref="E61:E71" si="23">IF(B60&lt;$E$12,AG41,"")</f>
        <v>3150.5400174988381</v>
      </c>
      <c r="F61" s="227"/>
      <c r="G61" s="227">
        <f t="shared" ref="G61:G71" si="24">IF(B60&lt;$E$12,AI41,"")</f>
        <v>10034.413862285803</v>
      </c>
      <c r="H61" s="227"/>
      <c r="I61" s="202"/>
      <c r="J61" s="53"/>
      <c r="K61" s="53"/>
      <c r="L61" s="53"/>
      <c r="M61" s="53"/>
      <c r="N61" s="50"/>
      <c r="O61" s="98"/>
      <c r="S61" s="74"/>
      <c r="U61" s="143"/>
      <c r="V61" s="116"/>
      <c r="W61" s="116"/>
      <c r="X61" s="116"/>
      <c r="Y61" s="116"/>
      <c r="AA61" s="196">
        <f t="shared" si="0"/>
        <v>10034.413862285803</v>
      </c>
      <c r="AB61" s="185">
        <f t="shared" ca="1" si="6"/>
        <v>47605</v>
      </c>
      <c r="AC61" s="264">
        <f t="shared" si="14"/>
        <v>58</v>
      </c>
      <c r="AD61" s="265"/>
      <c r="AE61" s="83">
        <f t="shared" si="7"/>
        <v>8537.9261142137984</v>
      </c>
      <c r="AF61" s="84"/>
      <c r="AG61" s="270">
        <f t="shared" si="8"/>
        <v>1496.4877480720038</v>
      </c>
      <c r="AH61" s="271"/>
      <c r="AI61" s="272">
        <f t="shared" si="9"/>
        <v>10034.413862285803</v>
      </c>
      <c r="AJ61" s="273"/>
      <c r="AK61" s="85">
        <f t="shared" ca="1" si="1"/>
        <v>47603</v>
      </c>
      <c r="AL61" s="264">
        <v>58</v>
      </c>
      <c r="AM61" s="265"/>
      <c r="AN61" s="86">
        <f t="shared" si="2"/>
        <v>6944.4444444444443</v>
      </c>
      <c r="AO61" s="87"/>
      <c r="AP61" s="266">
        <f t="shared" ca="1" si="3"/>
        <v>1127.6041666666706</v>
      </c>
      <c r="AQ61" s="267"/>
      <c r="AR61" s="268">
        <f t="shared" ca="1" si="4"/>
        <v>8072.048611111115</v>
      </c>
      <c r="AS61" s="269"/>
      <c r="AT61" s="87">
        <f t="shared" ca="1" si="10"/>
        <v>104166.66666666704</v>
      </c>
      <c r="AU61" s="75">
        <f t="shared" si="5"/>
        <v>10034.413862285803</v>
      </c>
    </row>
    <row r="62" spans="1:50" ht="13.8" customHeight="1" x14ac:dyDescent="0.3">
      <c r="A62" s="43"/>
      <c r="B62" s="228">
        <f t="shared" si="15"/>
        <v>39</v>
      </c>
      <c r="C62" s="228"/>
      <c r="D62" s="205">
        <f t="shared" si="22"/>
        <v>6958.3917791567819</v>
      </c>
      <c r="E62" s="227">
        <f t="shared" si="23"/>
        <v>3076.0220831290185</v>
      </c>
      <c r="F62" s="227"/>
      <c r="G62" s="227">
        <f t="shared" si="24"/>
        <v>10034.413862285801</v>
      </c>
      <c r="H62" s="227"/>
      <c r="I62" s="202"/>
      <c r="J62" s="53"/>
      <c r="K62" s="53"/>
      <c r="L62" s="53"/>
      <c r="M62" s="53"/>
      <c r="N62" s="50"/>
      <c r="O62" s="98"/>
      <c r="S62" s="74"/>
      <c r="W62" s="116"/>
      <c r="X62" s="116"/>
      <c r="AA62" s="196">
        <f t="shared" si="0"/>
        <v>10034.413862285801</v>
      </c>
      <c r="AB62" s="185">
        <f t="shared" ca="1" si="6"/>
        <v>47636</v>
      </c>
      <c r="AC62" s="264">
        <f t="shared" si="14"/>
        <v>59</v>
      </c>
      <c r="AD62" s="265"/>
      <c r="AE62" s="83">
        <f t="shared" si="7"/>
        <v>8630.3491644001624</v>
      </c>
      <c r="AF62" s="84"/>
      <c r="AG62" s="270">
        <f t="shared" si="8"/>
        <v>1404.0646978856391</v>
      </c>
      <c r="AH62" s="271"/>
      <c r="AI62" s="272">
        <f t="shared" si="9"/>
        <v>10034.413862285801</v>
      </c>
      <c r="AJ62" s="273"/>
      <c r="AK62" s="85">
        <f t="shared" ca="1" si="1"/>
        <v>47634</v>
      </c>
      <c r="AL62" s="264">
        <v>59</v>
      </c>
      <c r="AM62" s="265"/>
      <c r="AN62" s="86">
        <f t="shared" si="2"/>
        <v>6944.4444444444443</v>
      </c>
      <c r="AO62" s="87"/>
      <c r="AP62" s="266">
        <f t="shared" ca="1" si="3"/>
        <v>1087.5115740740782</v>
      </c>
      <c r="AQ62" s="267"/>
      <c r="AR62" s="268">
        <f t="shared" ca="1" si="4"/>
        <v>8031.9560185185228</v>
      </c>
      <c r="AS62" s="269"/>
      <c r="AT62" s="87">
        <f t="shared" ca="1" si="10"/>
        <v>97222.222222222597</v>
      </c>
      <c r="AU62" s="75">
        <f t="shared" si="5"/>
        <v>10034.413862285801</v>
      </c>
    </row>
    <row r="63" spans="1:50" ht="13.8" customHeight="1" x14ac:dyDescent="0.3">
      <c r="A63" s="43"/>
      <c r="B63" s="228">
        <f t="shared" si="15"/>
        <v>40</v>
      </c>
      <c r="C63" s="228"/>
      <c r="D63" s="205">
        <f t="shared" si="22"/>
        <v>7033.7163701661566</v>
      </c>
      <c r="E63" s="227">
        <f t="shared" si="23"/>
        <v>3000.697492119647</v>
      </c>
      <c r="F63" s="227"/>
      <c r="G63" s="227">
        <f t="shared" si="24"/>
        <v>10034.413862285804</v>
      </c>
      <c r="H63" s="227"/>
      <c r="I63" s="202"/>
      <c r="J63" s="53"/>
      <c r="K63" s="53"/>
      <c r="L63" s="53"/>
      <c r="M63" s="53"/>
      <c r="N63" s="50"/>
      <c r="O63" s="98"/>
      <c r="S63" s="74"/>
      <c r="AA63" s="196">
        <f>IFERROR(AI63+Z64,"-")</f>
        <v>42452.314862285806</v>
      </c>
      <c r="AB63" s="185">
        <f t="shared" ca="1" si="6"/>
        <v>47666</v>
      </c>
      <c r="AC63" s="264">
        <f t="shared" si="14"/>
        <v>60</v>
      </c>
      <c r="AD63" s="265"/>
      <c r="AE63" s="83">
        <f t="shared" si="7"/>
        <v>8723.7726941047949</v>
      </c>
      <c r="AF63" s="84"/>
      <c r="AG63" s="270">
        <f t="shared" si="8"/>
        <v>1310.6411681810075</v>
      </c>
      <c r="AH63" s="271"/>
      <c r="AI63" s="272">
        <f t="shared" si="9"/>
        <v>10034.413862285803</v>
      </c>
      <c r="AJ63" s="273"/>
      <c r="AK63" s="85">
        <f t="shared" ca="1" si="1"/>
        <v>47664</v>
      </c>
      <c r="AL63" s="264">
        <v>60</v>
      </c>
      <c r="AM63" s="265"/>
      <c r="AN63" s="86">
        <f t="shared" si="2"/>
        <v>6944.4444444444443</v>
      </c>
      <c r="AO63" s="87"/>
      <c r="AP63" s="266">
        <f t="shared" ca="1" si="3"/>
        <v>977.25694444444866</v>
      </c>
      <c r="AQ63" s="267"/>
      <c r="AR63" s="268">
        <f t="shared" ca="1" si="4"/>
        <v>7921.7013888888932</v>
      </c>
      <c r="AS63" s="269"/>
      <c r="AT63" s="87">
        <f t="shared" ca="1" si="10"/>
        <v>90277.777777778159</v>
      </c>
      <c r="AU63" s="75">
        <f t="shared" si="5"/>
        <v>10034.413862285803</v>
      </c>
    </row>
    <row r="64" spans="1:50" ht="13.8" customHeight="1" x14ac:dyDescent="0.3">
      <c r="A64" s="43"/>
      <c r="B64" s="228">
        <f t="shared" si="15"/>
        <v>41</v>
      </c>
      <c r="C64" s="228"/>
      <c r="D64" s="205">
        <f t="shared" si="22"/>
        <v>7109.8563498732037</v>
      </c>
      <c r="E64" s="227">
        <f t="shared" si="23"/>
        <v>2924.557512412598</v>
      </c>
      <c r="F64" s="227"/>
      <c r="G64" s="227">
        <f t="shared" si="24"/>
        <v>10034.413862285801</v>
      </c>
      <c r="H64" s="227"/>
      <c r="I64" s="202"/>
      <c r="J64" s="53"/>
      <c r="K64" s="53"/>
      <c r="L64" s="53"/>
      <c r="M64" s="53"/>
      <c r="N64" s="50"/>
      <c r="O64" s="98"/>
      <c r="S64" s="74"/>
      <c r="Z64" s="116">
        <f>IF($V$26&gt;AC64,$E$4*0.9*0.9*0.9*0.9*0.9*5.49%,0)</f>
        <v>32417.901000000002</v>
      </c>
      <c r="AA64" s="196">
        <f t="shared" si="0"/>
        <v>10034.413862285803</v>
      </c>
      <c r="AB64" s="185">
        <f t="shared" ca="1" si="6"/>
        <v>47697</v>
      </c>
      <c r="AC64" s="264">
        <f t="shared" si="14"/>
        <v>61</v>
      </c>
      <c r="AD64" s="265"/>
      <c r="AE64" s="83">
        <f t="shared" si="7"/>
        <v>8818.20753351848</v>
      </c>
      <c r="AF64" s="84"/>
      <c r="AG64" s="270">
        <f t="shared" si="8"/>
        <v>1216.2063287673232</v>
      </c>
      <c r="AH64" s="271"/>
      <c r="AI64" s="272">
        <f t="shared" si="9"/>
        <v>10034.413862285803</v>
      </c>
      <c r="AJ64" s="273"/>
      <c r="AK64" s="85">
        <f t="shared" ca="1" si="1"/>
        <v>47695</v>
      </c>
      <c r="AL64" s="264">
        <v>61</v>
      </c>
      <c r="AM64" s="265"/>
      <c r="AN64" s="86">
        <f t="shared" si="2"/>
        <v>6944.4444444444443</v>
      </c>
      <c r="AO64" s="87"/>
      <c r="AP64" s="266">
        <f t="shared" ca="1" si="3"/>
        <v>932.15277777778215</v>
      </c>
      <c r="AQ64" s="267"/>
      <c r="AR64" s="268">
        <f t="shared" ca="1" si="4"/>
        <v>7876.5972222222263</v>
      </c>
      <c r="AS64" s="269"/>
      <c r="AT64" s="87">
        <f t="shared" ca="1" si="10"/>
        <v>83333.333333333721</v>
      </c>
      <c r="AU64" s="75" t="e">
        <f>AI64+AW64+AX64</f>
        <v>#REF!</v>
      </c>
      <c r="AW64" s="63">
        <f>IF($E$12&gt;$R$6,$E$4*0.9*0.9*0.9*0.9*0.9*5.5%,"")</f>
        <v>32476.95</v>
      </c>
      <c r="AX64" s="63" t="e">
        <f>IF(#REF!=0,0,IF($E$12&gt;$R$6,(AE90-SUM(AE4:AE63))*0.0299,""))</f>
        <v>#REF!</v>
      </c>
    </row>
    <row r="65" spans="1:50" ht="13.8" customHeight="1" x14ac:dyDescent="0.3">
      <c r="A65" s="43"/>
      <c r="B65" s="228">
        <f t="shared" si="15"/>
        <v>42</v>
      </c>
      <c r="C65" s="228"/>
      <c r="D65" s="205">
        <f t="shared" si="22"/>
        <v>7186.8205448605822</v>
      </c>
      <c r="E65" s="227">
        <f t="shared" si="23"/>
        <v>2847.5933174252204</v>
      </c>
      <c r="F65" s="227"/>
      <c r="G65" s="227">
        <f t="shared" si="24"/>
        <v>10034.413862285803</v>
      </c>
      <c r="H65" s="227"/>
      <c r="I65" s="202"/>
      <c r="J65" s="53"/>
      <c r="K65" s="53"/>
      <c r="L65" s="53"/>
      <c r="M65" s="53"/>
      <c r="N65" s="50"/>
      <c r="O65" s="98"/>
      <c r="S65" s="74"/>
      <c r="AA65" s="196">
        <f t="shared" si="0"/>
        <v>10034.413862285801</v>
      </c>
      <c r="AB65" s="185">
        <f t="shared" ca="1" si="6"/>
        <v>47728</v>
      </c>
      <c r="AC65" s="264">
        <f t="shared" si="14"/>
        <v>62</v>
      </c>
      <c r="AD65" s="265"/>
      <c r="AE65" s="83">
        <f t="shared" si="7"/>
        <v>8913.6646300688153</v>
      </c>
      <c r="AF65" s="84"/>
      <c r="AG65" s="270">
        <f t="shared" si="8"/>
        <v>1120.7492322169858</v>
      </c>
      <c r="AH65" s="271"/>
      <c r="AI65" s="272">
        <f t="shared" si="9"/>
        <v>10034.413862285801</v>
      </c>
      <c r="AJ65" s="273"/>
      <c r="AK65" s="85">
        <f t="shared" ca="1" si="1"/>
        <v>47726</v>
      </c>
      <c r="AL65" s="264">
        <v>62</v>
      </c>
      <c r="AM65" s="265"/>
      <c r="AN65" s="86">
        <f t="shared" si="2"/>
        <v>6944.4444444444443</v>
      </c>
      <c r="AO65" s="87"/>
      <c r="AP65" s="266">
        <f t="shared" ca="1" si="3"/>
        <v>854.47337962963388</v>
      </c>
      <c r="AQ65" s="267"/>
      <c r="AR65" s="268">
        <f t="shared" ca="1" si="4"/>
        <v>7798.9178240740785</v>
      </c>
      <c r="AS65" s="269"/>
      <c r="AT65" s="87">
        <f t="shared" ca="1" si="10"/>
        <v>76388.888888889283</v>
      </c>
      <c r="AU65" s="75">
        <f t="shared" si="5"/>
        <v>10034.413862285801</v>
      </c>
    </row>
    <row r="66" spans="1:50" ht="13.8" customHeight="1" x14ac:dyDescent="0.3">
      <c r="A66" s="43"/>
      <c r="B66" s="228">
        <f t="shared" si="15"/>
        <v>43</v>
      </c>
      <c r="C66" s="228"/>
      <c r="D66" s="205">
        <f t="shared" si="22"/>
        <v>7264.6178772586991</v>
      </c>
      <c r="E66" s="227">
        <f t="shared" si="23"/>
        <v>2769.795985027105</v>
      </c>
      <c r="F66" s="227"/>
      <c r="G66" s="227">
        <f t="shared" si="24"/>
        <v>10034.413862285804</v>
      </c>
      <c r="H66" s="227"/>
      <c r="I66" s="202"/>
      <c r="J66" s="53"/>
      <c r="K66" s="53"/>
      <c r="L66" s="53"/>
      <c r="M66" s="53"/>
      <c r="N66" s="50"/>
      <c r="O66" s="98"/>
      <c r="S66" s="74"/>
      <c r="AA66" s="196">
        <f t="shared" si="0"/>
        <v>10034.413862285801</v>
      </c>
      <c r="AB66" s="185">
        <f t="shared" ca="1" si="6"/>
        <v>47758</v>
      </c>
      <c r="AC66" s="264">
        <f t="shared" si="14"/>
        <v>63</v>
      </c>
      <c r="AD66" s="265"/>
      <c r="AE66" s="83">
        <f t="shared" si="7"/>
        <v>9010.1550496893105</v>
      </c>
      <c r="AF66" s="84"/>
      <c r="AG66" s="270">
        <f t="shared" si="8"/>
        <v>1024.2588125964908</v>
      </c>
      <c r="AH66" s="271"/>
      <c r="AI66" s="272">
        <f t="shared" si="9"/>
        <v>10034.413862285801</v>
      </c>
      <c r="AJ66" s="273"/>
      <c r="AK66" s="85">
        <f t="shared" ca="1" si="1"/>
        <v>47756</v>
      </c>
      <c r="AL66" s="264">
        <v>63</v>
      </c>
      <c r="AM66" s="265"/>
      <c r="AN66" s="86">
        <f t="shared" si="2"/>
        <v>6944.4444444444443</v>
      </c>
      <c r="AO66" s="87"/>
      <c r="AP66" s="266">
        <f t="shared" ca="1" si="3"/>
        <v>751.73611111111563</v>
      </c>
      <c r="AQ66" s="267"/>
      <c r="AR66" s="268">
        <f t="shared" ca="1" si="4"/>
        <v>7696.1805555555602</v>
      </c>
      <c r="AS66" s="269"/>
      <c r="AT66" s="87">
        <f t="shared" ca="1" si="10"/>
        <v>69444.444444444845</v>
      </c>
      <c r="AU66" s="75">
        <f t="shared" si="5"/>
        <v>10034.413862285801</v>
      </c>
    </row>
    <row r="67" spans="1:50" ht="13.8" customHeight="1" x14ac:dyDescent="0.3">
      <c r="A67" s="43"/>
      <c r="B67" s="228">
        <f t="shared" si="15"/>
        <v>44</v>
      </c>
      <c r="C67" s="228"/>
      <c r="D67" s="205">
        <f t="shared" si="22"/>
        <v>7343.2573657800231</v>
      </c>
      <c r="E67" s="227">
        <f t="shared" si="23"/>
        <v>2691.1564965057792</v>
      </c>
      <c r="F67" s="227"/>
      <c r="G67" s="227">
        <f t="shared" si="24"/>
        <v>10034.413862285803</v>
      </c>
      <c r="H67" s="227"/>
      <c r="I67" s="202"/>
      <c r="J67" s="53"/>
      <c r="K67" s="53"/>
      <c r="L67" s="53"/>
      <c r="M67" s="53"/>
      <c r="N67" s="50"/>
      <c r="O67" s="98"/>
      <c r="S67" s="74"/>
      <c r="AA67" s="196">
        <f t="shared" si="0"/>
        <v>10034.413862285803</v>
      </c>
      <c r="AB67" s="185">
        <f t="shared" ca="1" si="6"/>
        <v>47789</v>
      </c>
      <c r="AC67" s="264">
        <f t="shared" si="14"/>
        <v>64</v>
      </c>
      <c r="AD67" s="265"/>
      <c r="AE67" s="83">
        <f t="shared" si="7"/>
        <v>9107.6899781021984</v>
      </c>
      <c r="AF67" s="84"/>
      <c r="AG67" s="270">
        <f t="shared" si="8"/>
        <v>926.72388418360401</v>
      </c>
      <c r="AH67" s="271"/>
      <c r="AI67" s="272">
        <f t="shared" si="9"/>
        <v>10034.413862285803</v>
      </c>
      <c r="AJ67" s="273"/>
      <c r="AK67" s="85">
        <f t="shared" ca="1" si="1"/>
        <v>47787</v>
      </c>
      <c r="AL67" s="264">
        <v>64</v>
      </c>
      <c r="AM67" s="265"/>
      <c r="AN67" s="86">
        <f t="shared" si="2"/>
        <v>6944.4444444444443</v>
      </c>
      <c r="AO67" s="87"/>
      <c r="AP67" s="266">
        <f t="shared" ca="1" si="3"/>
        <v>699.11458333333781</v>
      </c>
      <c r="AQ67" s="267"/>
      <c r="AR67" s="268">
        <f t="shared" ca="1" si="4"/>
        <v>7643.5590277777819</v>
      </c>
      <c r="AS67" s="269"/>
      <c r="AT67" s="87">
        <f t="shared" ca="1" si="10"/>
        <v>62500.0000000004</v>
      </c>
      <c r="AU67" s="75">
        <f t="shared" si="5"/>
        <v>10034.413862285803</v>
      </c>
    </row>
    <row r="68" spans="1:50" ht="13.8" customHeight="1" x14ac:dyDescent="0.3">
      <c r="A68" s="43"/>
      <c r="B68" s="228">
        <f t="shared" si="15"/>
        <v>45</v>
      </c>
      <c r="C68" s="228"/>
      <c r="D68" s="205">
        <f t="shared" si="22"/>
        <v>7422.7481267645908</v>
      </c>
      <c r="E68" s="227">
        <f t="shared" si="23"/>
        <v>2611.665735521211</v>
      </c>
      <c r="F68" s="227"/>
      <c r="G68" s="227">
        <f t="shared" si="24"/>
        <v>10034.413862285801</v>
      </c>
      <c r="H68" s="227"/>
      <c r="I68" s="202"/>
      <c r="J68" s="53"/>
      <c r="K68" s="53"/>
      <c r="L68" s="53"/>
      <c r="M68" s="53"/>
      <c r="N68" s="50"/>
      <c r="O68" s="98"/>
      <c r="S68" s="74"/>
      <c r="AA68" s="196">
        <f t="shared" si="0"/>
        <v>10034.413862285803</v>
      </c>
      <c r="AB68" s="185">
        <f t="shared" ca="1" si="6"/>
        <v>47819</v>
      </c>
      <c r="AC68" s="264">
        <f t="shared" si="14"/>
        <v>65</v>
      </c>
      <c r="AD68" s="265"/>
      <c r="AE68" s="83">
        <f t="shared" si="7"/>
        <v>9206.2807221151543</v>
      </c>
      <c r="AF68" s="84"/>
      <c r="AG68" s="270">
        <f t="shared" si="8"/>
        <v>828.13314017064772</v>
      </c>
      <c r="AH68" s="271"/>
      <c r="AI68" s="272">
        <f t="shared" si="9"/>
        <v>10034.413862285803</v>
      </c>
      <c r="AJ68" s="273"/>
      <c r="AK68" s="85">
        <f t="shared" ca="1" si="1"/>
        <v>47817</v>
      </c>
      <c r="AL68" s="264">
        <v>65</v>
      </c>
      <c r="AM68" s="265"/>
      <c r="AN68" s="86">
        <f t="shared" si="2"/>
        <v>6944.4444444444443</v>
      </c>
      <c r="AO68" s="87"/>
      <c r="AP68" s="266">
        <f t="shared" ca="1" si="3"/>
        <v>601.38888888889323</v>
      </c>
      <c r="AQ68" s="267"/>
      <c r="AR68" s="268">
        <f t="shared" ca="1" si="4"/>
        <v>7545.8333333333376</v>
      </c>
      <c r="AS68" s="269"/>
      <c r="AT68" s="87">
        <f t="shared" ca="1" si="10"/>
        <v>55555.555555555955</v>
      </c>
      <c r="AU68" s="75">
        <f t="shared" si="5"/>
        <v>10034.413862285803</v>
      </c>
    </row>
    <row r="69" spans="1:50" ht="13.8" customHeight="1" x14ac:dyDescent="0.3">
      <c r="A69" s="43"/>
      <c r="B69" s="228">
        <f t="shared" si="15"/>
        <v>46</v>
      </c>
      <c r="C69" s="228"/>
      <c r="D69" s="205">
        <f t="shared" si="22"/>
        <v>7503.0993752368186</v>
      </c>
      <c r="E69" s="227">
        <f t="shared" si="23"/>
        <v>2531.3144870489841</v>
      </c>
      <c r="F69" s="227"/>
      <c r="G69" s="227">
        <f t="shared" si="24"/>
        <v>10034.413862285803</v>
      </c>
      <c r="H69" s="227"/>
      <c r="I69" s="202"/>
      <c r="J69" s="53"/>
      <c r="K69" s="53"/>
      <c r="L69" s="53"/>
      <c r="M69" s="53"/>
      <c r="N69" s="50"/>
      <c r="O69" s="98"/>
      <c r="S69" s="74"/>
      <c r="AA69" s="196">
        <f t="shared" ref="AA69:AA87" si="25">AI69</f>
        <v>10034.413862285801</v>
      </c>
      <c r="AB69" s="185">
        <f t="shared" ca="1" si="6"/>
        <v>47850</v>
      </c>
      <c r="AC69" s="264">
        <f t="shared" si="14"/>
        <v>66</v>
      </c>
      <c r="AD69" s="265"/>
      <c r="AE69" s="83">
        <f t="shared" si="7"/>
        <v>9305.9387109320505</v>
      </c>
      <c r="AF69" s="84"/>
      <c r="AG69" s="270">
        <f t="shared" si="8"/>
        <v>728.47515135375113</v>
      </c>
      <c r="AH69" s="271"/>
      <c r="AI69" s="272">
        <f t="shared" si="9"/>
        <v>10034.413862285801</v>
      </c>
      <c r="AJ69" s="273"/>
      <c r="AK69" s="85">
        <f t="shared" ref="AK69:AK89" ca="1" si="26">IF(AL69="","",DATE(YEAR(AK68),MONTH(AK68)+2,DAY(1)-1))</f>
        <v>47848</v>
      </c>
      <c r="AL69" s="264">
        <v>66</v>
      </c>
      <c r="AM69" s="265"/>
      <c r="AN69" s="86">
        <f t="shared" ref="AN69:AN89" si="27">$N$2/$E$12</f>
        <v>6944.4444444444443</v>
      </c>
      <c r="AO69" s="87"/>
      <c r="AP69" s="266">
        <f t="shared" ref="AP69:AP89" ca="1" si="28">AT69*$E$14/100*(AK69-AK68)/360</f>
        <v>543.7557870370415</v>
      </c>
      <c r="AQ69" s="267"/>
      <c r="AR69" s="268">
        <f t="shared" ref="AR69:AR89" ca="1" si="29">AN69+AP69</f>
        <v>7488.2002314814854</v>
      </c>
      <c r="AS69" s="269"/>
      <c r="AT69" s="87">
        <f t="shared" ca="1" si="10"/>
        <v>48611.11111111151</v>
      </c>
      <c r="AU69" s="75">
        <f t="shared" ref="AU69:AU90" si="30">AI69</f>
        <v>10034.413862285801</v>
      </c>
    </row>
    <row r="70" spans="1:50" ht="13.8" customHeight="1" x14ac:dyDescent="0.3">
      <c r="A70" s="43"/>
      <c r="B70" s="228">
        <f t="shared" si="15"/>
        <v>47</v>
      </c>
      <c r="C70" s="228"/>
      <c r="D70" s="205">
        <f t="shared" si="22"/>
        <v>7584.3204259737568</v>
      </c>
      <c r="E70" s="227">
        <f t="shared" si="23"/>
        <v>2450.0934363120455</v>
      </c>
      <c r="F70" s="227"/>
      <c r="G70" s="227">
        <f t="shared" si="24"/>
        <v>10034.413862285803</v>
      </c>
      <c r="H70" s="227"/>
      <c r="I70" s="202"/>
      <c r="J70" s="53"/>
      <c r="K70" s="53"/>
      <c r="L70" s="53"/>
      <c r="M70" s="53"/>
      <c r="N70" s="50"/>
      <c r="O70" s="98"/>
      <c r="S70" s="74"/>
      <c r="AA70" s="196">
        <f t="shared" si="25"/>
        <v>10034.413862285803</v>
      </c>
      <c r="AB70" s="185">
        <f t="shared" ref="AB70:AB87" ca="1" si="31">IF(AC70&gt;$V$26,"-",IF($V$26=AC70,$V$25,DATE(YEAR(AB69),MONTH(AB69)+1,IF($V$20&lt;&gt;"",DAY(IF($V$20&gt;DAY(EOMONTH(AB69,1)),EOMONTH(AB69,1),$V$20)),DAY(1)))))</f>
        <v>47881</v>
      </c>
      <c r="AC70" s="264">
        <f t="shared" si="14"/>
        <v>67</v>
      </c>
      <c r="AD70" s="265"/>
      <c r="AE70" s="83">
        <f t="shared" ref="AE70:AE87" si="32">IF(AC70&gt;$V$26,"-",IF($AE$4=0,PPMT($E$14/1200,AC69,$E$12,-$N$2),PPMT($E$14/1200,AC70,$E$12,-$N$2)))</f>
        <v>9406.6754974778905</v>
      </c>
      <c r="AF70" s="84"/>
      <c r="AG70" s="270">
        <f t="shared" ref="AG70:AG87" si="33">IF(AC70&gt;$V$26,"-",IF($AE$4=0,IPMT($E$14/1200,AC69,$E$12,-$N$2),IPMT($E$14/1200,AC70,$E$12,-$N$2)))</f>
        <v>627.73836480791181</v>
      </c>
      <c r="AH70" s="271"/>
      <c r="AI70" s="272">
        <f t="shared" ref="AI70:AI87" si="34">IF(AC70&gt;$V$26,"-",AG70+AE70)</f>
        <v>10034.413862285803</v>
      </c>
      <c r="AJ70" s="273"/>
      <c r="AK70" s="85">
        <f t="shared" ca="1" si="26"/>
        <v>47879</v>
      </c>
      <c r="AL70" s="264">
        <v>67</v>
      </c>
      <c r="AM70" s="265"/>
      <c r="AN70" s="86">
        <f t="shared" si="27"/>
        <v>6944.4444444444443</v>
      </c>
      <c r="AO70" s="87"/>
      <c r="AP70" s="266">
        <f t="shared" ca="1" si="28"/>
        <v>466.07638888889323</v>
      </c>
      <c r="AQ70" s="267"/>
      <c r="AR70" s="268">
        <f t="shared" ca="1" si="29"/>
        <v>7410.5208333333376</v>
      </c>
      <c r="AS70" s="269"/>
      <c r="AT70" s="87">
        <f t="shared" ref="AT70:AT89" ca="1" si="35">AT69-AN69</f>
        <v>41666.666666667064</v>
      </c>
      <c r="AU70" s="75">
        <f t="shared" si="30"/>
        <v>10034.413862285803</v>
      </c>
    </row>
    <row r="71" spans="1:50" ht="13.8" customHeight="1" x14ac:dyDescent="0.3">
      <c r="A71" s="43"/>
      <c r="B71" s="228">
        <f t="shared" si="15"/>
        <v>48</v>
      </c>
      <c r="C71" s="228"/>
      <c r="D71" s="205">
        <f t="shared" si="22"/>
        <v>7666.4206945849237</v>
      </c>
      <c r="E71" s="227">
        <f t="shared" si="23"/>
        <v>2367.993167700879</v>
      </c>
      <c r="F71" s="227"/>
      <c r="G71" s="227">
        <f t="shared" si="24"/>
        <v>10034.413862285803</v>
      </c>
      <c r="H71" s="227"/>
      <c r="I71" s="202"/>
      <c r="J71" s="53"/>
      <c r="K71" s="53"/>
      <c r="L71" s="53"/>
      <c r="M71" s="53"/>
      <c r="N71" s="50"/>
      <c r="O71" s="98"/>
      <c r="S71" s="74"/>
      <c r="AA71" s="196">
        <f t="shared" si="25"/>
        <v>10034.413862285803</v>
      </c>
      <c r="AB71" s="185">
        <f t="shared" ca="1" si="31"/>
        <v>47909</v>
      </c>
      <c r="AC71" s="264">
        <f t="shared" si="14"/>
        <v>68</v>
      </c>
      <c r="AD71" s="265"/>
      <c r="AE71" s="83">
        <f t="shared" si="32"/>
        <v>9508.5027597380886</v>
      </c>
      <c r="AF71" s="84"/>
      <c r="AG71" s="270">
        <f t="shared" si="33"/>
        <v>525.91110254771365</v>
      </c>
      <c r="AH71" s="271"/>
      <c r="AI71" s="272">
        <f t="shared" si="34"/>
        <v>10034.413862285803</v>
      </c>
      <c r="AJ71" s="273"/>
      <c r="AK71" s="85">
        <f t="shared" ca="1" si="26"/>
        <v>47907</v>
      </c>
      <c r="AL71" s="264">
        <v>68</v>
      </c>
      <c r="AM71" s="265"/>
      <c r="AN71" s="86">
        <f t="shared" si="27"/>
        <v>6944.4444444444443</v>
      </c>
      <c r="AO71" s="87"/>
      <c r="AP71" s="266">
        <f t="shared" ca="1" si="28"/>
        <v>350.81018518518914</v>
      </c>
      <c r="AQ71" s="267"/>
      <c r="AR71" s="268">
        <f t="shared" ca="1" si="29"/>
        <v>7295.2546296296332</v>
      </c>
      <c r="AS71" s="269"/>
      <c r="AT71" s="87">
        <f t="shared" ca="1" si="35"/>
        <v>34722.222222222619</v>
      </c>
      <c r="AU71" s="75">
        <f t="shared" si="30"/>
        <v>10034.413862285803</v>
      </c>
    </row>
    <row r="72" spans="1:50" ht="13.8" customHeight="1" x14ac:dyDescent="0.3">
      <c r="A72" s="43"/>
      <c r="B72" s="228">
        <f>IF(E12=48,"Всього:",IF(B71&lt;$E$12,B71+1,""))</f>
        <v>49</v>
      </c>
      <c r="C72" s="228"/>
      <c r="D72" s="205">
        <f>IF(E12=48,SUM(D24:D71),IF(B71&lt;$E$12,AE52,""))</f>
        <v>7749.4096986038039</v>
      </c>
      <c r="E72" s="227">
        <f>IF(E12=48,SUM(E24:F71),IF(B71&lt;$E$12,AG52,""))</f>
        <v>2285.0041636819974</v>
      </c>
      <c r="F72" s="227"/>
      <c r="G72" s="227">
        <f>IF(E12=48,SUM(G24:H71),IF(B71&lt;$E$12,AI52,""))</f>
        <v>10034.413862285801</v>
      </c>
      <c r="H72" s="227"/>
      <c r="I72" s="202"/>
      <c r="J72" s="53"/>
      <c r="K72" s="53"/>
      <c r="L72" s="53"/>
      <c r="M72" s="53"/>
      <c r="N72" s="50"/>
      <c r="O72" s="98"/>
      <c r="S72" s="74"/>
      <c r="AA72" s="196">
        <f t="shared" si="25"/>
        <v>10034.413862285801</v>
      </c>
      <c r="AB72" s="185">
        <f t="shared" ca="1" si="31"/>
        <v>47940</v>
      </c>
      <c r="AC72" s="264">
        <f t="shared" si="14"/>
        <v>69</v>
      </c>
      <c r="AD72" s="265"/>
      <c r="AE72" s="83">
        <f t="shared" si="32"/>
        <v>9611.4323021122527</v>
      </c>
      <c r="AF72" s="84"/>
      <c r="AG72" s="270">
        <f t="shared" si="33"/>
        <v>422.98156017354881</v>
      </c>
      <c r="AH72" s="271"/>
      <c r="AI72" s="272">
        <f t="shared" si="34"/>
        <v>10034.413862285801</v>
      </c>
      <c r="AJ72" s="273"/>
      <c r="AK72" s="85">
        <f t="shared" ca="1" si="26"/>
        <v>47938</v>
      </c>
      <c r="AL72" s="264">
        <v>69</v>
      </c>
      <c r="AM72" s="265"/>
      <c r="AN72" s="86">
        <f t="shared" si="27"/>
        <v>6944.4444444444443</v>
      </c>
      <c r="AO72" s="87"/>
      <c r="AP72" s="266">
        <f t="shared" ca="1" si="28"/>
        <v>310.71759259259704</v>
      </c>
      <c r="AQ72" s="267"/>
      <c r="AR72" s="268">
        <f t="shared" ca="1" si="29"/>
        <v>7255.162037037041</v>
      </c>
      <c r="AS72" s="269"/>
      <c r="AT72" s="87">
        <f t="shared" ca="1" si="35"/>
        <v>27777.777777778174</v>
      </c>
      <c r="AU72" s="75">
        <f t="shared" si="30"/>
        <v>10034.413862285801</v>
      </c>
    </row>
    <row r="73" spans="1:50" ht="13.8" customHeight="1" x14ac:dyDescent="0.3">
      <c r="A73" s="43"/>
      <c r="B73" s="228">
        <f t="shared" si="15"/>
        <v>50</v>
      </c>
      <c r="C73" s="228"/>
      <c r="D73" s="205">
        <f t="shared" ref="D73:D83" si="36">IF(B72&lt;$E$12,AE53,"")</f>
        <v>7833.2970585911899</v>
      </c>
      <c r="E73" s="227">
        <f t="shared" ref="E73:E83" si="37">IF(B72&lt;$E$12,AG53,"")</f>
        <v>2201.1168036946115</v>
      </c>
      <c r="F73" s="227"/>
      <c r="G73" s="227">
        <f t="shared" ref="G73:G83" si="38">IF(B72&lt;$E$12,AI53,"")</f>
        <v>10034.413862285801</v>
      </c>
      <c r="H73" s="227"/>
      <c r="I73" s="202"/>
      <c r="J73" s="53"/>
      <c r="K73" s="53"/>
      <c r="L73" s="53"/>
      <c r="M73" s="53"/>
      <c r="N73" s="50"/>
      <c r="O73" s="98"/>
      <c r="S73" s="74"/>
      <c r="AA73" s="196">
        <f t="shared" si="25"/>
        <v>10034.413862285801</v>
      </c>
      <c r="AB73" s="185">
        <f t="shared" ca="1" si="31"/>
        <v>47970</v>
      </c>
      <c r="AC73" s="264">
        <f t="shared" si="14"/>
        <v>70</v>
      </c>
      <c r="AD73" s="265"/>
      <c r="AE73" s="83">
        <f t="shared" si="32"/>
        <v>9715.4760567826179</v>
      </c>
      <c r="AF73" s="84"/>
      <c r="AG73" s="270">
        <f t="shared" si="33"/>
        <v>318.93780550318365</v>
      </c>
      <c r="AH73" s="271"/>
      <c r="AI73" s="272">
        <f t="shared" si="34"/>
        <v>10034.413862285801</v>
      </c>
      <c r="AJ73" s="273"/>
      <c r="AK73" s="85">
        <f t="shared" ca="1" si="26"/>
        <v>47968</v>
      </c>
      <c r="AL73" s="264">
        <v>70</v>
      </c>
      <c r="AM73" s="265"/>
      <c r="AN73" s="86">
        <f t="shared" si="27"/>
        <v>6944.4444444444443</v>
      </c>
      <c r="AO73" s="87"/>
      <c r="AP73" s="266">
        <f t="shared" ca="1" si="28"/>
        <v>225.52083333333761</v>
      </c>
      <c r="AQ73" s="267"/>
      <c r="AR73" s="268">
        <f t="shared" ca="1" si="29"/>
        <v>7169.9652777777819</v>
      </c>
      <c r="AS73" s="269"/>
      <c r="AT73" s="87">
        <f t="shared" ca="1" si="35"/>
        <v>20833.333333333729</v>
      </c>
      <c r="AU73" s="75">
        <f t="shared" si="30"/>
        <v>10034.413862285801</v>
      </c>
    </row>
    <row r="74" spans="1:50" ht="13.8" customHeight="1" x14ac:dyDescent="0.3">
      <c r="A74" s="43"/>
      <c r="B74" s="228">
        <f t="shared" si="15"/>
        <v>51</v>
      </c>
      <c r="C74" s="228"/>
      <c r="D74" s="205">
        <f t="shared" si="36"/>
        <v>7918.0924992504406</v>
      </c>
      <c r="E74" s="227">
        <f t="shared" si="37"/>
        <v>2116.3213630353616</v>
      </c>
      <c r="F74" s="227"/>
      <c r="G74" s="227">
        <f t="shared" si="38"/>
        <v>10034.413862285803</v>
      </c>
      <c r="H74" s="227"/>
      <c r="I74" s="202"/>
      <c r="J74" s="53"/>
      <c r="K74" s="53"/>
      <c r="L74" s="53"/>
      <c r="M74" s="53"/>
      <c r="N74" s="50"/>
      <c r="O74" s="98"/>
      <c r="S74" s="74"/>
      <c r="AA74" s="196">
        <f t="shared" si="25"/>
        <v>10034.413862285803</v>
      </c>
      <c r="AB74" s="185">
        <f t="shared" ca="1" si="31"/>
        <v>48001</v>
      </c>
      <c r="AC74" s="264">
        <f t="shared" si="14"/>
        <v>71</v>
      </c>
      <c r="AD74" s="265"/>
      <c r="AE74" s="83">
        <f t="shared" si="32"/>
        <v>9820.6460850972908</v>
      </c>
      <c r="AF74" s="84"/>
      <c r="AG74" s="270">
        <f t="shared" si="33"/>
        <v>213.76777718851181</v>
      </c>
      <c r="AH74" s="271"/>
      <c r="AI74" s="272">
        <f t="shared" si="34"/>
        <v>10034.413862285803</v>
      </c>
      <c r="AJ74" s="273"/>
      <c r="AK74" s="85">
        <f t="shared" ca="1" si="26"/>
        <v>47999</v>
      </c>
      <c r="AL74" s="264">
        <v>71</v>
      </c>
      <c r="AM74" s="265"/>
      <c r="AN74" s="86">
        <f t="shared" si="27"/>
        <v>6944.4444444444443</v>
      </c>
      <c r="AO74" s="87"/>
      <c r="AP74" s="266">
        <f t="shared" ca="1" si="28"/>
        <v>155.35879629630074</v>
      </c>
      <c r="AQ74" s="267"/>
      <c r="AR74" s="268">
        <f t="shared" ca="1" si="29"/>
        <v>7099.8032407407454</v>
      </c>
      <c r="AS74" s="269"/>
      <c r="AT74" s="87">
        <f t="shared" ca="1" si="35"/>
        <v>13888.888888889283</v>
      </c>
      <c r="AU74" s="75">
        <f t="shared" si="30"/>
        <v>10034.413862285803</v>
      </c>
    </row>
    <row r="75" spans="1:50" ht="13.8" customHeight="1" x14ac:dyDescent="0.3">
      <c r="A75" s="43"/>
      <c r="B75" s="228">
        <f t="shared" si="15"/>
        <v>52</v>
      </c>
      <c r="C75" s="228"/>
      <c r="D75" s="205">
        <f t="shared" si="36"/>
        <v>8003.805850554827</v>
      </c>
      <c r="E75" s="227">
        <f t="shared" si="37"/>
        <v>2030.6080117309759</v>
      </c>
      <c r="F75" s="227"/>
      <c r="G75" s="227">
        <f t="shared" si="38"/>
        <v>10034.413862285803</v>
      </c>
      <c r="H75" s="227"/>
      <c r="I75" s="202"/>
      <c r="J75" s="53"/>
      <c r="K75" s="53"/>
      <c r="L75" s="53"/>
      <c r="M75" s="53"/>
      <c r="N75" s="50"/>
      <c r="O75" s="98"/>
      <c r="S75" s="74"/>
      <c r="AA75" s="196">
        <f>IFERROR(AI75+Z76,"-")</f>
        <v>10034.413862285803</v>
      </c>
      <c r="AB75" s="185">
        <f t="shared" ca="1" si="31"/>
        <v>48030</v>
      </c>
      <c r="AC75" s="264">
        <f t="shared" si="14"/>
        <v>72</v>
      </c>
      <c r="AD75" s="265"/>
      <c r="AE75" s="83">
        <f t="shared" si="32"/>
        <v>9926.9545789684689</v>
      </c>
      <c r="AF75" s="84"/>
      <c r="AG75" s="270">
        <f t="shared" si="33"/>
        <v>107.45928331733367</v>
      </c>
      <c r="AH75" s="271"/>
      <c r="AI75" s="272">
        <f t="shared" si="34"/>
        <v>10034.413862285803</v>
      </c>
      <c r="AJ75" s="273"/>
      <c r="AK75" s="85">
        <f t="shared" ca="1" si="26"/>
        <v>48029</v>
      </c>
      <c r="AL75" s="264">
        <v>72</v>
      </c>
      <c r="AM75" s="265"/>
      <c r="AN75" s="86">
        <f t="shared" si="27"/>
        <v>6944.4444444444443</v>
      </c>
      <c r="AO75" s="87"/>
      <c r="AP75" s="266">
        <f t="shared" ca="1" si="28"/>
        <v>75.173611111115392</v>
      </c>
      <c r="AQ75" s="267"/>
      <c r="AR75" s="268">
        <f t="shared" ca="1" si="29"/>
        <v>7019.6180555555593</v>
      </c>
      <c r="AS75" s="269"/>
      <c r="AT75" s="87">
        <f t="shared" ca="1" si="35"/>
        <v>6944.4444444448391</v>
      </c>
      <c r="AU75" s="75">
        <f t="shared" si="30"/>
        <v>10034.413862285803</v>
      </c>
    </row>
    <row r="76" spans="1:50" ht="13.8" customHeight="1" x14ac:dyDescent="0.3">
      <c r="A76" s="43"/>
      <c r="B76" s="228">
        <f t="shared" si="15"/>
        <v>53</v>
      </c>
      <c r="C76" s="228"/>
      <c r="D76" s="205">
        <f t="shared" si="36"/>
        <v>8090.4470488870829</v>
      </c>
      <c r="E76" s="227">
        <f t="shared" si="37"/>
        <v>1943.96681339872</v>
      </c>
      <c r="F76" s="227"/>
      <c r="G76" s="227">
        <f t="shared" si="38"/>
        <v>10034.413862285803</v>
      </c>
      <c r="H76" s="227"/>
      <c r="I76" s="202"/>
      <c r="J76" s="53"/>
      <c r="K76" s="53"/>
      <c r="L76" s="53"/>
      <c r="M76" s="53"/>
      <c r="N76" s="50"/>
      <c r="O76" s="98"/>
      <c r="S76" s="74"/>
      <c r="Z76" s="116">
        <f>IF($V$26&gt;AC76,$E$4*0.9*0.9*0.9*0.9*0.9*0.9*5.49%,0)</f>
        <v>0</v>
      </c>
      <c r="AA76" s="196" t="str">
        <f t="shared" si="25"/>
        <v>-</v>
      </c>
      <c r="AB76" s="185" t="str">
        <f t="shared" si="31"/>
        <v>-</v>
      </c>
      <c r="AC76" s="264">
        <f t="shared" si="14"/>
        <v>73</v>
      </c>
      <c r="AD76" s="265"/>
      <c r="AE76" s="83" t="str">
        <f t="shared" si="32"/>
        <v>-</v>
      </c>
      <c r="AF76" s="84"/>
      <c r="AG76" s="270" t="str">
        <f t="shared" si="33"/>
        <v>-</v>
      </c>
      <c r="AH76" s="271"/>
      <c r="AI76" s="272" t="str">
        <f t="shared" si="34"/>
        <v>-</v>
      </c>
      <c r="AJ76" s="273"/>
      <c r="AK76" s="85">
        <f t="shared" ca="1" si="26"/>
        <v>48060</v>
      </c>
      <c r="AL76" s="264">
        <v>73</v>
      </c>
      <c r="AM76" s="265"/>
      <c r="AN76" s="86">
        <f t="shared" si="27"/>
        <v>6944.4444444444443</v>
      </c>
      <c r="AO76" s="87"/>
      <c r="AP76" s="266">
        <f t="shared" ca="1" si="28"/>
        <v>4.4152799697864488E-12</v>
      </c>
      <c r="AQ76" s="267"/>
      <c r="AR76" s="268">
        <f t="shared" ca="1" si="29"/>
        <v>6944.4444444444489</v>
      </c>
      <c r="AS76" s="269"/>
      <c r="AT76" s="87">
        <f t="shared" ca="1" si="35"/>
        <v>3.9472070056945086E-10</v>
      </c>
      <c r="AU76" s="75" t="e">
        <f>AI76+AW76+AX76</f>
        <v>#VALUE!</v>
      </c>
      <c r="AW76" s="63" t="str">
        <f>IF($E$12&gt;$R$7,$E$4*0.9*0.9*0.9*0.9*0.9*0.9*5.5%,"")</f>
        <v/>
      </c>
      <c r="AX76" s="63" t="e">
        <f>IF(#REF!=0,0,IF($E$12&gt;$R$7,(AE90-SUM(AE4:AE75))*0.0299,""))</f>
        <v>#REF!</v>
      </c>
    </row>
    <row r="77" spans="1:50" ht="13.8" customHeight="1" x14ac:dyDescent="0.3">
      <c r="A77" s="43"/>
      <c r="B77" s="228">
        <f t="shared" si="15"/>
        <v>54</v>
      </c>
      <c r="C77" s="228"/>
      <c r="D77" s="205">
        <f t="shared" si="36"/>
        <v>8178.0261381912851</v>
      </c>
      <c r="E77" s="227">
        <f t="shared" si="37"/>
        <v>1856.3877240945174</v>
      </c>
      <c r="F77" s="227"/>
      <c r="G77" s="227">
        <f t="shared" si="38"/>
        <v>10034.413862285803</v>
      </c>
      <c r="H77" s="227"/>
      <c r="I77" s="202"/>
      <c r="J77" s="53"/>
      <c r="K77" s="53"/>
      <c r="L77" s="53"/>
      <c r="M77" s="53"/>
      <c r="N77" s="50"/>
      <c r="O77" s="98"/>
      <c r="S77" s="74"/>
      <c r="AA77" s="196" t="str">
        <f t="shared" si="25"/>
        <v>-</v>
      </c>
      <c r="AB77" s="185" t="str">
        <f t="shared" si="31"/>
        <v>-</v>
      </c>
      <c r="AC77" s="264">
        <f t="shared" si="14"/>
        <v>74</v>
      </c>
      <c r="AD77" s="265"/>
      <c r="AE77" s="83" t="str">
        <f t="shared" si="32"/>
        <v>-</v>
      </c>
      <c r="AF77" s="84"/>
      <c r="AG77" s="270" t="str">
        <f t="shared" si="33"/>
        <v>-</v>
      </c>
      <c r="AH77" s="271"/>
      <c r="AI77" s="272" t="str">
        <f t="shared" si="34"/>
        <v>-</v>
      </c>
      <c r="AJ77" s="273"/>
      <c r="AK77" s="85">
        <f t="shared" ca="1" si="26"/>
        <v>48091</v>
      </c>
      <c r="AL77" s="264">
        <v>74</v>
      </c>
      <c r="AM77" s="265"/>
      <c r="AN77" s="86">
        <f t="shared" si="27"/>
        <v>6944.4444444444443</v>
      </c>
      <c r="AO77" s="87"/>
      <c r="AP77" s="266">
        <f t="shared" ca="1" si="28"/>
        <v>-77.679398148143733</v>
      </c>
      <c r="AQ77" s="267"/>
      <c r="AR77" s="268">
        <f t="shared" ca="1" si="29"/>
        <v>6866.7650462963002</v>
      </c>
      <c r="AS77" s="269"/>
      <c r="AT77" s="87">
        <f t="shared" ca="1" si="35"/>
        <v>-6944.4444444440496</v>
      </c>
      <c r="AU77" s="75" t="str">
        <f t="shared" si="30"/>
        <v>-</v>
      </c>
    </row>
    <row r="78" spans="1:50" ht="13.8" customHeight="1" x14ac:dyDescent="0.3">
      <c r="A78" s="43"/>
      <c r="B78" s="228">
        <f t="shared" si="15"/>
        <v>55</v>
      </c>
      <c r="C78" s="228"/>
      <c r="D78" s="205">
        <f t="shared" si="36"/>
        <v>8266.553271137207</v>
      </c>
      <c r="E78" s="227">
        <f t="shared" si="37"/>
        <v>1767.8605911485968</v>
      </c>
      <c r="F78" s="227"/>
      <c r="G78" s="227">
        <f t="shared" si="38"/>
        <v>10034.413862285804</v>
      </c>
      <c r="H78" s="227"/>
      <c r="I78" s="202"/>
      <c r="J78" s="53"/>
      <c r="K78" s="53"/>
      <c r="L78" s="53"/>
      <c r="M78" s="53"/>
      <c r="N78" s="50"/>
      <c r="O78" s="98"/>
      <c r="S78" s="74"/>
      <c r="AA78" s="196" t="str">
        <f t="shared" si="25"/>
        <v>-</v>
      </c>
      <c r="AB78" s="185" t="str">
        <f t="shared" si="31"/>
        <v>-</v>
      </c>
      <c r="AC78" s="264">
        <f t="shared" si="14"/>
        <v>75</v>
      </c>
      <c r="AD78" s="265"/>
      <c r="AE78" s="83" t="str">
        <f t="shared" si="32"/>
        <v>-</v>
      </c>
      <c r="AF78" s="84"/>
      <c r="AG78" s="270" t="str">
        <f t="shared" si="33"/>
        <v>-</v>
      </c>
      <c r="AH78" s="271"/>
      <c r="AI78" s="272" t="str">
        <f t="shared" si="34"/>
        <v>-</v>
      </c>
      <c r="AJ78" s="273"/>
      <c r="AK78" s="85">
        <f t="shared" ca="1" si="26"/>
        <v>48121</v>
      </c>
      <c r="AL78" s="264">
        <v>75</v>
      </c>
      <c r="AM78" s="265"/>
      <c r="AN78" s="86">
        <f t="shared" si="27"/>
        <v>6944.4444444444443</v>
      </c>
      <c r="AO78" s="87"/>
      <c r="AP78" s="266">
        <f t="shared" ca="1" si="28"/>
        <v>-150.34722222221794</v>
      </c>
      <c r="AQ78" s="267"/>
      <c r="AR78" s="268">
        <f t="shared" ca="1" si="29"/>
        <v>6794.0972222222263</v>
      </c>
      <c r="AS78" s="269"/>
      <c r="AT78" s="87">
        <f t="shared" ca="1" si="35"/>
        <v>-13888.888888888494</v>
      </c>
      <c r="AU78" s="75" t="str">
        <f t="shared" si="30"/>
        <v>-</v>
      </c>
    </row>
    <row r="79" spans="1:50" ht="13.8" customHeight="1" x14ac:dyDescent="0.3">
      <c r="A79" s="43"/>
      <c r="B79" s="228">
        <f t="shared" si="15"/>
        <v>56</v>
      </c>
      <c r="C79" s="228"/>
      <c r="D79" s="205">
        <f t="shared" si="36"/>
        <v>8356.0387102972654</v>
      </c>
      <c r="E79" s="227">
        <f t="shared" si="37"/>
        <v>1678.3751519885363</v>
      </c>
      <c r="F79" s="227"/>
      <c r="G79" s="227">
        <f t="shared" si="38"/>
        <v>10034.413862285801</v>
      </c>
      <c r="H79" s="227"/>
      <c r="I79" s="202"/>
      <c r="J79" s="53"/>
      <c r="K79" s="53"/>
      <c r="L79" s="53"/>
      <c r="M79" s="53"/>
      <c r="N79" s="50"/>
      <c r="O79" s="98"/>
      <c r="S79" s="74"/>
      <c r="AA79" s="196" t="str">
        <f t="shared" si="25"/>
        <v>-</v>
      </c>
      <c r="AB79" s="185" t="str">
        <f t="shared" si="31"/>
        <v>-</v>
      </c>
      <c r="AC79" s="264">
        <f>AC78+1</f>
        <v>76</v>
      </c>
      <c r="AD79" s="265"/>
      <c r="AE79" s="83" t="str">
        <f t="shared" si="32"/>
        <v>-</v>
      </c>
      <c r="AF79" s="84"/>
      <c r="AG79" s="270" t="str">
        <f t="shared" si="33"/>
        <v>-</v>
      </c>
      <c r="AH79" s="271"/>
      <c r="AI79" s="272" t="str">
        <f t="shared" si="34"/>
        <v>-</v>
      </c>
      <c r="AJ79" s="273"/>
      <c r="AK79" s="85">
        <f t="shared" ca="1" si="26"/>
        <v>48152</v>
      </c>
      <c r="AL79" s="264">
        <v>76</v>
      </c>
      <c r="AM79" s="265"/>
      <c r="AN79" s="86">
        <f t="shared" si="27"/>
        <v>6944.4444444444443</v>
      </c>
      <c r="AO79" s="87"/>
      <c r="AP79" s="266">
        <f t="shared" ca="1" si="28"/>
        <v>-233.03819444444005</v>
      </c>
      <c r="AQ79" s="267"/>
      <c r="AR79" s="268">
        <f t="shared" ca="1" si="29"/>
        <v>6711.4062500000045</v>
      </c>
      <c r="AS79" s="269"/>
      <c r="AT79" s="87">
        <f t="shared" ca="1" si="35"/>
        <v>-20833.333333332939</v>
      </c>
      <c r="AU79" s="75" t="str">
        <f t="shared" si="30"/>
        <v>-</v>
      </c>
    </row>
    <row r="80" spans="1:50" ht="13.8" customHeight="1" x14ac:dyDescent="0.3">
      <c r="A80" s="43"/>
      <c r="B80" s="228">
        <f t="shared" si="15"/>
        <v>57</v>
      </c>
      <c r="C80" s="228"/>
      <c r="D80" s="205">
        <f t="shared" si="36"/>
        <v>8446.4928293362336</v>
      </c>
      <c r="E80" s="227">
        <f t="shared" si="37"/>
        <v>1587.9210329495686</v>
      </c>
      <c r="F80" s="227"/>
      <c r="G80" s="227">
        <f t="shared" si="38"/>
        <v>10034.413862285803</v>
      </c>
      <c r="H80" s="227"/>
      <c r="I80" s="202"/>
      <c r="J80" s="53"/>
      <c r="K80" s="53"/>
      <c r="L80" s="53"/>
      <c r="M80" s="53"/>
      <c r="N80" s="50"/>
      <c r="O80" s="98"/>
      <c r="S80" s="74"/>
      <c r="AA80" s="196" t="str">
        <f t="shared" si="25"/>
        <v>-</v>
      </c>
      <c r="AB80" s="185" t="str">
        <f t="shared" si="31"/>
        <v>-</v>
      </c>
      <c r="AC80" s="264">
        <f t="shared" ref="AC80:AC86" si="39">AC79+1</f>
        <v>77</v>
      </c>
      <c r="AD80" s="265"/>
      <c r="AE80" s="83" t="str">
        <f t="shared" si="32"/>
        <v>-</v>
      </c>
      <c r="AF80" s="84"/>
      <c r="AG80" s="270" t="str">
        <f t="shared" si="33"/>
        <v>-</v>
      </c>
      <c r="AH80" s="271"/>
      <c r="AI80" s="272" t="str">
        <f t="shared" si="34"/>
        <v>-</v>
      </c>
      <c r="AJ80" s="273"/>
      <c r="AK80" s="85">
        <f t="shared" ca="1" si="26"/>
        <v>48182</v>
      </c>
      <c r="AL80" s="264">
        <v>77</v>
      </c>
      <c r="AM80" s="265"/>
      <c r="AN80" s="86">
        <f t="shared" si="27"/>
        <v>6944.4444444444443</v>
      </c>
      <c r="AO80" s="87"/>
      <c r="AP80" s="266">
        <f t="shared" ca="1" si="28"/>
        <v>-300.69444444444019</v>
      </c>
      <c r="AQ80" s="267"/>
      <c r="AR80" s="268">
        <f t="shared" ca="1" si="29"/>
        <v>6643.7500000000045</v>
      </c>
      <c r="AS80" s="269"/>
      <c r="AT80" s="87">
        <f t="shared" ca="1" si="35"/>
        <v>-27777.777777777384</v>
      </c>
      <c r="AU80" s="75" t="str">
        <f t="shared" si="30"/>
        <v>-</v>
      </c>
    </row>
    <row r="81" spans="1:47" ht="13.8" customHeight="1" x14ac:dyDescent="0.3">
      <c r="A81" s="43"/>
      <c r="B81" s="228">
        <f t="shared" si="15"/>
        <v>58</v>
      </c>
      <c r="C81" s="228"/>
      <c r="D81" s="205">
        <f t="shared" si="36"/>
        <v>8537.9261142137984</v>
      </c>
      <c r="E81" s="227">
        <f t="shared" si="37"/>
        <v>1496.4877480720038</v>
      </c>
      <c r="F81" s="227"/>
      <c r="G81" s="227">
        <f t="shared" si="38"/>
        <v>10034.413862285803</v>
      </c>
      <c r="H81" s="227"/>
      <c r="I81" s="202"/>
      <c r="J81" s="53"/>
      <c r="K81" s="53"/>
      <c r="L81" s="53"/>
      <c r="M81" s="53"/>
      <c r="N81" s="50"/>
      <c r="O81" s="98"/>
      <c r="S81" s="74"/>
      <c r="AA81" s="196" t="str">
        <f t="shared" si="25"/>
        <v>-</v>
      </c>
      <c r="AB81" s="185" t="str">
        <f t="shared" si="31"/>
        <v>-</v>
      </c>
      <c r="AC81" s="264">
        <f t="shared" si="39"/>
        <v>78</v>
      </c>
      <c r="AD81" s="265"/>
      <c r="AE81" s="83" t="str">
        <f t="shared" si="32"/>
        <v>-</v>
      </c>
      <c r="AF81" s="84"/>
      <c r="AG81" s="270" t="str">
        <f t="shared" si="33"/>
        <v>-</v>
      </c>
      <c r="AH81" s="271"/>
      <c r="AI81" s="272" t="str">
        <f t="shared" si="34"/>
        <v>-</v>
      </c>
      <c r="AJ81" s="273"/>
      <c r="AK81" s="85">
        <f t="shared" ca="1" si="26"/>
        <v>48213</v>
      </c>
      <c r="AL81" s="264">
        <v>78</v>
      </c>
      <c r="AM81" s="265"/>
      <c r="AN81" s="86">
        <f t="shared" si="27"/>
        <v>6944.4444444444443</v>
      </c>
      <c r="AO81" s="87"/>
      <c r="AP81" s="266">
        <f t="shared" ca="1" si="28"/>
        <v>-388.39699074073627</v>
      </c>
      <c r="AQ81" s="267"/>
      <c r="AR81" s="268">
        <f t="shared" ca="1" si="29"/>
        <v>6556.047453703708</v>
      </c>
      <c r="AS81" s="269"/>
      <c r="AT81" s="87">
        <f t="shared" ca="1" si="35"/>
        <v>-34722.222222221826</v>
      </c>
      <c r="AU81" s="75" t="str">
        <f t="shared" si="30"/>
        <v>-</v>
      </c>
    </row>
    <row r="82" spans="1:47" ht="13.8" customHeight="1" x14ac:dyDescent="0.3">
      <c r="A82" s="43"/>
      <c r="B82" s="228">
        <f t="shared" si="15"/>
        <v>59</v>
      </c>
      <c r="C82" s="228"/>
      <c r="D82" s="205">
        <f t="shared" si="36"/>
        <v>8630.3491644001624</v>
      </c>
      <c r="E82" s="227">
        <f t="shared" si="37"/>
        <v>1404.0646978856391</v>
      </c>
      <c r="F82" s="227"/>
      <c r="G82" s="227">
        <f t="shared" si="38"/>
        <v>10034.413862285801</v>
      </c>
      <c r="H82" s="227"/>
      <c r="I82" s="202"/>
      <c r="J82" s="53"/>
      <c r="K82" s="53"/>
      <c r="L82" s="53"/>
      <c r="M82" s="53"/>
      <c r="N82" s="50"/>
      <c r="O82" s="98"/>
      <c r="S82" s="74"/>
      <c r="AA82" s="196" t="str">
        <f t="shared" si="25"/>
        <v>-</v>
      </c>
      <c r="AB82" s="185" t="str">
        <f t="shared" si="31"/>
        <v>-</v>
      </c>
      <c r="AC82" s="264">
        <f t="shared" si="39"/>
        <v>79</v>
      </c>
      <c r="AD82" s="265"/>
      <c r="AE82" s="83" t="str">
        <f t="shared" si="32"/>
        <v>-</v>
      </c>
      <c r="AF82" s="84"/>
      <c r="AG82" s="270" t="str">
        <f t="shared" si="33"/>
        <v>-</v>
      </c>
      <c r="AH82" s="271"/>
      <c r="AI82" s="272" t="str">
        <f t="shared" si="34"/>
        <v>-</v>
      </c>
      <c r="AJ82" s="273"/>
      <c r="AK82" s="85">
        <f t="shared" ca="1" si="26"/>
        <v>48244</v>
      </c>
      <c r="AL82" s="264">
        <v>79</v>
      </c>
      <c r="AM82" s="265"/>
      <c r="AN82" s="86">
        <f t="shared" si="27"/>
        <v>6944.4444444444443</v>
      </c>
      <c r="AO82" s="87"/>
      <c r="AP82" s="266">
        <f t="shared" ca="1" si="28"/>
        <v>-466.07638888888454</v>
      </c>
      <c r="AQ82" s="267"/>
      <c r="AR82" s="268">
        <f t="shared" ca="1" si="29"/>
        <v>6478.3680555555602</v>
      </c>
      <c r="AS82" s="269"/>
      <c r="AT82" s="87">
        <f t="shared" ca="1" si="35"/>
        <v>-41666.666666666271</v>
      </c>
      <c r="AU82" s="75" t="str">
        <f t="shared" si="30"/>
        <v>-</v>
      </c>
    </row>
    <row r="83" spans="1:47" ht="13.8" customHeight="1" x14ac:dyDescent="0.3">
      <c r="A83" s="43"/>
      <c r="B83" s="228">
        <f t="shared" si="15"/>
        <v>60</v>
      </c>
      <c r="C83" s="228"/>
      <c r="D83" s="205">
        <f t="shared" si="36"/>
        <v>8723.7726941047949</v>
      </c>
      <c r="E83" s="227">
        <f t="shared" si="37"/>
        <v>1310.6411681810075</v>
      </c>
      <c r="F83" s="227"/>
      <c r="G83" s="227">
        <f t="shared" si="38"/>
        <v>10034.413862285803</v>
      </c>
      <c r="H83" s="227"/>
      <c r="I83" s="202"/>
      <c r="J83" s="53"/>
      <c r="K83" s="53"/>
      <c r="L83" s="53"/>
      <c r="M83" s="53"/>
      <c r="N83" s="50"/>
      <c r="O83" s="98"/>
      <c r="S83" s="74"/>
      <c r="AA83" s="196" t="str">
        <f t="shared" si="25"/>
        <v>-</v>
      </c>
      <c r="AB83" s="185" t="str">
        <f t="shared" si="31"/>
        <v>-</v>
      </c>
      <c r="AC83" s="264">
        <f t="shared" si="39"/>
        <v>80</v>
      </c>
      <c r="AD83" s="265"/>
      <c r="AE83" s="83" t="str">
        <f t="shared" si="32"/>
        <v>-</v>
      </c>
      <c r="AF83" s="84"/>
      <c r="AG83" s="270" t="str">
        <f t="shared" si="33"/>
        <v>-</v>
      </c>
      <c r="AH83" s="271"/>
      <c r="AI83" s="272" t="str">
        <f t="shared" si="34"/>
        <v>-</v>
      </c>
      <c r="AJ83" s="273"/>
      <c r="AK83" s="85">
        <f t="shared" ca="1" si="26"/>
        <v>48273</v>
      </c>
      <c r="AL83" s="264">
        <v>80</v>
      </c>
      <c r="AM83" s="265"/>
      <c r="AN83" s="86">
        <f t="shared" si="27"/>
        <v>6944.4444444444443</v>
      </c>
      <c r="AO83" s="87"/>
      <c r="AP83" s="266">
        <f t="shared" ca="1" si="28"/>
        <v>-508.67476851851438</v>
      </c>
      <c r="AQ83" s="267"/>
      <c r="AR83" s="268">
        <f t="shared" ca="1" si="29"/>
        <v>6435.7696759259297</v>
      </c>
      <c r="AS83" s="269"/>
      <c r="AT83" s="87">
        <f t="shared" ca="1" si="35"/>
        <v>-48611.111111110717</v>
      </c>
      <c r="AU83" s="75" t="str">
        <f t="shared" si="30"/>
        <v>-</v>
      </c>
    </row>
    <row r="84" spans="1:47" ht="13.8" customHeight="1" x14ac:dyDescent="0.3">
      <c r="A84" s="43"/>
      <c r="B84" s="228">
        <f>IF(E12=60,"Всього:",IF(B83&lt;$E$12,B83+1,""))</f>
        <v>61</v>
      </c>
      <c r="C84" s="228"/>
      <c r="D84" s="205">
        <f>IF(E12=60,SUM(D24:D83),IF(B83&lt;$E$12,AE64,""))</f>
        <v>8818.20753351848</v>
      </c>
      <c r="E84" s="227">
        <f>IF(E12=60,SUM(E24:F83),IF(B83&lt;$E$12,AG64,""))</f>
        <v>1216.2063287673232</v>
      </c>
      <c r="F84" s="227"/>
      <c r="G84" s="227">
        <f>IF(E12=60,SUM(G24:H83),IF(B83&lt;$E$12,AI64,""))</f>
        <v>10034.413862285803</v>
      </c>
      <c r="H84" s="227"/>
      <c r="I84" s="202"/>
      <c r="J84" s="53"/>
      <c r="K84" s="53"/>
      <c r="L84" s="53"/>
      <c r="M84" s="53"/>
      <c r="N84" s="50"/>
      <c r="O84" s="98"/>
      <c r="AA84" s="196" t="str">
        <f t="shared" si="25"/>
        <v>-</v>
      </c>
      <c r="AB84" s="185" t="str">
        <f t="shared" si="31"/>
        <v>-</v>
      </c>
      <c r="AC84" s="264">
        <f t="shared" si="39"/>
        <v>81</v>
      </c>
      <c r="AD84" s="265"/>
      <c r="AE84" s="83" t="str">
        <f t="shared" si="32"/>
        <v>-</v>
      </c>
      <c r="AF84" s="84"/>
      <c r="AG84" s="270" t="str">
        <f t="shared" si="33"/>
        <v>-</v>
      </c>
      <c r="AH84" s="271"/>
      <c r="AI84" s="272" t="str">
        <f t="shared" si="34"/>
        <v>-</v>
      </c>
      <c r="AJ84" s="273"/>
      <c r="AK84" s="85">
        <f t="shared" ca="1" si="26"/>
        <v>48304</v>
      </c>
      <c r="AL84" s="264">
        <v>81</v>
      </c>
      <c r="AM84" s="265"/>
      <c r="AN84" s="86">
        <f t="shared" si="27"/>
        <v>6944.4444444444443</v>
      </c>
      <c r="AO84" s="87"/>
      <c r="AP84" s="266">
        <f t="shared" ca="1" si="28"/>
        <v>-621.43518518518079</v>
      </c>
      <c r="AQ84" s="267"/>
      <c r="AR84" s="268">
        <f t="shared" ca="1" si="29"/>
        <v>6323.0092592592637</v>
      </c>
      <c r="AS84" s="269"/>
      <c r="AT84" s="87">
        <f t="shared" ca="1" si="35"/>
        <v>-55555.555555555162</v>
      </c>
      <c r="AU84" s="75" t="str">
        <f t="shared" si="30"/>
        <v>-</v>
      </c>
    </row>
    <row r="85" spans="1:47" ht="13.8" customHeight="1" x14ac:dyDescent="0.3">
      <c r="A85" s="43"/>
      <c r="B85" s="228">
        <f t="shared" si="15"/>
        <v>62</v>
      </c>
      <c r="C85" s="228"/>
      <c r="D85" s="205">
        <f t="shared" ref="D85:D95" si="40">IF(B84&lt;$E$12,AE65,"")</f>
        <v>8913.6646300688153</v>
      </c>
      <c r="E85" s="227">
        <f t="shared" ref="E85:E95" si="41">IF(B84&lt;$E$12,AG65,"")</f>
        <v>1120.7492322169858</v>
      </c>
      <c r="F85" s="227"/>
      <c r="G85" s="227">
        <f t="shared" ref="G85:G95" si="42">IF(B84&lt;$E$12,AI65,"")</f>
        <v>10034.413862285801</v>
      </c>
      <c r="H85" s="227"/>
      <c r="I85" s="202"/>
      <c r="J85" s="53"/>
      <c r="K85" s="53"/>
      <c r="L85" s="53"/>
      <c r="M85" s="53"/>
      <c r="N85" s="50"/>
      <c r="O85" s="98"/>
      <c r="AA85" s="196" t="str">
        <f t="shared" si="25"/>
        <v>-</v>
      </c>
      <c r="AB85" s="185" t="str">
        <f t="shared" si="31"/>
        <v>-</v>
      </c>
      <c r="AC85" s="264">
        <f t="shared" si="39"/>
        <v>82</v>
      </c>
      <c r="AD85" s="265"/>
      <c r="AE85" s="83" t="str">
        <f t="shared" si="32"/>
        <v>-</v>
      </c>
      <c r="AF85" s="84"/>
      <c r="AG85" s="270" t="str">
        <f t="shared" si="33"/>
        <v>-</v>
      </c>
      <c r="AH85" s="271"/>
      <c r="AI85" s="272" t="str">
        <f t="shared" si="34"/>
        <v>-</v>
      </c>
      <c r="AJ85" s="273"/>
      <c r="AK85" s="85">
        <f t="shared" ca="1" si="26"/>
        <v>48334</v>
      </c>
      <c r="AL85" s="264">
        <v>82</v>
      </c>
      <c r="AM85" s="265"/>
      <c r="AN85" s="86">
        <f t="shared" si="27"/>
        <v>6944.4444444444443</v>
      </c>
      <c r="AO85" s="87"/>
      <c r="AP85" s="266">
        <f t="shared" ca="1" si="28"/>
        <v>-676.56249999999579</v>
      </c>
      <c r="AQ85" s="267"/>
      <c r="AR85" s="268">
        <f t="shared" ca="1" si="29"/>
        <v>6267.8819444444489</v>
      </c>
      <c r="AS85" s="269"/>
      <c r="AT85" s="87">
        <f t="shared" ca="1" si="35"/>
        <v>-62499.999999999607</v>
      </c>
      <c r="AU85" s="75" t="str">
        <f t="shared" si="30"/>
        <v>-</v>
      </c>
    </row>
    <row r="86" spans="1:47" ht="13.8" customHeight="1" x14ac:dyDescent="0.3">
      <c r="A86" s="43"/>
      <c r="B86" s="228">
        <f t="shared" si="15"/>
        <v>63</v>
      </c>
      <c r="C86" s="228"/>
      <c r="D86" s="205">
        <f t="shared" si="40"/>
        <v>9010.1550496893105</v>
      </c>
      <c r="E86" s="227">
        <f t="shared" si="41"/>
        <v>1024.2588125964908</v>
      </c>
      <c r="F86" s="227"/>
      <c r="G86" s="227">
        <f t="shared" si="42"/>
        <v>10034.413862285801</v>
      </c>
      <c r="H86" s="227"/>
      <c r="I86" s="202"/>
      <c r="J86" s="53"/>
      <c r="K86" s="53"/>
      <c r="L86" s="53"/>
      <c r="M86" s="53"/>
      <c r="N86" s="50"/>
      <c r="O86" s="98"/>
      <c r="AA86" s="196" t="str">
        <f t="shared" si="25"/>
        <v>-</v>
      </c>
      <c r="AB86" s="185" t="str">
        <f t="shared" si="31"/>
        <v>-</v>
      </c>
      <c r="AC86" s="264">
        <f t="shared" si="39"/>
        <v>83</v>
      </c>
      <c r="AD86" s="265"/>
      <c r="AE86" s="83" t="str">
        <f t="shared" si="32"/>
        <v>-</v>
      </c>
      <c r="AF86" s="84"/>
      <c r="AG86" s="270" t="str">
        <f t="shared" si="33"/>
        <v>-</v>
      </c>
      <c r="AH86" s="271"/>
      <c r="AI86" s="272" t="str">
        <f t="shared" si="34"/>
        <v>-</v>
      </c>
      <c r="AJ86" s="273"/>
      <c r="AK86" s="85">
        <f t="shared" ca="1" si="26"/>
        <v>48365</v>
      </c>
      <c r="AL86" s="264">
        <v>83</v>
      </c>
      <c r="AM86" s="265"/>
      <c r="AN86" s="86">
        <f t="shared" si="27"/>
        <v>6944.4444444444443</v>
      </c>
      <c r="AO86" s="87"/>
      <c r="AP86" s="266">
        <f t="shared" ca="1" si="28"/>
        <v>-776.79398148147709</v>
      </c>
      <c r="AQ86" s="267"/>
      <c r="AR86" s="268">
        <f t="shared" ca="1" si="29"/>
        <v>6167.6504629629671</v>
      </c>
      <c r="AS86" s="269"/>
      <c r="AT86" s="87">
        <f t="shared" ca="1" si="35"/>
        <v>-69444.444444444045</v>
      </c>
      <c r="AU86" s="75" t="str">
        <f t="shared" si="30"/>
        <v>-</v>
      </c>
    </row>
    <row r="87" spans="1:47" ht="13.8" customHeight="1" x14ac:dyDescent="0.3">
      <c r="A87" s="43"/>
      <c r="B87" s="228">
        <f t="shared" si="15"/>
        <v>64</v>
      </c>
      <c r="C87" s="228"/>
      <c r="D87" s="205">
        <f t="shared" si="40"/>
        <v>9107.6899781021984</v>
      </c>
      <c r="E87" s="227">
        <f t="shared" si="41"/>
        <v>926.72388418360401</v>
      </c>
      <c r="F87" s="227"/>
      <c r="G87" s="227">
        <f t="shared" si="42"/>
        <v>10034.413862285803</v>
      </c>
      <c r="H87" s="227"/>
      <c r="I87" s="202"/>
      <c r="J87" s="53"/>
      <c r="K87" s="53"/>
      <c r="L87" s="53"/>
      <c r="M87" s="53"/>
      <c r="N87" s="50"/>
      <c r="O87" s="98"/>
      <c r="AA87" s="196" t="str">
        <f t="shared" si="25"/>
        <v>-</v>
      </c>
      <c r="AB87" s="185" t="str">
        <f t="shared" si="31"/>
        <v>-</v>
      </c>
      <c r="AC87" s="264">
        <f>AC86+1</f>
        <v>84</v>
      </c>
      <c r="AD87" s="265"/>
      <c r="AE87" s="83" t="str">
        <f t="shared" si="32"/>
        <v>-</v>
      </c>
      <c r="AF87" s="84"/>
      <c r="AG87" s="270" t="str">
        <f t="shared" si="33"/>
        <v>-</v>
      </c>
      <c r="AH87" s="271"/>
      <c r="AI87" s="272" t="str">
        <f t="shared" si="34"/>
        <v>-</v>
      </c>
      <c r="AJ87" s="273"/>
      <c r="AK87" s="85">
        <f t="shared" ca="1" si="26"/>
        <v>48395</v>
      </c>
      <c r="AL87" s="264">
        <v>84</v>
      </c>
      <c r="AM87" s="265"/>
      <c r="AN87" s="86">
        <f t="shared" si="27"/>
        <v>6944.4444444444443</v>
      </c>
      <c r="AO87" s="87"/>
      <c r="AP87" s="266">
        <f t="shared" ca="1" si="28"/>
        <v>-826.90972222221774</v>
      </c>
      <c r="AQ87" s="267"/>
      <c r="AR87" s="268">
        <f t="shared" ca="1" si="29"/>
        <v>6117.5347222222263</v>
      </c>
      <c r="AS87" s="269"/>
      <c r="AT87" s="87">
        <f t="shared" ca="1" si="35"/>
        <v>-76388.888888888483</v>
      </c>
      <c r="AU87" s="75" t="str">
        <f t="shared" si="30"/>
        <v>-</v>
      </c>
    </row>
    <row r="88" spans="1:47" ht="13.8" customHeight="1" thickBot="1" x14ac:dyDescent="0.35">
      <c r="A88" s="43"/>
      <c r="B88" s="228">
        <f t="shared" si="15"/>
        <v>65</v>
      </c>
      <c r="C88" s="228"/>
      <c r="D88" s="205">
        <f t="shared" si="40"/>
        <v>9206.2807221151543</v>
      </c>
      <c r="E88" s="227">
        <f t="shared" si="41"/>
        <v>828.13314017064772</v>
      </c>
      <c r="F88" s="227"/>
      <c r="G88" s="227">
        <f t="shared" si="42"/>
        <v>10034.413862285803</v>
      </c>
      <c r="H88" s="227"/>
      <c r="I88" s="202"/>
      <c r="J88" s="53"/>
      <c r="K88" s="53"/>
      <c r="L88" s="53"/>
      <c r="M88" s="53"/>
      <c r="N88" s="50"/>
      <c r="O88" s="98"/>
      <c r="AB88" s="184"/>
      <c r="AC88" s="307" t="s">
        <v>454</v>
      </c>
      <c r="AD88" s="308"/>
      <c r="AE88" s="83">
        <f>IF($E$12=$R$2,SUM(AE4:AF15),IF($E$12=$R$3,SUM(AE4:AF27),IF($E$12=$R$4,SUM(AE4:AF39),IF($E$12=$R$5,SUM(AE4:AF51),IF($E$12=$R$6,SUM(AE4:AF63),IF($E$12=$R$7,SUM(AE4:AF75),IF($E$12=$R$8,SUM(AE4:AF87))))))))</f>
        <v>500000.00000000006</v>
      </c>
      <c r="AF88" s="183"/>
      <c r="AG88" s="270">
        <f>IF($E$12=$R$2,SUM(AG4:AH15),IF($E$12=$R$3,SUM(AG4:AH27),IF($E$12=$R$4,SUM(AG4:AH39),IF($E$12=$R$5,SUM(AG4:AH51),IF($E$12=$R$6,SUM(AG4:AH63),IF($E$12=$R$7,SUM(AG4:AH75),IF($E$12=$R$8,SUM(AG4:AH87))))))))</f>
        <v>222477.79808457763</v>
      </c>
      <c r="AH88" s="271"/>
      <c r="AI88" s="272">
        <f>IF($E$12=$R$2,SUM(AI4:AJ15),IF($E$12=$R$3,SUM(AI4:AJ27),IF($E$12=$R$4,SUM(AI4:AJ39),IF($E$12=$R$5,SUM(AI4:AJ51),IF($E$12=$R$6,SUM(AI4:AJ63),IF($E$12=$R$7,SUM(AI4:AJ75),IF($E$12=$R$8,SUM(AI4:AJ87))))))))</f>
        <v>722477.79808457708</v>
      </c>
      <c r="AJ88" s="273"/>
      <c r="AK88" s="85">
        <f t="shared" ca="1" si="26"/>
        <v>48426</v>
      </c>
      <c r="AL88" s="264">
        <v>85</v>
      </c>
      <c r="AM88" s="265"/>
      <c r="AN88" s="86">
        <f t="shared" si="27"/>
        <v>6944.4444444444443</v>
      </c>
      <c r="AO88" s="62"/>
      <c r="AP88" s="266">
        <f t="shared" ca="1" si="28"/>
        <v>-932.15277777777328</v>
      </c>
      <c r="AQ88" s="267"/>
      <c r="AR88" s="268">
        <f t="shared" ca="1" si="29"/>
        <v>6012.2916666666715</v>
      </c>
      <c r="AS88" s="269"/>
      <c r="AT88" s="87">
        <f t="shared" ca="1" si="35"/>
        <v>-83333.333333332921</v>
      </c>
      <c r="AU88" s="75">
        <f t="shared" si="30"/>
        <v>722477.79808457708</v>
      </c>
    </row>
    <row r="89" spans="1:47" ht="13.8" customHeight="1" x14ac:dyDescent="0.3">
      <c r="A89" s="43"/>
      <c r="B89" s="228">
        <f t="shared" si="15"/>
        <v>66</v>
      </c>
      <c r="C89" s="228"/>
      <c r="D89" s="205">
        <f t="shared" si="40"/>
        <v>9305.9387109320505</v>
      </c>
      <c r="E89" s="227">
        <f t="shared" si="41"/>
        <v>728.47515135375113</v>
      </c>
      <c r="F89" s="227"/>
      <c r="G89" s="227">
        <f t="shared" si="42"/>
        <v>10034.413862285801</v>
      </c>
      <c r="H89" s="227"/>
      <c r="I89" s="202"/>
      <c r="J89" s="53"/>
      <c r="K89" s="53"/>
      <c r="L89" s="53"/>
      <c r="M89" s="53"/>
      <c r="N89" s="50"/>
      <c r="O89" s="98"/>
      <c r="AB89" s="178"/>
      <c r="AC89" s="315"/>
      <c r="AD89" s="315"/>
      <c r="AE89" s="179"/>
      <c r="AG89" s="316"/>
      <c r="AH89" s="316"/>
      <c r="AI89" s="317"/>
      <c r="AJ89" s="317"/>
      <c r="AK89" s="130">
        <f t="shared" ca="1" si="26"/>
        <v>48457</v>
      </c>
      <c r="AL89" s="264">
        <v>86</v>
      </c>
      <c r="AM89" s="265"/>
      <c r="AN89" s="86">
        <f t="shared" si="27"/>
        <v>6944.4444444444443</v>
      </c>
      <c r="AO89" s="62"/>
      <c r="AP89" s="266">
        <f t="shared" ca="1" si="28"/>
        <v>-1009.8321759259213</v>
      </c>
      <c r="AQ89" s="267"/>
      <c r="AR89" s="268">
        <f t="shared" ca="1" si="29"/>
        <v>5934.6122685185228</v>
      </c>
      <c r="AS89" s="269"/>
      <c r="AT89" s="87">
        <f t="shared" ca="1" si="35"/>
        <v>-90277.777777777359</v>
      </c>
      <c r="AU89" s="75">
        <f t="shared" si="30"/>
        <v>0</v>
      </c>
    </row>
    <row r="90" spans="1:47" ht="13.8" customHeight="1" thickBot="1" x14ac:dyDescent="0.35">
      <c r="A90" s="43"/>
      <c r="B90" s="228">
        <f t="shared" si="15"/>
        <v>67</v>
      </c>
      <c r="C90" s="228"/>
      <c r="D90" s="205">
        <f t="shared" si="40"/>
        <v>9406.6754974778905</v>
      </c>
      <c r="E90" s="227">
        <f t="shared" si="41"/>
        <v>627.73836480791181</v>
      </c>
      <c r="F90" s="227"/>
      <c r="G90" s="227">
        <f t="shared" si="42"/>
        <v>10034.413862285803</v>
      </c>
      <c r="H90" s="227"/>
      <c r="I90" s="202"/>
      <c r="J90" s="53"/>
      <c r="K90" s="53"/>
      <c r="L90" s="53"/>
      <c r="M90" s="53"/>
      <c r="N90" s="50"/>
      <c r="O90" s="98"/>
      <c r="AB90" s="180"/>
      <c r="AC90" s="309"/>
      <c r="AD90" s="309"/>
      <c r="AE90" s="181"/>
      <c r="AF90" s="182"/>
      <c r="AG90" s="310"/>
      <c r="AH90" s="310"/>
      <c r="AI90" s="310"/>
      <c r="AJ90" s="310"/>
      <c r="AL90" s="307" t="s">
        <v>454</v>
      </c>
      <c r="AM90" s="308"/>
      <c r="AN90" s="144">
        <f ca="1">SUM(AN4:AN89)</f>
        <v>597222.22222222236</v>
      </c>
      <c r="AO90" s="145"/>
      <c r="AP90" s="311">
        <f ca="1">SUM(AP4:AQ88)</f>
        <v>194571.85763888917</v>
      </c>
      <c r="AQ90" s="312"/>
      <c r="AR90" s="313">
        <f ca="1">SUM(AR4:AS89)</f>
        <v>783839.80324074079</v>
      </c>
      <c r="AS90" s="314"/>
      <c r="AT90" s="145"/>
      <c r="AU90" s="75">
        <f t="shared" si="30"/>
        <v>0</v>
      </c>
    </row>
    <row r="91" spans="1:47" ht="13.8" customHeight="1" x14ac:dyDescent="0.3">
      <c r="A91" s="43"/>
      <c r="B91" s="228">
        <f t="shared" si="15"/>
        <v>68</v>
      </c>
      <c r="C91" s="228"/>
      <c r="D91" s="205">
        <f t="shared" si="40"/>
        <v>9508.5027597380886</v>
      </c>
      <c r="E91" s="227">
        <f t="shared" si="41"/>
        <v>525.91110254771365</v>
      </c>
      <c r="F91" s="227"/>
      <c r="G91" s="227">
        <f t="shared" si="42"/>
        <v>10034.413862285803</v>
      </c>
      <c r="H91" s="227"/>
      <c r="I91" s="202"/>
      <c r="J91" s="58"/>
      <c r="K91" s="53"/>
      <c r="L91" s="53"/>
      <c r="M91" s="53"/>
      <c r="N91" s="50"/>
      <c r="O91" s="98"/>
      <c r="AO91" s="62"/>
    </row>
    <row r="92" spans="1:47" ht="13.8" customHeight="1" x14ac:dyDescent="0.3">
      <c r="A92" s="43"/>
      <c r="B92" s="228">
        <f t="shared" si="15"/>
        <v>69</v>
      </c>
      <c r="C92" s="228"/>
      <c r="D92" s="205">
        <f t="shared" si="40"/>
        <v>9611.4323021122527</v>
      </c>
      <c r="E92" s="227">
        <f t="shared" si="41"/>
        <v>422.98156017354881</v>
      </c>
      <c r="F92" s="227"/>
      <c r="G92" s="227">
        <f t="shared" si="42"/>
        <v>10034.413862285801</v>
      </c>
      <c r="H92" s="227"/>
      <c r="I92" s="202"/>
      <c r="J92" s="58"/>
      <c r="K92" s="53"/>
      <c r="L92" s="53"/>
      <c r="M92" s="53"/>
      <c r="N92" s="50"/>
      <c r="O92" s="98"/>
      <c r="AO92" s="62"/>
    </row>
    <row r="93" spans="1:47" ht="13.8" customHeight="1" x14ac:dyDescent="0.3">
      <c r="A93" s="43"/>
      <c r="B93" s="228">
        <f t="shared" si="15"/>
        <v>70</v>
      </c>
      <c r="C93" s="228"/>
      <c r="D93" s="205">
        <f t="shared" si="40"/>
        <v>9715.4760567826179</v>
      </c>
      <c r="E93" s="227">
        <f t="shared" si="41"/>
        <v>318.93780550318365</v>
      </c>
      <c r="F93" s="227"/>
      <c r="G93" s="227">
        <f t="shared" si="42"/>
        <v>10034.413862285801</v>
      </c>
      <c r="H93" s="227"/>
      <c r="I93" s="202"/>
      <c r="J93" s="58"/>
      <c r="K93" s="53"/>
      <c r="L93" s="53"/>
      <c r="M93" s="53"/>
      <c r="N93" s="50"/>
      <c r="O93" s="98"/>
      <c r="AO93" s="62"/>
    </row>
    <row r="94" spans="1:47" ht="13.8" customHeight="1" x14ac:dyDescent="0.3">
      <c r="A94" s="43"/>
      <c r="B94" s="228">
        <f t="shared" si="15"/>
        <v>71</v>
      </c>
      <c r="C94" s="228"/>
      <c r="D94" s="205">
        <f t="shared" si="40"/>
        <v>9820.6460850972908</v>
      </c>
      <c r="E94" s="227">
        <f t="shared" si="41"/>
        <v>213.76777718851181</v>
      </c>
      <c r="F94" s="227"/>
      <c r="G94" s="227">
        <f t="shared" si="42"/>
        <v>10034.413862285803</v>
      </c>
      <c r="H94" s="227"/>
      <c r="I94" s="202"/>
      <c r="J94" s="58"/>
      <c r="K94" s="53"/>
      <c r="L94" s="53"/>
      <c r="M94" s="53"/>
      <c r="N94" s="50"/>
      <c r="O94" s="98"/>
      <c r="AO94" s="62"/>
    </row>
    <row r="95" spans="1:47" ht="13.8" customHeight="1" x14ac:dyDescent="0.3">
      <c r="A95" s="43"/>
      <c r="B95" s="228">
        <f t="shared" si="15"/>
        <v>72</v>
      </c>
      <c r="C95" s="228"/>
      <c r="D95" s="205">
        <f t="shared" si="40"/>
        <v>9926.9545789684689</v>
      </c>
      <c r="E95" s="227">
        <f t="shared" si="41"/>
        <v>107.45928331733367</v>
      </c>
      <c r="F95" s="227"/>
      <c r="G95" s="227">
        <f t="shared" si="42"/>
        <v>10034.413862285803</v>
      </c>
      <c r="H95" s="227"/>
      <c r="I95" s="202"/>
      <c r="J95" s="58"/>
      <c r="K95" s="53"/>
      <c r="L95" s="53"/>
      <c r="M95" s="53"/>
      <c r="N95" s="50"/>
      <c r="O95" s="98"/>
      <c r="AO95" s="62"/>
    </row>
    <row r="96" spans="1:47" ht="13.8" customHeight="1" x14ac:dyDescent="0.3">
      <c r="A96" s="43"/>
      <c r="B96" s="228" t="str">
        <f>IF(E12=72,"Всього:",IF(B95&lt;$E$12,B95+1,""))</f>
        <v>Всього:</v>
      </c>
      <c r="C96" s="228"/>
      <c r="D96" s="205">
        <f>IF(E12=72,SUM(D24:D95),IF(B95&lt;$E$12,AE76,""))</f>
        <v>500000.00000000006</v>
      </c>
      <c r="E96" s="227">
        <f>IF(E12=72,SUM(E24:F95),IF(B95&lt;$E$12,AG76,""))</f>
        <v>222477.79808457763</v>
      </c>
      <c r="F96" s="227"/>
      <c r="G96" s="227">
        <f>IF(E12=72,SUM(G24:H95),IF(B95&lt;$E$12,AI76,""))</f>
        <v>722477.79808457708</v>
      </c>
      <c r="H96" s="227"/>
      <c r="I96" s="202"/>
      <c r="J96" s="58"/>
      <c r="K96" s="53"/>
      <c r="L96" s="53"/>
      <c r="M96" s="53"/>
      <c r="N96" s="50"/>
      <c r="O96" s="98"/>
      <c r="AO96" s="62"/>
    </row>
    <row r="97" spans="1:41" ht="13.8" customHeight="1" x14ac:dyDescent="0.3">
      <c r="A97" s="43"/>
      <c r="B97" s="228" t="str">
        <f t="shared" si="15"/>
        <v/>
      </c>
      <c r="C97" s="228"/>
      <c r="D97" s="205" t="str">
        <f t="shared" ref="D97:D107" si="43">IF(B96&lt;$E$12,AE77,"")</f>
        <v/>
      </c>
      <c r="E97" s="227" t="str">
        <f t="shared" ref="E97:E107" si="44">IF(B96&lt;$E$12,AG77,"")</f>
        <v/>
      </c>
      <c r="F97" s="227"/>
      <c r="G97" s="227" t="str">
        <f t="shared" ref="G97:G107" si="45">IF(B96&lt;$E$12,AI77,"")</f>
        <v/>
      </c>
      <c r="H97" s="227"/>
      <c r="I97" s="202"/>
      <c r="J97" s="52"/>
      <c r="K97" s="50"/>
      <c r="L97" s="50"/>
      <c r="M97" s="50"/>
      <c r="N97" s="50"/>
      <c r="O97" s="98"/>
      <c r="AO97" s="62"/>
    </row>
    <row r="98" spans="1:41" ht="13.8" customHeight="1" x14ac:dyDescent="0.3">
      <c r="A98" s="43"/>
      <c r="B98" s="228" t="str">
        <f t="shared" si="15"/>
        <v/>
      </c>
      <c r="C98" s="228"/>
      <c r="D98" s="205" t="str">
        <f t="shared" si="43"/>
        <v/>
      </c>
      <c r="E98" s="227" t="str">
        <f t="shared" si="44"/>
        <v/>
      </c>
      <c r="F98" s="227"/>
      <c r="G98" s="227" t="str">
        <f t="shared" si="45"/>
        <v/>
      </c>
      <c r="H98" s="227"/>
      <c r="I98" s="202"/>
      <c r="J98" s="52"/>
      <c r="K98" s="50"/>
      <c r="L98" s="50"/>
      <c r="M98" s="50"/>
      <c r="N98" s="50"/>
      <c r="O98" s="98"/>
      <c r="AO98" s="62"/>
    </row>
    <row r="99" spans="1:41" ht="13.8" customHeight="1" x14ac:dyDescent="0.3">
      <c r="A99" s="43"/>
      <c r="B99" s="228" t="str">
        <f t="shared" si="15"/>
        <v/>
      </c>
      <c r="C99" s="228"/>
      <c r="D99" s="205" t="str">
        <f t="shared" si="43"/>
        <v/>
      </c>
      <c r="E99" s="227" t="str">
        <f t="shared" si="44"/>
        <v/>
      </c>
      <c r="F99" s="227"/>
      <c r="G99" s="227" t="str">
        <f t="shared" si="45"/>
        <v/>
      </c>
      <c r="H99" s="227"/>
      <c r="I99" s="202"/>
      <c r="J99" s="52"/>
      <c r="K99" s="50"/>
      <c r="L99" s="50"/>
      <c r="M99" s="50"/>
      <c r="N99" s="50"/>
      <c r="AO99" s="62"/>
    </row>
    <row r="100" spans="1:41" ht="13.8" customHeight="1" x14ac:dyDescent="0.3">
      <c r="A100" s="43"/>
      <c r="B100" s="228" t="str">
        <f t="shared" si="15"/>
        <v/>
      </c>
      <c r="C100" s="228"/>
      <c r="D100" s="205" t="str">
        <f t="shared" si="43"/>
        <v/>
      </c>
      <c r="E100" s="227" t="str">
        <f t="shared" si="44"/>
        <v/>
      </c>
      <c r="F100" s="227"/>
      <c r="G100" s="227" t="str">
        <f t="shared" si="45"/>
        <v/>
      </c>
      <c r="H100" s="227"/>
      <c r="I100" s="202"/>
      <c r="J100" s="52"/>
      <c r="K100" s="50"/>
      <c r="L100" s="50"/>
      <c r="M100" s="50"/>
      <c r="N100" s="50"/>
      <c r="AO100" s="62"/>
    </row>
    <row r="101" spans="1:41" ht="13.8" customHeight="1" x14ac:dyDescent="0.3">
      <c r="A101" s="43"/>
      <c r="B101" s="228" t="str">
        <f t="shared" ref="B101:B107" si="46">IF(B100&lt;$E$12,B100+1,"")</f>
        <v/>
      </c>
      <c r="C101" s="228"/>
      <c r="D101" s="205" t="str">
        <f t="shared" si="43"/>
        <v/>
      </c>
      <c r="E101" s="227" t="str">
        <f t="shared" si="44"/>
        <v/>
      </c>
      <c r="F101" s="227"/>
      <c r="G101" s="227" t="str">
        <f t="shared" si="45"/>
        <v/>
      </c>
      <c r="H101" s="227"/>
      <c r="I101" s="202"/>
      <c r="J101" s="52"/>
      <c r="K101" s="50"/>
      <c r="L101" s="50"/>
      <c r="M101" s="50"/>
      <c r="N101" s="50"/>
      <c r="AO101" s="62"/>
    </row>
    <row r="102" spans="1:41" ht="13.8" customHeight="1" x14ac:dyDescent="0.3">
      <c r="A102" s="43"/>
      <c r="B102" s="228" t="str">
        <f t="shared" si="46"/>
        <v/>
      </c>
      <c r="C102" s="228"/>
      <c r="D102" s="205" t="str">
        <f t="shared" si="43"/>
        <v/>
      </c>
      <c r="E102" s="227" t="str">
        <f t="shared" si="44"/>
        <v/>
      </c>
      <c r="F102" s="227"/>
      <c r="G102" s="227" t="str">
        <f t="shared" si="45"/>
        <v/>
      </c>
      <c r="H102" s="227"/>
      <c r="I102" s="202"/>
      <c r="J102" s="52"/>
      <c r="K102" s="50"/>
      <c r="L102" s="50"/>
      <c r="M102" s="50"/>
      <c r="N102" s="50"/>
      <c r="AO102" s="62"/>
    </row>
    <row r="103" spans="1:41" ht="13.8" customHeight="1" x14ac:dyDescent="0.3">
      <c r="A103" s="43"/>
      <c r="B103" s="228" t="str">
        <f t="shared" si="46"/>
        <v/>
      </c>
      <c r="C103" s="228"/>
      <c r="D103" s="205" t="str">
        <f t="shared" si="43"/>
        <v/>
      </c>
      <c r="E103" s="227" t="str">
        <f t="shared" si="44"/>
        <v/>
      </c>
      <c r="F103" s="227"/>
      <c r="G103" s="227" t="str">
        <f t="shared" si="45"/>
        <v/>
      </c>
      <c r="H103" s="227"/>
      <c r="I103" s="202"/>
      <c r="J103" s="52"/>
      <c r="K103" s="50"/>
      <c r="L103" s="50"/>
      <c r="M103" s="50"/>
      <c r="N103" s="50"/>
      <c r="AO103" s="62"/>
    </row>
    <row r="104" spans="1:41" ht="13.8" customHeight="1" x14ac:dyDescent="0.3">
      <c r="A104" s="43"/>
      <c r="B104" s="228" t="str">
        <f t="shared" si="46"/>
        <v/>
      </c>
      <c r="C104" s="228"/>
      <c r="D104" s="205" t="str">
        <f t="shared" si="43"/>
        <v/>
      </c>
      <c r="E104" s="227" t="str">
        <f t="shared" si="44"/>
        <v/>
      </c>
      <c r="F104" s="227"/>
      <c r="G104" s="227" t="str">
        <f t="shared" si="45"/>
        <v/>
      </c>
      <c r="H104" s="227"/>
      <c r="I104" s="202"/>
      <c r="J104" s="52"/>
      <c r="K104" s="50"/>
      <c r="L104" s="50"/>
      <c r="M104" s="50"/>
      <c r="N104" s="50"/>
      <c r="AO104" s="62"/>
    </row>
    <row r="105" spans="1:41" ht="13.8" customHeight="1" x14ac:dyDescent="0.3">
      <c r="A105" s="43"/>
      <c r="B105" s="228" t="str">
        <f t="shared" si="46"/>
        <v/>
      </c>
      <c r="C105" s="228"/>
      <c r="D105" s="205" t="str">
        <f t="shared" si="43"/>
        <v/>
      </c>
      <c r="E105" s="227" t="str">
        <f t="shared" si="44"/>
        <v/>
      </c>
      <c r="F105" s="227"/>
      <c r="G105" s="227" t="str">
        <f t="shared" si="45"/>
        <v/>
      </c>
      <c r="H105" s="227"/>
      <c r="I105" s="202"/>
      <c r="J105" s="52"/>
      <c r="K105" s="50"/>
      <c r="L105" s="50"/>
      <c r="M105" s="50"/>
      <c r="N105" s="50"/>
      <c r="AO105" s="62"/>
    </row>
    <row r="106" spans="1:41" ht="13.8" customHeight="1" x14ac:dyDescent="0.3">
      <c r="A106" s="43"/>
      <c r="B106" s="228" t="str">
        <f t="shared" si="46"/>
        <v/>
      </c>
      <c r="C106" s="228"/>
      <c r="D106" s="205" t="str">
        <f t="shared" si="43"/>
        <v/>
      </c>
      <c r="E106" s="227" t="str">
        <f t="shared" si="44"/>
        <v/>
      </c>
      <c r="F106" s="227"/>
      <c r="G106" s="227" t="str">
        <f t="shared" si="45"/>
        <v/>
      </c>
      <c r="H106" s="227"/>
      <c r="I106" s="202"/>
      <c r="J106" s="52"/>
      <c r="K106" s="50"/>
      <c r="L106" s="50"/>
      <c r="M106" s="50"/>
      <c r="N106" s="50"/>
      <c r="AO106" s="62"/>
    </row>
    <row r="107" spans="1:41" x14ac:dyDescent="0.3">
      <c r="A107" s="43"/>
      <c r="B107" s="228" t="str">
        <f t="shared" si="46"/>
        <v/>
      </c>
      <c r="C107" s="228"/>
      <c r="D107" s="205" t="str">
        <f t="shared" si="43"/>
        <v/>
      </c>
      <c r="E107" s="227" t="str">
        <f t="shared" si="44"/>
        <v/>
      </c>
      <c r="F107" s="227"/>
      <c r="G107" s="227" t="str">
        <f t="shared" si="45"/>
        <v/>
      </c>
      <c r="H107" s="227"/>
      <c r="I107" s="201"/>
      <c r="J107" s="52"/>
      <c r="K107" s="50"/>
      <c r="L107" s="50"/>
      <c r="M107" s="50"/>
      <c r="N107" s="50"/>
      <c r="AO107" s="62"/>
    </row>
    <row r="108" spans="1:41" x14ac:dyDescent="0.3">
      <c r="A108" s="43"/>
      <c r="B108" s="206" t="str">
        <f>IF(E12=84,"Всього:","")</f>
        <v/>
      </c>
      <c r="C108" s="206"/>
      <c r="D108" s="205" t="str">
        <f>IF(E12=84,SUM(D24:D107),"")</f>
        <v/>
      </c>
      <c r="E108" s="227" t="str">
        <f>IF(E12=84,SUM(E24:F107),"")</f>
        <v/>
      </c>
      <c r="F108" s="227"/>
      <c r="G108" s="227" t="str">
        <f>IF(E12=84,SUM(G24:H107),"")</f>
        <v/>
      </c>
      <c r="H108" s="227"/>
      <c r="I108" s="113"/>
      <c r="J108" s="52"/>
      <c r="K108" s="50"/>
      <c r="L108" s="50"/>
      <c r="M108" s="50"/>
      <c r="N108" s="50"/>
      <c r="AO108" s="62"/>
    </row>
    <row r="109" spans="1:41" x14ac:dyDescent="0.3">
      <c r="A109" s="43"/>
      <c r="B109" s="118"/>
      <c r="C109" s="200"/>
      <c r="D109" s="61"/>
      <c r="E109" s="61"/>
      <c r="F109" s="61"/>
      <c r="G109" s="61"/>
      <c r="H109" s="318"/>
      <c r="I109" s="318"/>
      <c r="J109" s="52"/>
      <c r="K109" s="50"/>
      <c r="L109" s="50"/>
      <c r="M109" s="50"/>
      <c r="N109" s="50"/>
      <c r="AO109" s="62"/>
    </row>
    <row r="110" spans="1:41" x14ac:dyDescent="0.3">
      <c r="A110" s="43"/>
      <c r="B110" s="118"/>
      <c r="C110" s="200"/>
      <c r="D110" s="61"/>
      <c r="E110" s="61"/>
      <c r="F110" s="61"/>
      <c r="G110" s="61"/>
      <c r="H110" s="318"/>
      <c r="I110" s="318"/>
      <c r="J110" s="52"/>
      <c r="K110" s="50"/>
      <c r="L110" s="50"/>
      <c r="M110" s="50"/>
      <c r="N110" s="50"/>
      <c r="AO110" s="62"/>
    </row>
    <row r="111" spans="1:41" x14ac:dyDescent="0.3">
      <c r="AO111" s="62"/>
    </row>
    <row r="112" spans="1:41" x14ac:dyDescent="0.3">
      <c r="AO112" s="62"/>
    </row>
    <row r="113" spans="41:41" x14ac:dyDescent="0.3">
      <c r="AO113" s="62"/>
    </row>
    <row r="114" spans="41:41" x14ac:dyDescent="0.3">
      <c r="AO114" s="62"/>
    </row>
    <row r="115" spans="41:41" x14ac:dyDescent="0.3">
      <c r="AO115" s="62"/>
    </row>
    <row r="116" spans="41:41" x14ac:dyDescent="0.3">
      <c r="AO116" s="62"/>
    </row>
    <row r="117" spans="41:41" x14ac:dyDescent="0.3">
      <c r="AO117" s="62"/>
    </row>
    <row r="118" spans="41:41" x14ac:dyDescent="0.3">
      <c r="AO118" s="62"/>
    </row>
    <row r="119" spans="41:41" x14ac:dyDescent="0.3">
      <c r="AO119" s="62"/>
    </row>
    <row r="120" spans="41:41" x14ac:dyDescent="0.3">
      <c r="AO120" s="62"/>
    </row>
    <row r="121" spans="41:41" x14ac:dyDescent="0.3">
      <c r="AO121" s="62"/>
    </row>
    <row r="122" spans="41:41" x14ac:dyDescent="0.3">
      <c r="AO122" s="62"/>
    </row>
    <row r="123" spans="41:41" x14ac:dyDescent="0.3">
      <c r="AO123" s="62"/>
    </row>
    <row r="124" spans="41:41" x14ac:dyDescent="0.3">
      <c r="AO124" s="62"/>
    </row>
    <row r="125" spans="41:41" x14ac:dyDescent="0.3">
      <c r="AO125" s="62"/>
    </row>
    <row r="126" spans="41:41" x14ac:dyDescent="0.3">
      <c r="AO126" s="62"/>
    </row>
    <row r="127" spans="41:41" x14ac:dyDescent="0.3">
      <c r="AO127" s="62"/>
    </row>
    <row r="128" spans="41:41" x14ac:dyDescent="0.3">
      <c r="AO128" s="62"/>
    </row>
    <row r="129" spans="41:41" x14ac:dyDescent="0.3">
      <c r="AO129" s="62"/>
    </row>
    <row r="130" spans="41:41" x14ac:dyDescent="0.3">
      <c r="AO130" s="62"/>
    </row>
    <row r="131" spans="41:41" x14ac:dyDescent="0.3">
      <c r="AO131" s="62"/>
    </row>
    <row r="132" spans="41:41" x14ac:dyDescent="0.3">
      <c r="AO132" s="62"/>
    </row>
    <row r="133" spans="41:41" x14ac:dyDescent="0.3">
      <c r="AO133" s="62"/>
    </row>
    <row r="134" spans="41:41" x14ac:dyDescent="0.3">
      <c r="AO134" s="62"/>
    </row>
    <row r="135" spans="41:41" x14ac:dyDescent="0.3">
      <c r="AO135" s="62"/>
    </row>
    <row r="136" spans="41:41" x14ac:dyDescent="0.3">
      <c r="AO136" s="62"/>
    </row>
    <row r="137" spans="41:41" x14ac:dyDescent="0.3">
      <c r="AO137" s="62"/>
    </row>
    <row r="138" spans="41:41" x14ac:dyDescent="0.3">
      <c r="AO138" s="62"/>
    </row>
    <row r="139" spans="41:41" x14ac:dyDescent="0.3">
      <c r="AO139" s="62"/>
    </row>
    <row r="140" spans="41:41" x14ac:dyDescent="0.3">
      <c r="AO140" s="62"/>
    </row>
    <row r="141" spans="41:41" x14ac:dyDescent="0.3">
      <c r="AO141" s="62"/>
    </row>
    <row r="142" spans="41:41" x14ac:dyDescent="0.3">
      <c r="AO142" s="62"/>
    </row>
    <row r="143" spans="41:41" x14ac:dyDescent="0.3">
      <c r="AO143" s="62"/>
    </row>
    <row r="144" spans="41:41" x14ac:dyDescent="0.3">
      <c r="AO144" s="62"/>
    </row>
    <row r="145" spans="41:41" x14ac:dyDescent="0.3">
      <c r="AO145" s="62"/>
    </row>
    <row r="146" spans="41:41" x14ac:dyDescent="0.3">
      <c r="AO146" s="62"/>
    </row>
    <row r="147" spans="41:41" x14ac:dyDescent="0.3">
      <c r="AO147" s="62"/>
    </row>
    <row r="148" spans="41:41" x14ac:dyDescent="0.3">
      <c r="AO148" s="62"/>
    </row>
    <row r="149" spans="41:41" x14ac:dyDescent="0.3">
      <c r="AO149" s="62"/>
    </row>
    <row r="150" spans="41:41" x14ac:dyDescent="0.3">
      <c r="AO150" s="62"/>
    </row>
    <row r="151" spans="41:41" x14ac:dyDescent="0.3">
      <c r="AO151" s="62"/>
    </row>
    <row r="152" spans="41:41" x14ac:dyDescent="0.3">
      <c r="AO152" s="62"/>
    </row>
    <row r="153" spans="41:41" x14ac:dyDescent="0.3">
      <c r="AO153" s="62"/>
    </row>
    <row r="154" spans="41:41" x14ac:dyDescent="0.3">
      <c r="AO154" s="62"/>
    </row>
    <row r="155" spans="41:41" x14ac:dyDescent="0.3">
      <c r="AO155" s="62"/>
    </row>
    <row r="156" spans="41:41" x14ac:dyDescent="0.3">
      <c r="AO156" s="62"/>
    </row>
    <row r="157" spans="41:41" x14ac:dyDescent="0.3">
      <c r="AO157" s="62"/>
    </row>
    <row r="158" spans="41:41" x14ac:dyDescent="0.3">
      <c r="AO158" s="62"/>
    </row>
    <row r="159" spans="41:41" x14ac:dyDescent="0.3">
      <c r="AO159" s="62"/>
    </row>
    <row r="160" spans="41:41" x14ac:dyDescent="0.3">
      <c r="AO160" s="62"/>
    </row>
    <row r="161" spans="41:41" x14ac:dyDescent="0.3">
      <c r="AO161" s="62"/>
    </row>
    <row r="162" spans="41:41" x14ac:dyDescent="0.3">
      <c r="AO162" s="62"/>
    </row>
    <row r="163" spans="41:41" x14ac:dyDescent="0.3">
      <c r="AO163" s="62"/>
    </row>
    <row r="164" spans="41:41" x14ac:dyDescent="0.3">
      <c r="AO164" s="62"/>
    </row>
    <row r="165" spans="41:41" x14ac:dyDescent="0.3">
      <c r="AO165" s="62"/>
    </row>
    <row r="166" spans="41:41" x14ac:dyDescent="0.3">
      <c r="AO166" s="62"/>
    </row>
    <row r="167" spans="41:41" x14ac:dyDescent="0.3">
      <c r="AO167" s="62"/>
    </row>
    <row r="168" spans="41:41" x14ac:dyDescent="0.3">
      <c r="AO168" s="62"/>
    </row>
    <row r="169" spans="41:41" x14ac:dyDescent="0.3">
      <c r="AO169" s="62"/>
    </row>
    <row r="170" spans="41:41" x14ac:dyDescent="0.3">
      <c r="AO170" s="62"/>
    </row>
    <row r="171" spans="41:41" x14ac:dyDescent="0.3">
      <c r="AO171" s="62"/>
    </row>
    <row r="172" spans="41:41" x14ac:dyDescent="0.3">
      <c r="AO172" s="62"/>
    </row>
    <row r="173" spans="41:41" x14ac:dyDescent="0.3">
      <c r="AO173" s="62"/>
    </row>
    <row r="174" spans="41:41" x14ac:dyDescent="0.3">
      <c r="AO174" s="62"/>
    </row>
    <row r="175" spans="41:41" x14ac:dyDescent="0.3">
      <c r="AO175" s="62"/>
    </row>
    <row r="176" spans="41:41" x14ac:dyDescent="0.3">
      <c r="AO176" s="62"/>
    </row>
    <row r="177" spans="41:41" x14ac:dyDescent="0.3">
      <c r="AO177" s="62"/>
    </row>
    <row r="178" spans="41:41" x14ac:dyDescent="0.3">
      <c r="AO178" s="62"/>
    </row>
    <row r="179" spans="41:41" x14ac:dyDescent="0.3">
      <c r="AO179" s="62"/>
    </row>
    <row r="180" spans="41:41" x14ac:dyDescent="0.3">
      <c r="AO180" s="62"/>
    </row>
    <row r="181" spans="41:41" x14ac:dyDescent="0.3">
      <c r="AO181" s="62"/>
    </row>
    <row r="182" spans="41:41" x14ac:dyDescent="0.3">
      <c r="AO182" s="62"/>
    </row>
    <row r="183" spans="41:41" x14ac:dyDescent="0.3">
      <c r="AO183" s="62"/>
    </row>
    <row r="184" spans="41:41" x14ac:dyDescent="0.3">
      <c r="AO184" s="62"/>
    </row>
    <row r="185" spans="41:41" x14ac:dyDescent="0.3">
      <c r="AO185" s="62"/>
    </row>
    <row r="186" spans="41:41" x14ac:dyDescent="0.3">
      <c r="AO186" s="62"/>
    </row>
    <row r="187" spans="41:41" x14ac:dyDescent="0.3">
      <c r="AO187" s="62"/>
    </row>
    <row r="188" spans="41:41" x14ac:dyDescent="0.3">
      <c r="AO188" s="62"/>
    </row>
    <row r="189" spans="41:41" x14ac:dyDescent="0.3">
      <c r="AO189" s="62"/>
    </row>
    <row r="190" spans="41:41" x14ac:dyDescent="0.3">
      <c r="AO190" s="62"/>
    </row>
    <row r="191" spans="41:41" x14ac:dyDescent="0.3">
      <c r="AO191" s="62"/>
    </row>
    <row r="192" spans="41:41" x14ac:dyDescent="0.3">
      <c r="AO192" s="62"/>
    </row>
    <row r="193" spans="41:41" x14ac:dyDescent="0.3">
      <c r="AO193" s="62"/>
    </row>
    <row r="194" spans="41:41" x14ac:dyDescent="0.3">
      <c r="AO194" s="62"/>
    </row>
    <row r="195" spans="41:41" x14ac:dyDescent="0.3">
      <c r="AO195" s="62"/>
    </row>
    <row r="196" spans="41:41" x14ac:dyDescent="0.3">
      <c r="AO196" s="62"/>
    </row>
    <row r="197" spans="41:41" x14ac:dyDescent="0.3">
      <c r="AO197" s="62"/>
    </row>
    <row r="198" spans="41:41" x14ac:dyDescent="0.3">
      <c r="AO198" s="62"/>
    </row>
    <row r="199" spans="41:41" x14ac:dyDescent="0.3">
      <c r="AO199" s="62"/>
    </row>
    <row r="200" spans="41:41" x14ac:dyDescent="0.3">
      <c r="AO200" s="62"/>
    </row>
    <row r="201" spans="41:41" x14ac:dyDescent="0.3">
      <c r="AO201" s="62"/>
    </row>
    <row r="202" spans="41:41" x14ac:dyDescent="0.3">
      <c r="AO202" s="62"/>
    </row>
    <row r="203" spans="41:41" x14ac:dyDescent="0.3">
      <c r="AO203" s="62"/>
    </row>
    <row r="204" spans="41:41" x14ac:dyDescent="0.3">
      <c r="AO204" s="62"/>
    </row>
    <row r="205" spans="41:41" x14ac:dyDescent="0.3">
      <c r="AO205" s="62"/>
    </row>
    <row r="206" spans="41:41" x14ac:dyDescent="0.3">
      <c r="AO206" s="62"/>
    </row>
    <row r="207" spans="41:41" x14ac:dyDescent="0.3">
      <c r="AO207" s="62"/>
    </row>
    <row r="208" spans="41:41" x14ac:dyDescent="0.3">
      <c r="AO208" s="62"/>
    </row>
    <row r="209" spans="41:41" x14ac:dyDescent="0.3">
      <c r="AO209" s="62"/>
    </row>
    <row r="210" spans="41:41" x14ac:dyDescent="0.3">
      <c r="AO210" s="62"/>
    </row>
    <row r="211" spans="41:41" x14ac:dyDescent="0.3">
      <c r="AO211" s="62"/>
    </row>
    <row r="212" spans="41:41" x14ac:dyDescent="0.3">
      <c r="AO212" s="62"/>
    </row>
    <row r="213" spans="41:41" x14ac:dyDescent="0.3">
      <c r="AO213" s="62"/>
    </row>
    <row r="214" spans="41:41" x14ac:dyDescent="0.3">
      <c r="AO214" s="62"/>
    </row>
    <row r="215" spans="41:41" x14ac:dyDescent="0.3">
      <c r="AO215" s="62"/>
    </row>
    <row r="216" spans="41:41" x14ac:dyDescent="0.3">
      <c r="AO216" s="62"/>
    </row>
    <row r="217" spans="41:41" x14ac:dyDescent="0.3">
      <c r="AO217" s="62"/>
    </row>
    <row r="218" spans="41:41" x14ac:dyDescent="0.3">
      <c r="AO218" s="62"/>
    </row>
    <row r="219" spans="41:41" x14ac:dyDescent="0.3">
      <c r="AO219" s="62"/>
    </row>
    <row r="220" spans="41:41" x14ac:dyDescent="0.3">
      <c r="AO220" s="62"/>
    </row>
    <row r="221" spans="41:41" x14ac:dyDescent="0.3">
      <c r="AO221" s="62"/>
    </row>
    <row r="222" spans="41:41" x14ac:dyDescent="0.3">
      <c r="AO222" s="62"/>
    </row>
    <row r="223" spans="41:41" x14ac:dyDescent="0.3">
      <c r="AO223" s="62"/>
    </row>
    <row r="224" spans="41:41" x14ac:dyDescent="0.3">
      <c r="AO224" s="62"/>
    </row>
    <row r="225" spans="41:41" x14ac:dyDescent="0.3">
      <c r="AO225" s="62"/>
    </row>
    <row r="226" spans="41:41" x14ac:dyDescent="0.3">
      <c r="AO226" s="62"/>
    </row>
    <row r="227" spans="41:41" x14ac:dyDescent="0.3">
      <c r="AO227" s="62"/>
    </row>
    <row r="228" spans="41:41" x14ac:dyDescent="0.3">
      <c r="AO228" s="62"/>
    </row>
    <row r="229" spans="41:41" x14ac:dyDescent="0.3">
      <c r="AO229" s="62"/>
    </row>
    <row r="230" spans="41:41" x14ac:dyDescent="0.3">
      <c r="AO230" s="62"/>
    </row>
    <row r="231" spans="41:41" x14ac:dyDescent="0.3">
      <c r="AO231" s="62"/>
    </row>
    <row r="232" spans="41:41" x14ac:dyDescent="0.3">
      <c r="AO232" s="62"/>
    </row>
    <row r="233" spans="41:41" x14ac:dyDescent="0.3">
      <c r="AO233" s="62"/>
    </row>
    <row r="234" spans="41:41" x14ac:dyDescent="0.3">
      <c r="AO234" s="62"/>
    </row>
    <row r="235" spans="41:41" x14ac:dyDescent="0.3">
      <c r="AO235" s="62"/>
    </row>
    <row r="236" spans="41:41" x14ac:dyDescent="0.3">
      <c r="AO236" s="62"/>
    </row>
    <row r="237" spans="41:41" x14ac:dyDescent="0.3">
      <c r="AO237" s="62"/>
    </row>
    <row r="238" spans="41:41" x14ac:dyDescent="0.3">
      <c r="AO238" s="62"/>
    </row>
    <row r="239" spans="41:41" x14ac:dyDescent="0.3">
      <c r="AO239" s="62"/>
    </row>
    <row r="240" spans="41:41" x14ac:dyDescent="0.3">
      <c r="AO240" s="62"/>
    </row>
    <row r="241" spans="41:41" x14ac:dyDescent="0.3">
      <c r="AO241" s="62"/>
    </row>
    <row r="242" spans="41:41" x14ac:dyDescent="0.3">
      <c r="AO242" s="62"/>
    </row>
    <row r="243" spans="41:41" x14ac:dyDescent="0.3">
      <c r="AO243" s="62"/>
    </row>
    <row r="244" spans="41:41" x14ac:dyDescent="0.3">
      <c r="AO244" s="62"/>
    </row>
    <row r="245" spans="41:41" x14ac:dyDescent="0.3">
      <c r="AO245" s="62"/>
    </row>
    <row r="246" spans="41:41" x14ac:dyDescent="0.3">
      <c r="AO246" s="62"/>
    </row>
    <row r="247" spans="41:41" x14ac:dyDescent="0.3">
      <c r="AO247" s="62"/>
    </row>
    <row r="248" spans="41:41" x14ac:dyDescent="0.3">
      <c r="AO248" s="62"/>
    </row>
    <row r="249" spans="41:41" x14ac:dyDescent="0.3">
      <c r="AO249" s="62"/>
    </row>
    <row r="250" spans="41:41" x14ac:dyDescent="0.3">
      <c r="AO250" s="62"/>
    </row>
    <row r="251" spans="41:41" x14ac:dyDescent="0.3">
      <c r="AO251" s="62"/>
    </row>
    <row r="252" spans="41:41" x14ac:dyDescent="0.3">
      <c r="AO252" s="62"/>
    </row>
    <row r="253" spans="41:41" x14ac:dyDescent="0.3">
      <c r="AO253" s="62"/>
    </row>
    <row r="254" spans="41:41" x14ac:dyDescent="0.3">
      <c r="AO254" s="62"/>
    </row>
    <row r="255" spans="41:41" x14ac:dyDescent="0.3">
      <c r="AO255" s="62"/>
    </row>
    <row r="256" spans="41:41" x14ac:dyDescent="0.3">
      <c r="AO256" s="62"/>
    </row>
    <row r="257" spans="41:41" x14ac:dyDescent="0.3">
      <c r="AO257" s="62"/>
    </row>
    <row r="258" spans="41:41" x14ac:dyDescent="0.3">
      <c r="AO258" s="62"/>
    </row>
    <row r="259" spans="41:41" x14ac:dyDescent="0.3">
      <c r="AO259" s="62"/>
    </row>
    <row r="260" spans="41:41" x14ac:dyDescent="0.3">
      <c r="AO260" s="62"/>
    </row>
    <row r="261" spans="41:41" x14ac:dyDescent="0.3">
      <c r="AO261" s="62"/>
    </row>
    <row r="262" spans="41:41" x14ac:dyDescent="0.3">
      <c r="AO262" s="62"/>
    </row>
    <row r="263" spans="41:41" x14ac:dyDescent="0.3">
      <c r="AO263" s="62"/>
    </row>
    <row r="264" spans="41:41" x14ac:dyDescent="0.3">
      <c r="AO264" s="62"/>
    </row>
    <row r="265" spans="41:41" x14ac:dyDescent="0.3">
      <c r="AO265" s="62"/>
    </row>
    <row r="266" spans="41:41" x14ac:dyDescent="0.3">
      <c r="AO266" s="62"/>
    </row>
    <row r="267" spans="41:41" x14ac:dyDescent="0.3">
      <c r="AO267" s="62"/>
    </row>
    <row r="268" spans="41:41" x14ac:dyDescent="0.3">
      <c r="AO268" s="62"/>
    </row>
    <row r="269" spans="41:41" x14ac:dyDescent="0.3">
      <c r="AO269" s="62"/>
    </row>
    <row r="270" spans="41:41" x14ac:dyDescent="0.3">
      <c r="AO270" s="62"/>
    </row>
    <row r="271" spans="41:41" x14ac:dyDescent="0.3">
      <c r="AO271" s="62"/>
    </row>
    <row r="272" spans="41:41" x14ac:dyDescent="0.3">
      <c r="AO272" s="62"/>
    </row>
    <row r="273" spans="41:41" x14ac:dyDescent="0.3">
      <c r="AO273" s="62"/>
    </row>
    <row r="274" spans="41:41" x14ac:dyDescent="0.3">
      <c r="AO274" s="62"/>
    </row>
    <row r="275" spans="41:41" x14ac:dyDescent="0.3">
      <c r="AO275" s="62"/>
    </row>
    <row r="276" spans="41:41" x14ac:dyDescent="0.3">
      <c r="AO276" s="62"/>
    </row>
    <row r="277" spans="41:41" x14ac:dyDescent="0.3">
      <c r="AO277" s="62"/>
    </row>
    <row r="278" spans="41:41" x14ac:dyDescent="0.3">
      <c r="AO278" s="62"/>
    </row>
    <row r="279" spans="41:41" x14ac:dyDescent="0.3">
      <c r="AO279" s="62"/>
    </row>
    <row r="280" spans="41:41" x14ac:dyDescent="0.3">
      <c r="AO280" s="62"/>
    </row>
    <row r="281" spans="41:41" x14ac:dyDescent="0.3">
      <c r="AO281" s="62"/>
    </row>
    <row r="282" spans="41:41" x14ac:dyDescent="0.3">
      <c r="AO282" s="62"/>
    </row>
    <row r="283" spans="41:41" x14ac:dyDescent="0.3">
      <c r="AO283" s="62"/>
    </row>
    <row r="284" spans="41:41" x14ac:dyDescent="0.3">
      <c r="AO284" s="62"/>
    </row>
    <row r="285" spans="41:41" x14ac:dyDescent="0.3">
      <c r="AO285" s="62"/>
    </row>
    <row r="286" spans="41:41" x14ac:dyDescent="0.3">
      <c r="AO286" s="62"/>
    </row>
    <row r="287" spans="41:41" x14ac:dyDescent="0.3">
      <c r="AO287" s="62"/>
    </row>
    <row r="288" spans="41:41" x14ac:dyDescent="0.3">
      <c r="AO288" s="62"/>
    </row>
    <row r="289" spans="41:41" x14ac:dyDescent="0.3">
      <c r="AO289" s="62"/>
    </row>
    <row r="290" spans="41:41" x14ac:dyDescent="0.3">
      <c r="AO290" s="62"/>
    </row>
    <row r="291" spans="41:41" x14ac:dyDescent="0.3">
      <c r="AO291" s="62"/>
    </row>
    <row r="292" spans="41:41" x14ac:dyDescent="0.3">
      <c r="AO292" s="62"/>
    </row>
    <row r="293" spans="41:41" x14ac:dyDescent="0.3">
      <c r="AO293" s="62"/>
    </row>
    <row r="294" spans="41:41" x14ac:dyDescent="0.3">
      <c r="AO294" s="62"/>
    </row>
    <row r="295" spans="41:41" x14ac:dyDescent="0.3">
      <c r="AO295" s="62"/>
    </row>
    <row r="296" spans="41:41" x14ac:dyDescent="0.3">
      <c r="AO296" s="62"/>
    </row>
    <row r="297" spans="41:41" x14ac:dyDescent="0.3">
      <c r="AO297" s="62"/>
    </row>
    <row r="298" spans="41:41" x14ac:dyDescent="0.3">
      <c r="AO298" s="62"/>
    </row>
    <row r="299" spans="41:41" x14ac:dyDescent="0.3">
      <c r="AO299" s="62"/>
    </row>
    <row r="300" spans="41:41" x14ac:dyDescent="0.3">
      <c r="AO300" s="62"/>
    </row>
    <row r="301" spans="41:41" x14ac:dyDescent="0.3">
      <c r="AO301" s="62"/>
    </row>
    <row r="302" spans="41:41" x14ac:dyDescent="0.3">
      <c r="AO302" s="62"/>
    </row>
    <row r="303" spans="41:41" x14ac:dyDescent="0.3">
      <c r="AO303" s="62"/>
    </row>
    <row r="304" spans="41:41" x14ac:dyDescent="0.3">
      <c r="AO304" s="62"/>
    </row>
    <row r="305" spans="41:41" x14ac:dyDescent="0.3">
      <c r="AO305" s="62"/>
    </row>
    <row r="306" spans="41:41" x14ac:dyDescent="0.3">
      <c r="AO306" s="62"/>
    </row>
    <row r="307" spans="41:41" x14ac:dyDescent="0.3">
      <c r="AO307" s="62"/>
    </row>
    <row r="308" spans="41:41" x14ac:dyDescent="0.3">
      <c r="AO308" s="62"/>
    </row>
    <row r="309" spans="41:41" x14ac:dyDescent="0.3">
      <c r="AO309" s="62"/>
    </row>
    <row r="310" spans="41:41" x14ac:dyDescent="0.3">
      <c r="AO310" s="62"/>
    </row>
    <row r="311" spans="41:41" x14ac:dyDescent="0.3">
      <c r="AO311" s="62"/>
    </row>
    <row r="312" spans="41:41" x14ac:dyDescent="0.3">
      <c r="AO312" s="62"/>
    </row>
    <row r="313" spans="41:41" x14ac:dyDescent="0.3">
      <c r="AO313" s="62"/>
    </row>
    <row r="314" spans="41:41" x14ac:dyDescent="0.3">
      <c r="AO314" s="62"/>
    </row>
    <row r="315" spans="41:41" x14ac:dyDescent="0.3">
      <c r="AO315" s="62"/>
    </row>
    <row r="316" spans="41:41" x14ac:dyDescent="0.3">
      <c r="AO316" s="62"/>
    </row>
    <row r="317" spans="41:41" x14ac:dyDescent="0.3">
      <c r="AO317" s="62"/>
    </row>
    <row r="318" spans="41:41" x14ac:dyDescent="0.3">
      <c r="AO318" s="62"/>
    </row>
    <row r="319" spans="41:41" x14ac:dyDescent="0.3">
      <c r="AO319" s="62"/>
    </row>
    <row r="320" spans="41:41" x14ac:dyDescent="0.3">
      <c r="AO320" s="62"/>
    </row>
    <row r="321" spans="41:41" x14ac:dyDescent="0.3">
      <c r="AO321" s="62"/>
    </row>
    <row r="322" spans="41:41" x14ac:dyDescent="0.3">
      <c r="AO322" s="62"/>
    </row>
    <row r="323" spans="41:41" x14ac:dyDescent="0.3">
      <c r="AO323" s="62"/>
    </row>
    <row r="324" spans="41:41" x14ac:dyDescent="0.3">
      <c r="AO324" s="62"/>
    </row>
    <row r="325" spans="41:41" x14ac:dyDescent="0.3">
      <c r="AO325" s="62"/>
    </row>
    <row r="326" spans="41:41" x14ac:dyDescent="0.3">
      <c r="AO326" s="62"/>
    </row>
    <row r="327" spans="41:41" x14ac:dyDescent="0.3">
      <c r="AO327" s="62"/>
    </row>
    <row r="328" spans="41:41" x14ac:dyDescent="0.3">
      <c r="AO328" s="62"/>
    </row>
    <row r="329" spans="41:41" x14ac:dyDescent="0.3">
      <c r="AO329" s="62"/>
    </row>
    <row r="330" spans="41:41" x14ac:dyDescent="0.3">
      <c r="AO330" s="62"/>
    </row>
    <row r="331" spans="41:41" x14ac:dyDescent="0.3">
      <c r="AO331" s="62"/>
    </row>
    <row r="332" spans="41:41" x14ac:dyDescent="0.3">
      <c r="AO332" s="62"/>
    </row>
    <row r="333" spans="41:41" x14ac:dyDescent="0.3">
      <c r="AO333" s="62"/>
    </row>
    <row r="334" spans="41:41" x14ac:dyDescent="0.3">
      <c r="AO334" s="62"/>
    </row>
    <row r="335" spans="41:41" x14ac:dyDescent="0.3">
      <c r="AO335" s="62"/>
    </row>
    <row r="336" spans="41:41" x14ac:dyDescent="0.3">
      <c r="AO336" s="62"/>
    </row>
    <row r="337" spans="41:41" x14ac:dyDescent="0.3">
      <c r="AO337" s="62"/>
    </row>
    <row r="338" spans="41:41" x14ac:dyDescent="0.3">
      <c r="AO338" s="62"/>
    </row>
    <row r="339" spans="41:41" x14ac:dyDescent="0.3">
      <c r="AO339" s="62"/>
    </row>
    <row r="340" spans="41:41" x14ac:dyDescent="0.3">
      <c r="AO340" s="62"/>
    </row>
    <row r="341" spans="41:41" x14ac:dyDescent="0.3">
      <c r="AO341" s="62"/>
    </row>
    <row r="342" spans="41:41" x14ac:dyDescent="0.3">
      <c r="AO342" s="62"/>
    </row>
    <row r="343" spans="41:41" x14ac:dyDescent="0.3">
      <c r="AO343" s="62"/>
    </row>
    <row r="344" spans="41:41" x14ac:dyDescent="0.3">
      <c r="AO344" s="62"/>
    </row>
    <row r="345" spans="41:41" x14ac:dyDescent="0.3">
      <c r="AO345" s="62"/>
    </row>
    <row r="346" spans="41:41" x14ac:dyDescent="0.3">
      <c r="AO346" s="62"/>
    </row>
    <row r="347" spans="41:41" x14ac:dyDescent="0.3">
      <c r="AO347" s="62"/>
    </row>
    <row r="348" spans="41:41" x14ac:dyDescent="0.3">
      <c r="AO348" s="62"/>
    </row>
    <row r="349" spans="41:41" x14ac:dyDescent="0.3">
      <c r="AO349" s="62"/>
    </row>
    <row r="350" spans="41:41" x14ac:dyDescent="0.3">
      <c r="AO350" s="62"/>
    </row>
    <row r="351" spans="41:41" x14ac:dyDescent="0.3">
      <c r="AO351" s="62"/>
    </row>
    <row r="352" spans="41:41" x14ac:dyDescent="0.3">
      <c r="AO352" s="62"/>
    </row>
    <row r="353" spans="41:41" x14ac:dyDescent="0.3">
      <c r="AO353" s="62"/>
    </row>
    <row r="354" spans="41:41" x14ac:dyDescent="0.3">
      <c r="AO354" s="62"/>
    </row>
    <row r="355" spans="41:41" x14ac:dyDescent="0.3">
      <c r="AO355" s="62"/>
    </row>
    <row r="356" spans="41:41" x14ac:dyDescent="0.3">
      <c r="AO356" s="62"/>
    </row>
    <row r="357" spans="41:41" x14ac:dyDescent="0.3">
      <c r="AO357" s="62"/>
    </row>
    <row r="358" spans="41:41" x14ac:dyDescent="0.3">
      <c r="AO358" s="62"/>
    </row>
    <row r="359" spans="41:41" x14ac:dyDescent="0.3">
      <c r="AO359" s="62"/>
    </row>
    <row r="360" spans="41:41" x14ac:dyDescent="0.3">
      <c r="AO360" s="62"/>
    </row>
    <row r="361" spans="41:41" x14ac:dyDescent="0.3">
      <c r="AO361" s="62"/>
    </row>
    <row r="362" spans="41:41" x14ac:dyDescent="0.3">
      <c r="AO362" s="62"/>
    </row>
    <row r="363" spans="41:41" x14ac:dyDescent="0.3">
      <c r="AO363" s="62"/>
    </row>
    <row r="364" spans="41:41" x14ac:dyDescent="0.3">
      <c r="AO364" s="62"/>
    </row>
    <row r="365" spans="41:41" x14ac:dyDescent="0.3">
      <c r="AO365" s="62"/>
    </row>
    <row r="366" spans="41:41" x14ac:dyDescent="0.3">
      <c r="AO366" s="62"/>
    </row>
    <row r="367" spans="41:41" x14ac:dyDescent="0.3">
      <c r="AO367" s="62"/>
    </row>
    <row r="368" spans="41:41" x14ac:dyDescent="0.3">
      <c r="AO368" s="62"/>
    </row>
    <row r="369" spans="41:41" x14ac:dyDescent="0.3">
      <c r="AO369" s="62"/>
    </row>
    <row r="370" spans="41:41" x14ac:dyDescent="0.3">
      <c r="AO370" s="62"/>
    </row>
    <row r="371" spans="41:41" x14ac:dyDescent="0.3">
      <c r="AO371" s="62"/>
    </row>
    <row r="372" spans="41:41" x14ac:dyDescent="0.3">
      <c r="AO372" s="62"/>
    </row>
    <row r="373" spans="41:41" x14ac:dyDescent="0.3">
      <c r="AO373" s="62"/>
    </row>
    <row r="374" spans="41:41" x14ac:dyDescent="0.3">
      <c r="AO374" s="62"/>
    </row>
    <row r="375" spans="41:41" x14ac:dyDescent="0.3">
      <c r="AO375" s="62"/>
    </row>
    <row r="376" spans="41:41" x14ac:dyDescent="0.3">
      <c r="AO376" s="62"/>
    </row>
    <row r="377" spans="41:41" x14ac:dyDescent="0.3">
      <c r="AO377" s="62"/>
    </row>
    <row r="378" spans="41:41" x14ac:dyDescent="0.3">
      <c r="AO378" s="62"/>
    </row>
    <row r="379" spans="41:41" x14ac:dyDescent="0.3">
      <c r="AO379" s="62"/>
    </row>
    <row r="380" spans="41:41" x14ac:dyDescent="0.3">
      <c r="AO380" s="62"/>
    </row>
    <row r="381" spans="41:41" x14ac:dyDescent="0.3">
      <c r="AO381" s="62"/>
    </row>
    <row r="382" spans="41:41" x14ac:dyDescent="0.3">
      <c r="AO382" s="62"/>
    </row>
    <row r="383" spans="41:41" x14ac:dyDescent="0.3">
      <c r="AO383" s="62"/>
    </row>
    <row r="384" spans="41:41" x14ac:dyDescent="0.3">
      <c r="AO384" s="62"/>
    </row>
    <row r="385" spans="41:41" x14ac:dyDescent="0.3">
      <c r="AO385" s="62"/>
    </row>
    <row r="386" spans="41:41" x14ac:dyDescent="0.3">
      <c r="AO386" s="62"/>
    </row>
    <row r="387" spans="41:41" x14ac:dyDescent="0.3">
      <c r="AO387" s="62"/>
    </row>
    <row r="388" spans="41:41" x14ac:dyDescent="0.3">
      <c r="AO388" s="62"/>
    </row>
    <row r="389" spans="41:41" x14ac:dyDescent="0.3">
      <c r="AO389" s="62"/>
    </row>
    <row r="390" spans="41:41" x14ac:dyDescent="0.3">
      <c r="AO390" s="62"/>
    </row>
    <row r="391" spans="41:41" x14ac:dyDescent="0.3">
      <c r="AO391" s="62"/>
    </row>
    <row r="392" spans="41:41" x14ac:dyDescent="0.3">
      <c r="AO392" s="62"/>
    </row>
    <row r="393" spans="41:41" x14ac:dyDescent="0.3">
      <c r="AO393" s="62"/>
    </row>
    <row r="394" spans="41:41" x14ac:dyDescent="0.3">
      <c r="AO394" s="62"/>
    </row>
    <row r="395" spans="41:41" x14ac:dyDescent="0.3">
      <c r="AO395" s="62"/>
    </row>
    <row r="396" spans="41:41" x14ac:dyDescent="0.3">
      <c r="AO396" s="62"/>
    </row>
    <row r="397" spans="41:41" x14ac:dyDescent="0.3">
      <c r="AO397" s="62"/>
    </row>
    <row r="398" spans="41:41" x14ac:dyDescent="0.3">
      <c r="AO398" s="62"/>
    </row>
    <row r="399" spans="41:41" x14ac:dyDescent="0.3">
      <c r="AO399" s="62"/>
    </row>
    <row r="400" spans="41:41" x14ac:dyDescent="0.3">
      <c r="AO400" s="62"/>
    </row>
    <row r="401" spans="41:41" x14ac:dyDescent="0.3">
      <c r="AO401" s="62"/>
    </row>
    <row r="402" spans="41:41" x14ac:dyDescent="0.3">
      <c r="AO402" s="62"/>
    </row>
    <row r="403" spans="41:41" x14ac:dyDescent="0.3">
      <c r="AO403" s="62"/>
    </row>
    <row r="404" spans="41:41" x14ac:dyDescent="0.3">
      <c r="AO404" s="62"/>
    </row>
    <row r="405" spans="41:41" x14ac:dyDescent="0.3">
      <c r="AO405" s="62"/>
    </row>
    <row r="406" spans="41:41" x14ac:dyDescent="0.3">
      <c r="AO406" s="62"/>
    </row>
    <row r="407" spans="41:41" x14ac:dyDescent="0.3">
      <c r="AO407" s="62"/>
    </row>
    <row r="408" spans="41:41" x14ac:dyDescent="0.3">
      <c r="AO408" s="62"/>
    </row>
    <row r="409" spans="41:41" x14ac:dyDescent="0.3">
      <c r="AO409" s="62"/>
    </row>
    <row r="410" spans="41:41" x14ac:dyDescent="0.3">
      <c r="AO410" s="62"/>
    </row>
    <row r="411" spans="41:41" x14ac:dyDescent="0.3">
      <c r="AO411" s="62"/>
    </row>
    <row r="412" spans="41:41" x14ac:dyDescent="0.3">
      <c r="AO412" s="62"/>
    </row>
    <row r="413" spans="41:41" x14ac:dyDescent="0.3">
      <c r="AO413" s="62"/>
    </row>
    <row r="414" spans="41:41" x14ac:dyDescent="0.3">
      <c r="AO414" s="62"/>
    </row>
    <row r="415" spans="41:41" x14ac:dyDescent="0.3">
      <c r="AO415" s="62"/>
    </row>
    <row r="416" spans="41:41" x14ac:dyDescent="0.3">
      <c r="AO416" s="62"/>
    </row>
    <row r="417" spans="41:41" x14ac:dyDescent="0.3">
      <c r="AO417" s="62"/>
    </row>
    <row r="418" spans="41:41" x14ac:dyDescent="0.3">
      <c r="AO418" s="62"/>
    </row>
    <row r="419" spans="41:41" x14ac:dyDescent="0.3">
      <c r="AO419" s="62"/>
    </row>
    <row r="420" spans="41:41" x14ac:dyDescent="0.3">
      <c r="AO420" s="62"/>
    </row>
    <row r="421" spans="41:41" x14ac:dyDescent="0.3">
      <c r="AO421" s="62"/>
    </row>
    <row r="422" spans="41:41" x14ac:dyDescent="0.3">
      <c r="AO422" s="62"/>
    </row>
    <row r="423" spans="41:41" x14ac:dyDescent="0.3">
      <c r="AO423" s="62"/>
    </row>
    <row r="424" spans="41:41" x14ac:dyDescent="0.3">
      <c r="AO424" s="62"/>
    </row>
    <row r="425" spans="41:41" x14ac:dyDescent="0.3">
      <c r="AO425" s="62"/>
    </row>
    <row r="426" spans="41:41" x14ac:dyDescent="0.3">
      <c r="AO426" s="62"/>
    </row>
    <row r="427" spans="41:41" x14ac:dyDescent="0.3">
      <c r="AO427" s="62"/>
    </row>
    <row r="428" spans="41:41" x14ac:dyDescent="0.3">
      <c r="AO428" s="62"/>
    </row>
    <row r="429" spans="41:41" x14ac:dyDescent="0.3">
      <c r="AO429" s="62"/>
    </row>
    <row r="430" spans="41:41" x14ac:dyDescent="0.3">
      <c r="AO430" s="62"/>
    </row>
    <row r="431" spans="41:41" x14ac:dyDescent="0.3">
      <c r="AO431" s="62"/>
    </row>
    <row r="432" spans="41:41" x14ac:dyDescent="0.3">
      <c r="AO432" s="62"/>
    </row>
    <row r="433" spans="41:41" x14ac:dyDescent="0.3">
      <c r="AO433" s="62"/>
    </row>
    <row r="434" spans="41:41" x14ac:dyDescent="0.3">
      <c r="AO434" s="62"/>
    </row>
    <row r="435" spans="41:41" x14ac:dyDescent="0.3">
      <c r="AO435" s="62"/>
    </row>
    <row r="436" spans="41:41" x14ac:dyDescent="0.3">
      <c r="AO436" s="62"/>
    </row>
    <row r="437" spans="41:41" x14ac:dyDescent="0.3">
      <c r="AO437" s="62"/>
    </row>
    <row r="438" spans="41:41" x14ac:dyDescent="0.3">
      <c r="AO438" s="62"/>
    </row>
    <row r="439" spans="41:41" x14ac:dyDescent="0.3">
      <c r="AO439" s="62"/>
    </row>
    <row r="440" spans="41:41" x14ac:dyDescent="0.3">
      <c r="AO440" s="62"/>
    </row>
    <row r="441" spans="41:41" x14ac:dyDescent="0.3">
      <c r="AO441" s="62"/>
    </row>
    <row r="442" spans="41:41" x14ac:dyDescent="0.3">
      <c r="AO442" s="62"/>
    </row>
    <row r="443" spans="41:41" x14ac:dyDescent="0.3">
      <c r="AO443" s="62"/>
    </row>
    <row r="444" spans="41:41" x14ac:dyDescent="0.3">
      <c r="AO444" s="62"/>
    </row>
    <row r="445" spans="41:41" x14ac:dyDescent="0.3">
      <c r="AO445" s="62"/>
    </row>
    <row r="446" spans="41:41" x14ac:dyDescent="0.3">
      <c r="AO446" s="62"/>
    </row>
    <row r="447" spans="41:41" x14ac:dyDescent="0.3">
      <c r="AO447" s="62"/>
    </row>
    <row r="448" spans="41:41" x14ac:dyDescent="0.3">
      <c r="AO448" s="62"/>
    </row>
    <row r="449" spans="41:41" x14ac:dyDescent="0.3">
      <c r="AO449" s="62"/>
    </row>
    <row r="450" spans="41:41" x14ac:dyDescent="0.3">
      <c r="AO450" s="62"/>
    </row>
    <row r="451" spans="41:41" x14ac:dyDescent="0.3">
      <c r="AO451" s="62"/>
    </row>
    <row r="452" spans="41:41" x14ac:dyDescent="0.3">
      <c r="AO452" s="62"/>
    </row>
    <row r="453" spans="41:41" x14ac:dyDescent="0.3">
      <c r="AO453" s="62"/>
    </row>
    <row r="454" spans="41:41" x14ac:dyDescent="0.3">
      <c r="AO454" s="62"/>
    </row>
    <row r="455" spans="41:41" x14ac:dyDescent="0.3">
      <c r="AO455" s="62"/>
    </row>
    <row r="456" spans="41:41" x14ac:dyDescent="0.3">
      <c r="AO456" s="62"/>
    </row>
    <row r="457" spans="41:41" x14ac:dyDescent="0.3">
      <c r="AO457" s="62"/>
    </row>
    <row r="458" spans="41:41" x14ac:dyDescent="0.3">
      <c r="AO458" s="62"/>
    </row>
    <row r="459" spans="41:41" x14ac:dyDescent="0.3">
      <c r="AO459" s="62"/>
    </row>
    <row r="460" spans="41:41" x14ac:dyDescent="0.3">
      <c r="AO460" s="62"/>
    </row>
    <row r="461" spans="41:41" x14ac:dyDescent="0.3">
      <c r="AO461" s="62"/>
    </row>
    <row r="462" spans="41:41" x14ac:dyDescent="0.3">
      <c r="AO462" s="62"/>
    </row>
    <row r="463" spans="41:41" x14ac:dyDescent="0.3">
      <c r="AO463" s="62"/>
    </row>
    <row r="464" spans="41:41" x14ac:dyDescent="0.3">
      <c r="AO464" s="62"/>
    </row>
    <row r="465" spans="41:41" x14ac:dyDescent="0.3">
      <c r="AO465" s="62"/>
    </row>
    <row r="466" spans="41:41" x14ac:dyDescent="0.3">
      <c r="AO466" s="62"/>
    </row>
    <row r="467" spans="41:41" x14ac:dyDescent="0.3">
      <c r="AO467" s="62"/>
    </row>
    <row r="468" spans="41:41" x14ac:dyDescent="0.3">
      <c r="AO468" s="62"/>
    </row>
    <row r="469" spans="41:41" x14ac:dyDescent="0.3">
      <c r="AO469" s="62"/>
    </row>
    <row r="470" spans="41:41" x14ac:dyDescent="0.3">
      <c r="AO470" s="62"/>
    </row>
    <row r="471" spans="41:41" x14ac:dyDescent="0.3">
      <c r="AO471" s="62"/>
    </row>
    <row r="472" spans="41:41" x14ac:dyDescent="0.3">
      <c r="AO472" s="62"/>
    </row>
    <row r="473" spans="41:41" x14ac:dyDescent="0.3">
      <c r="AO473" s="62"/>
    </row>
    <row r="474" spans="41:41" x14ac:dyDescent="0.3">
      <c r="AO474" s="62"/>
    </row>
    <row r="475" spans="41:41" x14ac:dyDescent="0.3">
      <c r="AO475" s="62"/>
    </row>
    <row r="476" spans="41:41" x14ac:dyDescent="0.3">
      <c r="AO476" s="62"/>
    </row>
    <row r="477" spans="41:41" x14ac:dyDescent="0.3">
      <c r="AO477" s="62"/>
    </row>
    <row r="478" spans="41:41" x14ac:dyDescent="0.3">
      <c r="AO478" s="62"/>
    </row>
    <row r="479" spans="41:41" x14ac:dyDescent="0.3">
      <c r="AO479" s="62"/>
    </row>
    <row r="480" spans="41:41" x14ac:dyDescent="0.3">
      <c r="AO480" s="62"/>
    </row>
    <row r="481" spans="41:41" x14ac:dyDescent="0.3">
      <c r="AO481" s="62"/>
    </row>
    <row r="482" spans="41:41" x14ac:dyDescent="0.3">
      <c r="AO482" s="62"/>
    </row>
    <row r="483" spans="41:41" x14ac:dyDescent="0.3">
      <c r="AO483" s="62"/>
    </row>
    <row r="484" spans="41:41" x14ac:dyDescent="0.3">
      <c r="AO484" s="62"/>
    </row>
    <row r="485" spans="41:41" x14ac:dyDescent="0.3">
      <c r="AO485" s="62"/>
    </row>
    <row r="486" spans="41:41" x14ac:dyDescent="0.3">
      <c r="AO486" s="62"/>
    </row>
    <row r="487" spans="41:41" x14ac:dyDescent="0.3">
      <c r="AO487" s="62"/>
    </row>
    <row r="488" spans="41:41" x14ac:dyDescent="0.3">
      <c r="AO488" s="62"/>
    </row>
    <row r="489" spans="41:41" x14ac:dyDescent="0.3">
      <c r="AO489" s="62"/>
    </row>
    <row r="490" spans="41:41" x14ac:dyDescent="0.3">
      <c r="AO490" s="62"/>
    </row>
    <row r="491" spans="41:41" x14ac:dyDescent="0.3">
      <c r="AO491" s="62"/>
    </row>
    <row r="492" spans="41:41" x14ac:dyDescent="0.3">
      <c r="AO492" s="62"/>
    </row>
    <row r="493" spans="41:41" x14ac:dyDescent="0.3">
      <c r="AO493" s="62"/>
    </row>
    <row r="494" spans="41:41" x14ac:dyDescent="0.3">
      <c r="AO494" s="62"/>
    </row>
    <row r="495" spans="41:41" x14ac:dyDescent="0.3">
      <c r="AO495" s="62"/>
    </row>
    <row r="496" spans="41:41" x14ac:dyDescent="0.3">
      <c r="AO496" s="62"/>
    </row>
    <row r="497" spans="41:41" x14ac:dyDescent="0.3">
      <c r="AO497" s="62"/>
    </row>
    <row r="498" spans="41:41" x14ac:dyDescent="0.3">
      <c r="AO498" s="62"/>
    </row>
    <row r="499" spans="41:41" x14ac:dyDescent="0.3">
      <c r="AO499" s="62"/>
    </row>
    <row r="500" spans="41:41" x14ac:dyDescent="0.3">
      <c r="AO500" s="62"/>
    </row>
    <row r="501" spans="41:41" x14ac:dyDescent="0.3">
      <c r="AO501" s="62"/>
    </row>
    <row r="502" spans="41:41" x14ac:dyDescent="0.3">
      <c r="AO502" s="62"/>
    </row>
    <row r="503" spans="41:41" x14ac:dyDescent="0.3">
      <c r="AO503" s="62"/>
    </row>
    <row r="504" spans="41:41" x14ac:dyDescent="0.3">
      <c r="AO504" s="62"/>
    </row>
    <row r="505" spans="41:41" x14ac:dyDescent="0.3">
      <c r="AO505" s="62"/>
    </row>
    <row r="506" spans="41:41" x14ac:dyDescent="0.3">
      <c r="AO506" s="62"/>
    </row>
    <row r="507" spans="41:41" x14ac:dyDescent="0.3">
      <c r="AO507" s="62"/>
    </row>
    <row r="508" spans="41:41" x14ac:dyDescent="0.3">
      <c r="AO508" s="62"/>
    </row>
    <row r="509" spans="41:41" x14ac:dyDescent="0.3">
      <c r="AO509" s="62"/>
    </row>
    <row r="510" spans="41:41" x14ac:dyDescent="0.3">
      <c r="AO510" s="62"/>
    </row>
    <row r="511" spans="41:41" x14ac:dyDescent="0.3">
      <c r="AO511" s="62"/>
    </row>
    <row r="512" spans="41:41" x14ac:dyDescent="0.3">
      <c r="AO512" s="62"/>
    </row>
    <row r="513" spans="41:41" x14ac:dyDescent="0.3">
      <c r="AO513" s="62"/>
    </row>
    <row r="514" spans="41:41" x14ac:dyDescent="0.3">
      <c r="AO514" s="62"/>
    </row>
    <row r="515" spans="41:41" x14ac:dyDescent="0.3">
      <c r="AO515" s="62"/>
    </row>
    <row r="516" spans="41:41" x14ac:dyDescent="0.3">
      <c r="AO516" s="62"/>
    </row>
    <row r="517" spans="41:41" x14ac:dyDescent="0.3">
      <c r="AO517" s="62"/>
    </row>
    <row r="518" spans="41:41" x14ac:dyDescent="0.3">
      <c r="AO518" s="62"/>
    </row>
    <row r="519" spans="41:41" x14ac:dyDescent="0.3">
      <c r="AO519" s="62"/>
    </row>
    <row r="520" spans="41:41" x14ac:dyDescent="0.3">
      <c r="AO520" s="62"/>
    </row>
    <row r="521" spans="41:41" x14ac:dyDescent="0.3">
      <c r="AO521" s="62"/>
    </row>
    <row r="522" spans="41:41" x14ac:dyDescent="0.3">
      <c r="AO522" s="62"/>
    </row>
    <row r="523" spans="41:41" x14ac:dyDescent="0.3">
      <c r="AO523" s="62"/>
    </row>
    <row r="524" spans="41:41" x14ac:dyDescent="0.3">
      <c r="AO524" s="62"/>
    </row>
    <row r="525" spans="41:41" x14ac:dyDescent="0.3">
      <c r="AO525" s="62"/>
    </row>
    <row r="526" spans="41:41" x14ac:dyDescent="0.3">
      <c r="AO526" s="62"/>
    </row>
    <row r="527" spans="41:41" x14ac:dyDescent="0.3">
      <c r="AO527" s="62"/>
    </row>
    <row r="528" spans="41:41" x14ac:dyDescent="0.3">
      <c r="AO528" s="62"/>
    </row>
    <row r="529" spans="41:41" x14ac:dyDescent="0.3">
      <c r="AO529" s="62"/>
    </row>
    <row r="530" spans="41:41" x14ac:dyDescent="0.3">
      <c r="AO530" s="62"/>
    </row>
    <row r="531" spans="41:41" x14ac:dyDescent="0.3">
      <c r="AO531" s="62"/>
    </row>
    <row r="532" spans="41:41" x14ac:dyDescent="0.3">
      <c r="AO532" s="62"/>
    </row>
    <row r="533" spans="41:41" x14ac:dyDescent="0.3">
      <c r="AO533" s="62"/>
    </row>
    <row r="534" spans="41:41" x14ac:dyDescent="0.3">
      <c r="AO534" s="62"/>
    </row>
    <row r="535" spans="41:41" x14ac:dyDescent="0.3">
      <c r="AO535" s="62"/>
    </row>
    <row r="536" spans="41:41" x14ac:dyDescent="0.3">
      <c r="AO536" s="62"/>
    </row>
    <row r="537" spans="41:41" x14ac:dyDescent="0.3">
      <c r="AO537" s="62"/>
    </row>
    <row r="538" spans="41:41" x14ac:dyDescent="0.3">
      <c r="AO538" s="62"/>
    </row>
    <row r="539" spans="41:41" x14ac:dyDescent="0.3">
      <c r="AO539" s="62"/>
    </row>
    <row r="540" spans="41:41" x14ac:dyDescent="0.3">
      <c r="AO540" s="62"/>
    </row>
    <row r="541" spans="41:41" x14ac:dyDescent="0.3">
      <c r="AO541" s="62"/>
    </row>
    <row r="542" spans="41:41" x14ac:dyDescent="0.3">
      <c r="AO542" s="62"/>
    </row>
    <row r="543" spans="41:41" x14ac:dyDescent="0.3">
      <c r="AO543" s="62"/>
    </row>
    <row r="544" spans="41:41" x14ac:dyDescent="0.3">
      <c r="AO544" s="62"/>
    </row>
    <row r="545" spans="41:41" x14ac:dyDescent="0.3">
      <c r="AO545" s="62"/>
    </row>
    <row r="546" spans="41:41" x14ac:dyDescent="0.3">
      <c r="AO546" s="62"/>
    </row>
    <row r="547" spans="41:41" x14ac:dyDescent="0.3">
      <c r="AO547" s="62"/>
    </row>
    <row r="548" spans="41:41" x14ac:dyDescent="0.3">
      <c r="AO548" s="62"/>
    </row>
    <row r="549" spans="41:41" x14ac:dyDescent="0.3">
      <c r="AO549" s="62"/>
    </row>
    <row r="550" spans="41:41" x14ac:dyDescent="0.3">
      <c r="AO550" s="62"/>
    </row>
    <row r="551" spans="41:41" x14ac:dyDescent="0.3">
      <c r="AO551" s="62"/>
    </row>
    <row r="552" spans="41:41" x14ac:dyDescent="0.3">
      <c r="AO552" s="62"/>
    </row>
    <row r="553" spans="41:41" x14ac:dyDescent="0.3">
      <c r="AO553" s="62"/>
    </row>
    <row r="554" spans="41:41" x14ac:dyDescent="0.3">
      <c r="AO554" s="62"/>
    </row>
    <row r="555" spans="41:41" x14ac:dyDescent="0.3">
      <c r="AO555" s="62"/>
    </row>
    <row r="556" spans="41:41" x14ac:dyDescent="0.3">
      <c r="AO556" s="62"/>
    </row>
    <row r="557" spans="41:41" x14ac:dyDescent="0.3">
      <c r="AO557" s="62"/>
    </row>
    <row r="558" spans="41:41" x14ac:dyDescent="0.3">
      <c r="AO558" s="62"/>
    </row>
    <row r="559" spans="41:41" x14ac:dyDescent="0.3">
      <c r="AO559" s="62"/>
    </row>
    <row r="560" spans="41:41" x14ac:dyDescent="0.3">
      <c r="AO560" s="62"/>
    </row>
    <row r="561" spans="41:41" x14ac:dyDescent="0.3">
      <c r="AO561" s="62"/>
    </row>
    <row r="562" spans="41:41" x14ac:dyDescent="0.3">
      <c r="AO562" s="62"/>
    </row>
    <row r="563" spans="41:41" x14ac:dyDescent="0.3">
      <c r="AO563" s="62"/>
    </row>
    <row r="564" spans="41:41" x14ac:dyDescent="0.3">
      <c r="AO564" s="62"/>
    </row>
    <row r="565" spans="41:41" x14ac:dyDescent="0.3">
      <c r="AO565" s="62"/>
    </row>
    <row r="566" spans="41:41" x14ac:dyDescent="0.3">
      <c r="AO566" s="62"/>
    </row>
    <row r="567" spans="41:41" x14ac:dyDescent="0.3">
      <c r="AO567" s="62"/>
    </row>
    <row r="568" spans="41:41" x14ac:dyDescent="0.3">
      <c r="AO568" s="62"/>
    </row>
    <row r="569" spans="41:41" x14ac:dyDescent="0.3">
      <c r="AO569" s="62"/>
    </row>
    <row r="570" spans="41:41" x14ac:dyDescent="0.3">
      <c r="AO570" s="62"/>
    </row>
    <row r="571" spans="41:41" x14ac:dyDescent="0.3">
      <c r="AO571" s="62"/>
    </row>
    <row r="572" spans="41:41" x14ac:dyDescent="0.3">
      <c r="AO572" s="62"/>
    </row>
    <row r="573" spans="41:41" x14ac:dyDescent="0.3">
      <c r="AO573" s="62"/>
    </row>
    <row r="574" spans="41:41" x14ac:dyDescent="0.3">
      <c r="AO574" s="62"/>
    </row>
    <row r="575" spans="41:41" x14ac:dyDescent="0.3">
      <c r="AO575" s="62"/>
    </row>
    <row r="576" spans="41:41" x14ac:dyDescent="0.3">
      <c r="AO576" s="62"/>
    </row>
    <row r="577" spans="41:41" x14ac:dyDescent="0.3">
      <c r="AO577" s="62"/>
    </row>
    <row r="578" spans="41:41" x14ac:dyDescent="0.3">
      <c r="AO578" s="62"/>
    </row>
    <row r="579" spans="41:41" x14ac:dyDescent="0.3">
      <c r="AO579" s="62"/>
    </row>
    <row r="580" spans="41:41" x14ac:dyDescent="0.3">
      <c r="AO580" s="62"/>
    </row>
    <row r="581" spans="41:41" x14ac:dyDescent="0.3">
      <c r="AO581" s="62"/>
    </row>
    <row r="582" spans="41:41" x14ac:dyDescent="0.3">
      <c r="AO582" s="62"/>
    </row>
    <row r="583" spans="41:41" x14ac:dyDescent="0.3">
      <c r="AO583" s="62"/>
    </row>
    <row r="584" spans="41:41" x14ac:dyDescent="0.3">
      <c r="AO584" s="62"/>
    </row>
    <row r="585" spans="41:41" x14ac:dyDescent="0.3">
      <c r="AO585" s="62"/>
    </row>
    <row r="586" spans="41:41" x14ac:dyDescent="0.3">
      <c r="AO586" s="62"/>
    </row>
    <row r="587" spans="41:41" x14ac:dyDescent="0.3">
      <c r="AO587" s="62"/>
    </row>
    <row r="588" spans="41:41" x14ac:dyDescent="0.3">
      <c r="AO588" s="62"/>
    </row>
    <row r="589" spans="41:41" x14ac:dyDescent="0.3">
      <c r="AO589" s="62"/>
    </row>
    <row r="590" spans="41:41" x14ac:dyDescent="0.3">
      <c r="AO590" s="62"/>
    </row>
    <row r="591" spans="41:41" x14ac:dyDescent="0.3">
      <c r="AO591" s="62"/>
    </row>
    <row r="592" spans="41:41" x14ac:dyDescent="0.3">
      <c r="AO592" s="62"/>
    </row>
    <row r="593" spans="41:41" x14ac:dyDescent="0.3">
      <c r="AO593" s="62"/>
    </row>
    <row r="594" spans="41:41" x14ac:dyDescent="0.3">
      <c r="AO594" s="62"/>
    </row>
    <row r="595" spans="41:41" x14ac:dyDescent="0.3">
      <c r="AO595" s="62"/>
    </row>
    <row r="596" spans="41:41" x14ac:dyDescent="0.3">
      <c r="AO596" s="62"/>
    </row>
    <row r="597" spans="41:41" x14ac:dyDescent="0.3">
      <c r="AO597" s="62"/>
    </row>
    <row r="598" spans="41:41" x14ac:dyDescent="0.3">
      <c r="AO598" s="62"/>
    </row>
    <row r="599" spans="41:41" x14ac:dyDescent="0.3">
      <c r="AO599" s="62"/>
    </row>
    <row r="600" spans="41:41" x14ac:dyDescent="0.3">
      <c r="AO600" s="62"/>
    </row>
    <row r="601" spans="41:41" x14ac:dyDescent="0.3">
      <c r="AO601" s="62"/>
    </row>
    <row r="602" spans="41:41" x14ac:dyDescent="0.3">
      <c r="AO602" s="62"/>
    </row>
    <row r="603" spans="41:41" x14ac:dyDescent="0.3">
      <c r="AO603" s="62"/>
    </row>
    <row r="604" spans="41:41" x14ac:dyDescent="0.3">
      <c r="AO604" s="62"/>
    </row>
    <row r="605" spans="41:41" x14ac:dyDescent="0.3">
      <c r="AO605" s="62"/>
    </row>
    <row r="606" spans="41:41" x14ac:dyDescent="0.3">
      <c r="AO606" s="62"/>
    </row>
    <row r="607" spans="41:41" x14ac:dyDescent="0.3">
      <c r="AO607" s="62"/>
    </row>
    <row r="608" spans="41:41" x14ac:dyDescent="0.3">
      <c r="AO608" s="62"/>
    </row>
    <row r="609" spans="41:41" x14ac:dyDescent="0.3">
      <c r="AO609" s="62"/>
    </row>
    <row r="610" spans="41:41" x14ac:dyDescent="0.3">
      <c r="AO610" s="62"/>
    </row>
    <row r="611" spans="41:41" x14ac:dyDescent="0.3">
      <c r="AO611" s="62"/>
    </row>
    <row r="612" spans="41:41" x14ac:dyDescent="0.3">
      <c r="AO612" s="62"/>
    </row>
    <row r="613" spans="41:41" x14ac:dyDescent="0.3">
      <c r="AO613" s="62"/>
    </row>
    <row r="614" spans="41:41" x14ac:dyDescent="0.3">
      <c r="AO614" s="62"/>
    </row>
    <row r="615" spans="41:41" x14ac:dyDescent="0.3">
      <c r="AO615" s="62"/>
    </row>
    <row r="616" spans="41:41" x14ac:dyDescent="0.3">
      <c r="AO616" s="62"/>
    </row>
    <row r="617" spans="41:41" x14ac:dyDescent="0.3">
      <c r="AO617" s="62"/>
    </row>
    <row r="618" spans="41:41" x14ac:dyDescent="0.3">
      <c r="AO618" s="62"/>
    </row>
    <row r="619" spans="41:41" x14ac:dyDescent="0.3">
      <c r="AO619" s="62"/>
    </row>
    <row r="620" spans="41:41" x14ac:dyDescent="0.3">
      <c r="AO620" s="62"/>
    </row>
    <row r="621" spans="41:41" x14ac:dyDescent="0.3">
      <c r="AO621" s="62"/>
    </row>
    <row r="622" spans="41:41" x14ac:dyDescent="0.3">
      <c r="AO622" s="62"/>
    </row>
    <row r="623" spans="41:41" x14ac:dyDescent="0.3">
      <c r="AO623" s="62"/>
    </row>
    <row r="624" spans="41:41" x14ac:dyDescent="0.3">
      <c r="AO624" s="62"/>
    </row>
    <row r="625" spans="41:41" x14ac:dyDescent="0.3">
      <c r="AO625" s="62"/>
    </row>
    <row r="626" spans="41:41" x14ac:dyDescent="0.3">
      <c r="AO626" s="62"/>
    </row>
    <row r="627" spans="41:41" x14ac:dyDescent="0.3">
      <c r="AO627" s="62"/>
    </row>
    <row r="628" spans="41:41" x14ac:dyDescent="0.3">
      <c r="AO628" s="62"/>
    </row>
    <row r="629" spans="41:41" x14ac:dyDescent="0.3">
      <c r="AO629" s="62"/>
    </row>
    <row r="630" spans="41:41" x14ac:dyDescent="0.3">
      <c r="AO630" s="62"/>
    </row>
    <row r="631" spans="41:41" x14ac:dyDescent="0.3">
      <c r="AO631" s="62"/>
    </row>
    <row r="632" spans="41:41" x14ac:dyDescent="0.3">
      <c r="AO632" s="62"/>
    </row>
    <row r="633" spans="41:41" x14ac:dyDescent="0.3">
      <c r="AO633" s="62"/>
    </row>
    <row r="634" spans="41:41" x14ac:dyDescent="0.3">
      <c r="AO634" s="62"/>
    </row>
    <row r="635" spans="41:41" x14ac:dyDescent="0.3">
      <c r="AO635" s="62"/>
    </row>
    <row r="636" spans="41:41" x14ac:dyDescent="0.3">
      <c r="AO636" s="62"/>
    </row>
    <row r="637" spans="41:41" x14ac:dyDescent="0.3">
      <c r="AO637" s="62"/>
    </row>
    <row r="638" spans="41:41" x14ac:dyDescent="0.3">
      <c r="AO638" s="62"/>
    </row>
    <row r="639" spans="41:41" x14ac:dyDescent="0.3">
      <c r="AO639" s="62"/>
    </row>
    <row r="640" spans="41:41" x14ac:dyDescent="0.3">
      <c r="AO640" s="62"/>
    </row>
    <row r="641" spans="41:41" x14ac:dyDescent="0.3">
      <c r="AO641" s="62"/>
    </row>
    <row r="642" spans="41:41" x14ac:dyDescent="0.3">
      <c r="AO642" s="62"/>
    </row>
    <row r="643" spans="41:41" x14ac:dyDescent="0.3">
      <c r="AO643" s="62"/>
    </row>
    <row r="644" spans="41:41" x14ac:dyDescent="0.3">
      <c r="AO644" s="62"/>
    </row>
    <row r="645" spans="41:41" x14ac:dyDescent="0.3">
      <c r="AO645" s="62"/>
    </row>
    <row r="646" spans="41:41" x14ac:dyDescent="0.3">
      <c r="AO646" s="62"/>
    </row>
    <row r="647" spans="41:41" x14ac:dyDescent="0.3">
      <c r="AO647" s="62"/>
    </row>
    <row r="648" spans="41:41" x14ac:dyDescent="0.3">
      <c r="AO648" s="62"/>
    </row>
    <row r="649" spans="41:41" x14ac:dyDescent="0.3">
      <c r="AO649" s="62"/>
    </row>
    <row r="650" spans="41:41" x14ac:dyDescent="0.3">
      <c r="AO650" s="62"/>
    </row>
    <row r="651" spans="41:41" x14ac:dyDescent="0.3">
      <c r="AO651" s="62"/>
    </row>
    <row r="652" spans="41:41" x14ac:dyDescent="0.3">
      <c r="AO652" s="62"/>
    </row>
    <row r="653" spans="41:41" x14ac:dyDescent="0.3">
      <c r="AO653" s="62"/>
    </row>
    <row r="654" spans="41:41" x14ac:dyDescent="0.3">
      <c r="AO654" s="62"/>
    </row>
    <row r="655" spans="41:41" x14ac:dyDescent="0.3">
      <c r="AO655" s="62"/>
    </row>
    <row r="656" spans="41:41" x14ac:dyDescent="0.3">
      <c r="AO656" s="62"/>
    </row>
    <row r="657" spans="41:41" x14ac:dyDescent="0.3">
      <c r="AO657" s="62"/>
    </row>
    <row r="658" spans="41:41" x14ac:dyDescent="0.3">
      <c r="AO658" s="62"/>
    </row>
    <row r="659" spans="41:41" x14ac:dyDescent="0.3">
      <c r="AO659" s="62"/>
    </row>
    <row r="660" spans="41:41" x14ac:dyDescent="0.3">
      <c r="AO660" s="62"/>
    </row>
    <row r="661" spans="41:41" x14ac:dyDescent="0.3">
      <c r="AO661" s="62"/>
    </row>
    <row r="662" spans="41:41" x14ac:dyDescent="0.3">
      <c r="AO662" s="62"/>
    </row>
    <row r="663" spans="41:41" x14ac:dyDescent="0.3">
      <c r="AO663" s="62"/>
    </row>
    <row r="664" spans="41:41" x14ac:dyDescent="0.3">
      <c r="AO664" s="62"/>
    </row>
    <row r="665" spans="41:41" x14ac:dyDescent="0.3">
      <c r="AO665" s="62"/>
    </row>
    <row r="666" spans="41:41" x14ac:dyDescent="0.3">
      <c r="AO666" s="62"/>
    </row>
    <row r="667" spans="41:41" x14ac:dyDescent="0.3">
      <c r="AO667" s="62"/>
    </row>
    <row r="668" spans="41:41" x14ac:dyDescent="0.3">
      <c r="AO668" s="62"/>
    </row>
    <row r="669" spans="41:41" x14ac:dyDescent="0.3">
      <c r="AO669" s="62"/>
    </row>
    <row r="670" spans="41:41" x14ac:dyDescent="0.3">
      <c r="AO670" s="62"/>
    </row>
    <row r="671" spans="41:41" x14ac:dyDescent="0.3">
      <c r="AO671" s="62"/>
    </row>
    <row r="672" spans="41:41" x14ac:dyDescent="0.3">
      <c r="AO672" s="62"/>
    </row>
    <row r="673" spans="41:41" x14ac:dyDescent="0.3">
      <c r="AO673" s="62"/>
    </row>
    <row r="674" spans="41:41" x14ac:dyDescent="0.3">
      <c r="AO674" s="62"/>
    </row>
    <row r="675" spans="41:41" x14ac:dyDescent="0.3">
      <c r="AO675" s="62"/>
    </row>
    <row r="676" spans="41:41" x14ac:dyDescent="0.3">
      <c r="AO676" s="62"/>
    </row>
    <row r="677" spans="41:41" x14ac:dyDescent="0.3">
      <c r="AO677" s="62"/>
    </row>
    <row r="678" spans="41:41" x14ac:dyDescent="0.3">
      <c r="AO678" s="62"/>
    </row>
    <row r="679" spans="41:41" x14ac:dyDescent="0.3">
      <c r="AO679" s="62"/>
    </row>
    <row r="680" spans="41:41" x14ac:dyDescent="0.3">
      <c r="AO680" s="62"/>
    </row>
    <row r="681" spans="41:41" x14ac:dyDescent="0.3">
      <c r="AO681" s="62"/>
    </row>
    <row r="682" spans="41:41" x14ac:dyDescent="0.3">
      <c r="AO682" s="62"/>
    </row>
    <row r="683" spans="41:41" x14ac:dyDescent="0.3">
      <c r="AO683" s="62"/>
    </row>
    <row r="684" spans="41:41" x14ac:dyDescent="0.3">
      <c r="AO684" s="62"/>
    </row>
    <row r="685" spans="41:41" x14ac:dyDescent="0.3">
      <c r="AO685" s="62"/>
    </row>
    <row r="686" spans="41:41" x14ac:dyDescent="0.3">
      <c r="AO686" s="62"/>
    </row>
    <row r="687" spans="41:41" x14ac:dyDescent="0.3">
      <c r="AO687" s="62"/>
    </row>
    <row r="688" spans="41:41" x14ac:dyDescent="0.3">
      <c r="AO688" s="62"/>
    </row>
    <row r="689" spans="41:41" x14ac:dyDescent="0.3">
      <c r="AO689" s="62"/>
    </row>
    <row r="690" spans="41:41" x14ac:dyDescent="0.3">
      <c r="AO690" s="62"/>
    </row>
    <row r="691" spans="41:41" x14ac:dyDescent="0.3">
      <c r="AO691" s="62"/>
    </row>
    <row r="692" spans="41:41" x14ac:dyDescent="0.3">
      <c r="AO692" s="62"/>
    </row>
    <row r="693" spans="41:41" x14ac:dyDescent="0.3">
      <c r="AO693" s="62"/>
    </row>
    <row r="694" spans="41:41" x14ac:dyDescent="0.3">
      <c r="AO694" s="62"/>
    </row>
    <row r="695" spans="41:41" x14ac:dyDescent="0.3">
      <c r="AO695" s="62"/>
    </row>
    <row r="696" spans="41:41" x14ac:dyDescent="0.3">
      <c r="AO696" s="62"/>
    </row>
    <row r="697" spans="41:41" x14ac:dyDescent="0.3">
      <c r="AO697" s="62"/>
    </row>
    <row r="698" spans="41:41" x14ac:dyDescent="0.3">
      <c r="AO698" s="62"/>
    </row>
    <row r="699" spans="41:41" x14ac:dyDescent="0.3">
      <c r="AO699" s="62"/>
    </row>
    <row r="700" spans="41:41" x14ac:dyDescent="0.3">
      <c r="AO700" s="62"/>
    </row>
    <row r="701" spans="41:41" x14ac:dyDescent="0.3">
      <c r="AO701" s="62"/>
    </row>
    <row r="702" spans="41:41" x14ac:dyDescent="0.3">
      <c r="AO702" s="62"/>
    </row>
    <row r="703" spans="41:41" x14ac:dyDescent="0.3">
      <c r="AO703" s="62"/>
    </row>
    <row r="704" spans="41:41" x14ac:dyDescent="0.3">
      <c r="AO704" s="62"/>
    </row>
    <row r="705" spans="41:41" x14ac:dyDescent="0.3">
      <c r="AO705" s="62"/>
    </row>
    <row r="706" spans="41:41" x14ac:dyDescent="0.3">
      <c r="AO706" s="62"/>
    </row>
    <row r="707" spans="41:41" x14ac:dyDescent="0.3">
      <c r="AO707" s="62"/>
    </row>
    <row r="708" spans="41:41" x14ac:dyDescent="0.3">
      <c r="AO708" s="62"/>
    </row>
    <row r="709" spans="41:41" x14ac:dyDescent="0.3">
      <c r="AO709" s="62"/>
    </row>
    <row r="710" spans="41:41" x14ac:dyDescent="0.3">
      <c r="AO710" s="62"/>
    </row>
    <row r="711" spans="41:41" x14ac:dyDescent="0.3">
      <c r="AO711" s="62"/>
    </row>
    <row r="712" spans="41:41" x14ac:dyDescent="0.3">
      <c r="AO712" s="62"/>
    </row>
    <row r="713" spans="41:41" x14ac:dyDescent="0.3">
      <c r="AO713" s="62"/>
    </row>
    <row r="714" spans="41:41" x14ac:dyDescent="0.3">
      <c r="AO714" s="62"/>
    </row>
    <row r="715" spans="41:41" x14ac:dyDescent="0.3">
      <c r="AO715" s="62"/>
    </row>
    <row r="716" spans="41:41" x14ac:dyDescent="0.3">
      <c r="AO716" s="62"/>
    </row>
    <row r="717" spans="41:41" x14ac:dyDescent="0.3">
      <c r="AO717" s="62"/>
    </row>
    <row r="718" spans="41:41" x14ac:dyDescent="0.3">
      <c r="AO718" s="62"/>
    </row>
    <row r="719" spans="41:41" x14ac:dyDescent="0.3">
      <c r="AO719" s="62"/>
    </row>
    <row r="720" spans="41:41" x14ac:dyDescent="0.3">
      <c r="AO720" s="62"/>
    </row>
    <row r="721" spans="41:41" x14ac:dyDescent="0.3">
      <c r="AO721" s="62"/>
    </row>
    <row r="722" spans="41:41" x14ac:dyDescent="0.3">
      <c r="AO722" s="62"/>
    </row>
    <row r="723" spans="41:41" x14ac:dyDescent="0.3">
      <c r="AO723" s="62"/>
    </row>
    <row r="724" spans="41:41" x14ac:dyDescent="0.3">
      <c r="AO724" s="62"/>
    </row>
    <row r="725" spans="41:41" x14ac:dyDescent="0.3">
      <c r="AO725" s="62"/>
    </row>
    <row r="726" spans="41:41" x14ac:dyDescent="0.3">
      <c r="AO726" s="62"/>
    </row>
    <row r="727" spans="41:41" x14ac:dyDescent="0.3">
      <c r="AO727" s="62"/>
    </row>
    <row r="728" spans="41:41" x14ac:dyDescent="0.3">
      <c r="AO728" s="62"/>
    </row>
    <row r="729" spans="41:41" x14ac:dyDescent="0.3">
      <c r="AO729" s="62"/>
    </row>
    <row r="730" spans="41:41" x14ac:dyDescent="0.3">
      <c r="AO730" s="62"/>
    </row>
    <row r="731" spans="41:41" x14ac:dyDescent="0.3">
      <c r="AO731" s="62"/>
    </row>
    <row r="732" spans="41:41" x14ac:dyDescent="0.3">
      <c r="AO732" s="62"/>
    </row>
    <row r="733" spans="41:41" x14ac:dyDescent="0.3">
      <c r="AO733" s="62"/>
    </row>
    <row r="734" spans="41:41" x14ac:dyDescent="0.3">
      <c r="AO734" s="62"/>
    </row>
    <row r="735" spans="41:41" x14ac:dyDescent="0.3">
      <c r="AO735" s="62"/>
    </row>
    <row r="736" spans="41:41" x14ac:dyDescent="0.3">
      <c r="AO736" s="62"/>
    </row>
    <row r="737" spans="41:41" x14ac:dyDescent="0.3">
      <c r="AO737" s="62"/>
    </row>
    <row r="738" spans="41:41" x14ac:dyDescent="0.3">
      <c r="AO738" s="62"/>
    </row>
    <row r="739" spans="41:41" x14ac:dyDescent="0.3">
      <c r="AO739" s="62"/>
    </row>
    <row r="740" spans="41:41" x14ac:dyDescent="0.3">
      <c r="AO740" s="62"/>
    </row>
    <row r="741" spans="41:41" x14ac:dyDescent="0.3">
      <c r="AO741" s="62"/>
    </row>
    <row r="742" spans="41:41" x14ac:dyDescent="0.3">
      <c r="AO742" s="62"/>
    </row>
    <row r="743" spans="41:41" x14ac:dyDescent="0.3">
      <c r="AO743" s="62"/>
    </row>
    <row r="744" spans="41:41" x14ac:dyDescent="0.3">
      <c r="AO744" s="62"/>
    </row>
    <row r="745" spans="41:41" x14ac:dyDescent="0.3">
      <c r="AO745" s="62"/>
    </row>
    <row r="746" spans="41:41" x14ac:dyDescent="0.3">
      <c r="AO746" s="62"/>
    </row>
    <row r="747" spans="41:41" x14ac:dyDescent="0.3">
      <c r="AO747" s="62"/>
    </row>
    <row r="748" spans="41:41" x14ac:dyDescent="0.3">
      <c r="AO748" s="62"/>
    </row>
    <row r="749" spans="41:41" x14ac:dyDescent="0.3">
      <c r="AO749" s="62"/>
    </row>
    <row r="750" spans="41:41" x14ac:dyDescent="0.3">
      <c r="AO750" s="62"/>
    </row>
    <row r="751" spans="41:41" x14ac:dyDescent="0.3">
      <c r="AO751" s="62"/>
    </row>
    <row r="752" spans="41:41" x14ac:dyDescent="0.3">
      <c r="AO752" s="62"/>
    </row>
    <row r="753" spans="41:41" x14ac:dyDescent="0.3">
      <c r="AO753" s="62"/>
    </row>
    <row r="754" spans="41:41" x14ac:dyDescent="0.3">
      <c r="AO754" s="62"/>
    </row>
    <row r="755" spans="41:41" x14ac:dyDescent="0.3">
      <c r="AO755" s="62"/>
    </row>
    <row r="756" spans="41:41" x14ac:dyDescent="0.3">
      <c r="AO756" s="62"/>
    </row>
    <row r="757" spans="41:41" x14ac:dyDescent="0.3">
      <c r="AO757" s="62"/>
    </row>
    <row r="758" spans="41:41" x14ac:dyDescent="0.3">
      <c r="AO758" s="62"/>
    </row>
    <row r="759" spans="41:41" x14ac:dyDescent="0.3">
      <c r="AO759" s="62"/>
    </row>
    <row r="760" spans="41:41" x14ac:dyDescent="0.3">
      <c r="AO760" s="62"/>
    </row>
    <row r="761" spans="41:41" x14ac:dyDescent="0.3">
      <c r="AO761" s="62"/>
    </row>
    <row r="762" spans="41:41" x14ac:dyDescent="0.3">
      <c r="AO762" s="62"/>
    </row>
    <row r="763" spans="41:41" x14ac:dyDescent="0.3">
      <c r="AO763" s="62"/>
    </row>
    <row r="764" spans="41:41" x14ac:dyDescent="0.3">
      <c r="AO764" s="62"/>
    </row>
    <row r="765" spans="41:41" x14ac:dyDescent="0.3">
      <c r="AO765" s="62"/>
    </row>
    <row r="766" spans="41:41" x14ac:dyDescent="0.3">
      <c r="AO766" s="62"/>
    </row>
    <row r="767" spans="41:41" x14ac:dyDescent="0.3">
      <c r="AO767" s="62"/>
    </row>
    <row r="768" spans="41:41" x14ac:dyDescent="0.3">
      <c r="AO768" s="62"/>
    </row>
    <row r="769" spans="41:41" x14ac:dyDescent="0.3">
      <c r="AO769" s="62"/>
    </row>
    <row r="770" spans="41:41" x14ac:dyDescent="0.3">
      <c r="AO770" s="62"/>
    </row>
    <row r="771" spans="41:41" x14ac:dyDescent="0.3">
      <c r="AO771" s="62"/>
    </row>
    <row r="772" spans="41:41" x14ac:dyDescent="0.3">
      <c r="AO772" s="62"/>
    </row>
    <row r="773" spans="41:41" x14ac:dyDescent="0.3">
      <c r="AO773" s="62"/>
    </row>
    <row r="774" spans="41:41" x14ac:dyDescent="0.3">
      <c r="AO774" s="62"/>
    </row>
    <row r="775" spans="41:41" x14ac:dyDescent="0.3">
      <c r="AO775" s="62"/>
    </row>
    <row r="776" spans="41:41" x14ac:dyDescent="0.3">
      <c r="AO776" s="62"/>
    </row>
    <row r="777" spans="41:41" x14ac:dyDescent="0.3">
      <c r="AO777" s="62"/>
    </row>
    <row r="778" spans="41:41" x14ac:dyDescent="0.3">
      <c r="AO778" s="62"/>
    </row>
    <row r="779" spans="41:41" x14ac:dyDescent="0.3">
      <c r="AO779" s="62"/>
    </row>
    <row r="780" spans="41:41" x14ac:dyDescent="0.3">
      <c r="AO780" s="62"/>
    </row>
    <row r="781" spans="41:41" x14ac:dyDescent="0.3">
      <c r="AO781" s="62"/>
    </row>
    <row r="782" spans="41:41" x14ac:dyDescent="0.3">
      <c r="AO782" s="62"/>
    </row>
    <row r="783" spans="41:41" x14ac:dyDescent="0.3">
      <c r="AO783" s="62"/>
    </row>
    <row r="784" spans="41:41" x14ac:dyDescent="0.3">
      <c r="AO784" s="62"/>
    </row>
    <row r="785" spans="41:41" x14ac:dyDescent="0.3">
      <c r="AO785" s="62"/>
    </row>
    <row r="786" spans="41:41" x14ac:dyDescent="0.3">
      <c r="AO786" s="62"/>
    </row>
    <row r="787" spans="41:41" x14ac:dyDescent="0.3">
      <c r="AO787" s="62"/>
    </row>
    <row r="788" spans="41:41" x14ac:dyDescent="0.3">
      <c r="AO788" s="62"/>
    </row>
    <row r="789" spans="41:41" x14ac:dyDescent="0.3">
      <c r="AO789" s="62"/>
    </row>
    <row r="790" spans="41:41" x14ac:dyDescent="0.3">
      <c r="AO790" s="62"/>
    </row>
    <row r="791" spans="41:41" x14ac:dyDescent="0.3">
      <c r="AO791" s="62"/>
    </row>
    <row r="792" spans="41:41" x14ac:dyDescent="0.3">
      <c r="AO792" s="62"/>
    </row>
    <row r="793" spans="41:41" x14ac:dyDescent="0.3">
      <c r="AO793" s="62"/>
    </row>
    <row r="794" spans="41:41" x14ac:dyDescent="0.3">
      <c r="AO794" s="62"/>
    </row>
    <row r="795" spans="41:41" x14ac:dyDescent="0.3">
      <c r="AO795" s="62"/>
    </row>
    <row r="796" spans="41:41" x14ac:dyDescent="0.3">
      <c r="AO796" s="62"/>
    </row>
    <row r="797" spans="41:41" x14ac:dyDescent="0.3">
      <c r="AO797" s="62"/>
    </row>
    <row r="798" spans="41:41" x14ac:dyDescent="0.3">
      <c r="AO798" s="62"/>
    </row>
    <row r="799" spans="41:41" x14ac:dyDescent="0.3">
      <c r="AO799" s="62"/>
    </row>
    <row r="800" spans="41:41" x14ac:dyDescent="0.3">
      <c r="AO800" s="62"/>
    </row>
    <row r="801" spans="41:41" x14ac:dyDescent="0.3">
      <c r="AO801" s="62"/>
    </row>
    <row r="802" spans="41:41" x14ac:dyDescent="0.3">
      <c r="AO802" s="62"/>
    </row>
    <row r="803" spans="41:41" x14ac:dyDescent="0.3">
      <c r="AO803" s="62"/>
    </row>
    <row r="804" spans="41:41" x14ac:dyDescent="0.3">
      <c r="AO804" s="62"/>
    </row>
    <row r="805" spans="41:41" x14ac:dyDescent="0.3">
      <c r="AO805" s="62"/>
    </row>
    <row r="806" spans="41:41" x14ac:dyDescent="0.3">
      <c r="AO806" s="62"/>
    </row>
    <row r="807" spans="41:41" x14ac:dyDescent="0.3">
      <c r="AO807" s="62"/>
    </row>
    <row r="808" spans="41:41" x14ac:dyDescent="0.3">
      <c r="AO808" s="62"/>
    </row>
    <row r="809" spans="41:41" x14ac:dyDescent="0.3">
      <c r="AO809" s="62"/>
    </row>
    <row r="810" spans="41:41" x14ac:dyDescent="0.3">
      <c r="AO810" s="62"/>
    </row>
    <row r="811" spans="41:41" x14ac:dyDescent="0.3">
      <c r="AO811" s="62"/>
    </row>
    <row r="812" spans="41:41" x14ac:dyDescent="0.3">
      <c r="AO812" s="62"/>
    </row>
    <row r="813" spans="41:41" x14ac:dyDescent="0.3">
      <c r="AO813" s="62"/>
    </row>
    <row r="814" spans="41:41" x14ac:dyDescent="0.3">
      <c r="AO814" s="62"/>
    </row>
    <row r="815" spans="41:41" x14ac:dyDescent="0.3">
      <c r="AO815" s="62"/>
    </row>
    <row r="816" spans="41:41" x14ac:dyDescent="0.3">
      <c r="AO816" s="62"/>
    </row>
    <row r="817" spans="41:41" x14ac:dyDescent="0.3">
      <c r="AO817" s="62"/>
    </row>
    <row r="818" spans="41:41" x14ac:dyDescent="0.3">
      <c r="AO818" s="62"/>
    </row>
    <row r="819" spans="41:41" x14ac:dyDescent="0.3">
      <c r="AO819" s="62"/>
    </row>
    <row r="820" spans="41:41" x14ac:dyDescent="0.3">
      <c r="AO820" s="62"/>
    </row>
    <row r="821" spans="41:41" x14ac:dyDescent="0.3">
      <c r="AO821" s="62"/>
    </row>
    <row r="822" spans="41:41" x14ac:dyDescent="0.3">
      <c r="AO822" s="62"/>
    </row>
    <row r="823" spans="41:41" x14ac:dyDescent="0.3">
      <c r="AO823" s="62"/>
    </row>
    <row r="824" spans="41:41" x14ac:dyDescent="0.3">
      <c r="AO824" s="62"/>
    </row>
    <row r="825" spans="41:41" x14ac:dyDescent="0.3">
      <c r="AO825" s="62"/>
    </row>
    <row r="826" spans="41:41" x14ac:dyDescent="0.3">
      <c r="AO826" s="62"/>
    </row>
    <row r="827" spans="41:41" x14ac:dyDescent="0.3">
      <c r="AO827" s="62"/>
    </row>
    <row r="828" spans="41:41" x14ac:dyDescent="0.3">
      <c r="AO828" s="62"/>
    </row>
    <row r="829" spans="41:41" x14ac:dyDescent="0.3">
      <c r="AO829" s="62"/>
    </row>
    <row r="830" spans="41:41" x14ac:dyDescent="0.3">
      <c r="AO830" s="62"/>
    </row>
    <row r="831" spans="41:41" x14ac:dyDescent="0.3">
      <c r="AO831" s="62"/>
    </row>
    <row r="832" spans="41:41" x14ac:dyDescent="0.3">
      <c r="AO832" s="62"/>
    </row>
    <row r="833" spans="41:41" x14ac:dyDescent="0.3">
      <c r="AO833" s="62"/>
    </row>
    <row r="834" spans="41:41" x14ac:dyDescent="0.3">
      <c r="AO834" s="62"/>
    </row>
    <row r="835" spans="41:41" x14ac:dyDescent="0.3">
      <c r="AO835" s="62"/>
    </row>
    <row r="836" spans="41:41" x14ac:dyDescent="0.3">
      <c r="AO836" s="62"/>
    </row>
    <row r="837" spans="41:41" x14ac:dyDescent="0.3">
      <c r="AO837" s="62"/>
    </row>
    <row r="838" spans="41:41" x14ac:dyDescent="0.3">
      <c r="AO838" s="62"/>
    </row>
    <row r="839" spans="41:41" x14ac:dyDescent="0.3">
      <c r="AO839" s="62"/>
    </row>
    <row r="840" spans="41:41" x14ac:dyDescent="0.3">
      <c r="AO840" s="62"/>
    </row>
    <row r="841" spans="41:41" x14ac:dyDescent="0.3">
      <c r="AO841" s="62"/>
    </row>
    <row r="842" spans="41:41" x14ac:dyDescent="0.3">
      <c r="AO842" s="62"/>
    </row>
    <row r="843" spans="41:41" x14ac:dyDescent="0.3">
      <c r="AO843" s="62"/>
    </row>
    <row r="844" spans="41:41" x14ac:dyDescent="0.3">
      <c r="AO844" s="62"/>
    </row>
    <row r="845" spans="41:41" x14ac:dyDescent="0.3">
      <c r="AO845" s="62"/>
    </row>
    <row r="846" spans="41:41" x14ac:dyDescent="0.3">
      <c r="AO846" s="62"/>
    </row>
    <row r="847" spans="41:41" x14ac:dyDescent="0.3">
      <c r="AO847" s="62"/>
    </row>
    <row r="848" spans="41:41" x14ac:dyDescent="0.3">
      <c r="AO848" s="62"/>
    </row>
    <row r="849" spans="41:41" x14ac:dyDescent="0.3">
      <c r="AO849" s="62"/>
    </row>
    <row r="850" spans="41:41" x14ac:dyDescent="0.3">
      <c r="AO850" s="62"/>
    </row>
    <row r="851" spans="41:41" x14ac:dyDescent="0.3">
      <c r="AO851" s="62"/>
    </row>
    <row r="852" spans="41:41" x14ac:dyDescent="0.3">
      <c r="AO852" s="62"/>
    </row>
    <row r="853" spans="41:41" x14ac:dyDescent="0.3">
      <c r="AO853" s="62"/>
    </row>
    <row r="854" spans="41:41" x14ac:dyDescent="0.3">
      <c r="AO854" s="62"/>
    </row>
    <row r="855" spans="41:41" x14ac:dyDescent="0.3">
      <c r="AO855" s="62"/>
    </row>
    <row r="856" spans="41:41" x14ac:dyDescent="0.3">
      <c r="AO856" s="62"/>
    </row>
    <row r="857" spans="41:41" x14ac:dyDescent="0.3">
      <c r="AO857" s="62"/>
    </row>
    <row r="858" spans="41:41" x14ac:dyDescent="0.3">
      <c r="AO858" s="62"/>
    </row>
    <row r="859" spans="41:41" x14ac:dyDescent="0.3">
      <c r="AO859" s="62"/>
    </row>
    <row r="860" spans="41:41" x14ac:dyDescent="0.3">
      <c r="AO860" s="62"/>
    </row>
    <row r="861" spans="41:41" x14ac:dyDescent="0.3">
      <c r="AO861" s="62"/>
    </row>
    <row r="862" spans="41:41" x14ac:dyDescent="0.3">
      <c r="AO862" s="62"/>
    </row>
    <row r="863" spans="41:41" x14ac:dyDescent="0.3">
      <c r="AO863" s="62"/>
    </row>
    <row r="864" spans="41:41" x14ac:dyDescent="0.3">
      <c r="AO864" s="62"/>
    </row>
    <row r="865" spans="41:41" x14ac:dyDescent="0.3">
      <c r="AO865" s="62"/>
    </row>
    <row r="866" spans="41:41" x14ac:dyDescent="0.3">
      <c r="AO866" s="62"/>
    </row>
    <row r="867" spans="41:41" x14ac:dyDescent="0.3">
      <c r="AO867" s="62"/>
    </row>
    <row r="868" spans="41:41" x14ac:dyDescent="0.3">
      <c r="AO868" s="62"/>
    </row>
    <row r="869" spans="41:41" x14ac:dyDescent="0.3">
      <c r="AO869" s="62"/>
    </row>
    <row r="870" spans="41:41" x14ac:dyDescent="0.3">
      <c r="AO870" s="62"/>
    </row>
    <row r="871" spans="41:41" x14ac:dyDescent="0.3">
      <c r="AO871" s="62"/>
    </row>
    <row r="872" spans="41:41" x14ac:dyDescent="0.3">
      <c r="AO872" s="62"/>
    </row>
    <row r="873" spans="41:41" x14ac:dyDescent="0.3">
      <c r="AO873" s="62"/>
    </row>
    <row r="874" spans="41:41" x14ac:dyDescent="0.3">
      <c r="AO874" s="62"/>
    </row>
    <row r="875" spans="41:41" x14ac:dyDescent="0.3">
      <c r="AO875" s="62"/>
    </row>
    <row r="876" spans="41:41" x14ac:dyDescent="0.3">
      <c r="AO876" s="62"/>
    </row>
    <row r="877" spans="41:41" x14ac:dyDescent="0.3">
      <c r="AO877" s="62"/>
    </row>
    <row r="878" spans="41:41" x14ac:dyDescent="0.3">
      <c r="AO878" s="62"/>
    </row>
    <row r="879" spans="41:41" x14ac:dyDescent="0.3">
      <c r="AO879" s="62"/>
    </row>
    <row r="880" spans="41:41" x14ac:dyDescent="0.3">
      <c r="AO880" s="62"/>
    </row>
    <row r="881" spans="41:41" x14ac:dyDescent="0.3">
      <c r="AO881" s="62"/>
    </row>
    <row r="882" spans="41:41" x14ac:dyDescent="0.3">
      <c r="AO882" s="62"/>
    </row>
    <row r="883" spans="41:41" x14ac:dyDescent="0.3">
      <c r="AO883" s="62"/>
    </row>
    <row r="884" spans="41:41" x14ac:dyDescent="0.3">
      <c r="AO884" s="62"/>
    </row>
    <row r="885" spans="41:41" x14ac:dyDescent="0.3">
      <c r="AO885" s="62"/>
    </row>
    <row r="886" spans="41:41" x14ac:dyDescent="0.3">
      <c r="AO886" s="62"/>
    </row>
    <row r="887" spans="41:41" x14ac:dyDescent="0.3">
      <c r="AO887" s="62"/>
    </row>
    <row r="888" spans="41:41" x14ac:dyDescent="0.3">
      <c r="AO888" s="62"/>
    </row>
    <row r="889" spans="41:41" x14ac:dyDescent="0.3">
      <c r="AO889" s="62"/>
    </row>
    <row r="890" spans="41:41" x14ac:dyDescent="0.3">
      <c r="AO890" s="62"/>
    </row>
    <row r="891" spans="41:41" x14ac:dyDescent="0.3">
      <c r="AO891" s="62"/>
    </row>
    <row r="892" spans="41:41" x14ac:dyDescent="0.3">
      <c r="AO892" s="62"/>
    </row>
    <row r="893" spans="41:41" x14ac:dyDescent="0.3">
      <c r="AO893" s="62"/>
    </row>
    <row r="894" spans="41:41" x14ac:dyDescent="0.3">
      <c r="AO894" s="62"/>
    </row>
    <row r="895" spans="41:41" x14ac:dyDescent="0.3">
      <c r="AO895" s="62"/>
    </row>
    <row r="896" spans="41:41" x14ac:dyDescent="0.3">
      <c r="AO896" s="62"/>
    </row>
    <row r="897" spans="41:41" x14ac:dyDescent="0.3">
      <c r="AO897" s="62"/>
    </row>
    <row r="898" spans="41:41" x14ac:dyDescent="0.3">
      <c r="AO898" s="62"/>
    </row>
    <row r="899" spans="41:41" x14ac:dyDescent="0.3">
      <c r="AO899" s="62"/>
    </row>
    <row r="900" spans="41:41" x14ac:dyDescent="0.3">
      <c r="AO900" s="62"/>
    </row>
    <row r="901" spans="41:41" x14ac:dyDescent="0.3">
      <c r="AO901" s="62"/>
    </row>
    <row r="902" spans="41:41" x14ac:dyDescent="0.3">
      <c r="AO902" s="62"/>
    </row>
    <row r="903" spans="41:41" x14ac:dyDescent="0.3">
      <c r="AO903" s="62"/>
    </row>
    <row r="904" spans="41:41" x14ac:dyDescent="0.3">
      <c r="AO904" s="62"/>
    </row>
    <row r="905" spans="41:41" x14ac:dyDescent="0.3">
      <c r="AO905" s="62"/>
    </row>
    <row r="906" spans="41:41" x14ac:dyDescent="0.3">
      <c r="AO906" s="62"/>
    </row>
    <row r="907" spans="41:41" x14ac:dyDescent="0.3">
      <c r="AO907" s="62"/>
    </row>
    <row r="908" spans="41:41" x14ac:dyDescent="0.3">
      <c r="AO908" s="62"/>
    </row>
    <row r="909" spans="41:41" x14ac:dyDescent="0.3">
      <c r="AO909" s="62"/>
    </row>
    <row r="910" spans="41:41" x14ac:dyDescent="0.3">
      <c r="AO910" s="62"/>
    </row>
    <row r="911" spans="41:41" x14ac:dyDescent="0.3">
      <c r="AO911" s="62"/>
    </row>
    <row r="912" spans="41:41" x14ac:dyDescent="0.3">
      <c r="AO912" s="62"/>
    </row>
    <row r="913" spans="41:41" x14ac:dyDescent="0.3">
      <c r="AO913" s="62"/>
    </row>
    <row r="914" spans="41:41" x14ac:dyDescent="0.3">
      <c r="AO914" s="62"/>
    </row>
    <row r="915" spans="41:41" x14ac:dyDescent="0.3">
      <c r="AO915" s="62"/>
    </row>
    <row r="916" spans="41:41" x14ac:dyDescent="0.3">
      <c r="AO916" s="62"/>
    </row>
    <row r="917" spans="41:41" x14ac:dyDescent="0.3">
      <c r="AO917" s="62"/>
    </row>
    <row r="918" spans="41:41" x14ac:dyDescent="0.3">
      <c r="AO918" s="62"/>
    </row>
    <row r="919" spans="41:41" x14ac:dyDescent="0.3">
      <c r="AO919" s="62"/>
    </row>
    <row r="920" spans="41:41" x14ac:dyDescent="0.3">
      <c r="AO920" s="62"/>
    </row>
    <row r="921" spans="41:41" x14ac:dyDescent="0.3">
      <c r="AO921" s="62"/>
    </row>
    <row r="922" spans="41:41" x14ac:dyDescent="0.3">
      <c r="AO922" s="62"/>
    </row>
    <row r="923" spans="41:41" x14ac:dyDescent="0.3">
      <c r="AO923" s="62"/>
    </row>
    <row r="924" spans="41:41" x14ac:dyDescent="0.3">
      <c r="AO924" s="62"/>
    </row>
    <row r="925" spans="41:41" x14ac:dyDescent="0.3">
      <c r="AO925" s="62"/>
    </row>
    <row r="926" spans="41:41" x14ac:dyDescent="0.3">
      <c r="AO926" s="62"/>
    </row>
    <row r="927" spans="41:41" x14ac:dyDescent="0.3">
      <c r="AO927" s="62"/>
    </row>
    <row r="928" spans="41:41" x14ac:dyDescent="0.3">
      <c r="AO928" s="62"/>
    </row>
    <row r="929" spans="41:41" x14ac:dyDescent="0.3">
      <c r="AO929" s="62"/>
    </row>
    <row r="930" spans="41:41" x14ac:dyDescent="0.3">
      <c r="AO930" s="62"/>
    </row>
    <row r="931" spans="41:41" x14ac:dyDescent="0.3">
      <c r="AO931" s="62"/>
    </row>
    <row r="932" spans="41:41" x14ac:dyDescent="0.3">
      <c r="AO932" s="62"/>
    </row>
    <row r="933" spans="41:41" x14ac:dyDescent="0.3">
      <c r="AO933" s="62"/>
    </row>
    <row r="934" spans="41:41" x14ac:dyDescent="0.3">
      <c r="AO934" s="62"/>
    </row>
    <row r="935" spans="41:41" x14ac:dyDescent="0.3">
      <c r="AO935" s="62"/>
    </row>
    <row r="936" spans="41:41" x14ac:dyDescent="0.3">
      <c r="AO936" s="62"/>
    </row>
    <row r="937" spans="41:41" x14ac:dyDescent="0.3">
      <c r="AO937" s="62"/>
    </row>
    <row r="938" spans="41:41" x14ac:dyDescent="0.3">
      <c r="AO938" s="62"/>
    </row>
    <row r="939" spans="41:41" x14ac:dyDescent="0.3">
      <c r="AO939" s="62"/>
    </row>
    <row r="940" spans="41:41" x14ac:dyDescent="0.3">
      <c r="AO940" s="62"/>
    </row>
    <row r="941" spans="41:41" x14ac:dyDescent="0.3">
      <c r="AO941" s="62"/>
    </row>
    <row r="942" spans="41:41" x14ac:dyDescent="0.3">
      <c r="AO942" s="62"/>
    </row>
    <row r="943" spans="41:41" x14ac:dyDescent="0.3">
      <c r="AO943" s="62"/>
    </row>
    <row r="944" spans="41:41" x14ac:dyDescent="0.3">
      <c r="AO944" s="62"/>
    </row>
    <row r="945" spans="41:41" x14ac:dyDescent="0.3">
      <c r="AO945" s="62"/>
    </row>
    <row r="946" spans="41:41" x14ac:dyDescent="0.3">
      <c r="AO946" s="62"/>
    </row>
    <row r="947" spans="41:41" x14ac:dyDescent="0.3">
      <c r="AO947" s="62"/>
    </row>
    <row r="948" spans="41:41" x14ac:dyDescent="0.3">
      <c r="AO948" s="62"/>
    </row>
    <row r="949" spans="41:41" x14ac:dyDescent="0.3">
      <c r="AO949" s="62"/>
    </row>
    <row r="950" spans="41:41" x14ac:dyDescent="0.3">
      <c r="AO950" s="62"/>
    </row>
    <row r="951" spans="41:41" x14ac:dyDescent="0.3">
      <c r="AO951" s="62"/>
    </row>
    <row r="952" spans="41:41" x14ac:dyDescent="0.3">
      <c r="AO952" s="62"/>
    </row>
    <row r="953" spans="41:41" x14ac:dyDescent="0.3">
      <c r="AO953" s="62"/>
    </row>
    <row r="954" spans="41:41" x14ac:dyDescent="0.3">
      <c r="AO954" s="62"/>
    </row>
    <row r="955" spans="41:41" x14ac:dyDescent="0.3">
      <c r="AO955" s="62"/>
    </row>
    <row r="956" spans="41:41" x14ac:dyDescent="0.3">
      <c r="AO956" s="62"/>
    </row>
    <row r="957" spans="41:41" x14ac:dyDescent="0.3">
      <c r="AO957" s="62"/>
    </row>
    <row r="958" spans="41:41" x14ac:dyDescent="0.3">
      <c r="AO958" s="62"/>
    </row>
    <row r="959" spans="41:41" x14ac:dyDescent="0.3">
      <c r="AO959" s="62"/>
    </row>
    <row r="960" spans="41:41" x14ac:dyDescent="0.3">
      <c r="AO960" s="62"/>
    </row>
    <row r="961" spans="41:41" x14ac:dyDescent="0.3">
      <c r="AO961" s="62"/>
    </row>
    <row r="962" spans="41:41" x14ac:dyDescent="0.3">
      <c r="AO962" s="62"/>
    </row>
    <row r="963" spans="41:41" x14ac:dyDescent="0.3">
      <c r="AO963" s="62"/>
    </row>
    <row r="964" spans="41:41" x14ac:dyDescent="0.3">
      <c r="AO964" s="62"/>
    </row>
    <row r="965" spans="41:41" x14ac:dyDescent="0.3">
      <c r="AO965" s="62"/>
    </row>
    <row r="966" spans="41:41" x14ac:dyDescent="0.3">
      <c r="AO966" s="62"/>
    </row>
    <row r="967" spans="41:41" x14ac:dyDescent="0.3">
      <c r="AO967" s="62"/>
    </row>
    <row r="968" spans="41:41" x14ac:dyDescent="0.3">
      <c r="AO968" s="62"/>
    </row>
    <row r="969" spans="41:41" x14ac:dyDescent="0.3">
      <c r="AO969" s="62"/>
    </row>
    <row r="970" spans="41:41" x14ac:dyDescent="0.3">
      <c r="AO970" s="62"/>
    </row>
    <row r="971" spans="41:41" x14ac:dyDescent="0.3">
      <c r="AO971" s="62"/>
    </row>
    <row r="972" spans="41:41" x14ac:dyDescent="0.3">
      <c r="AO972" s="62"/>
    </row>
    <row r="973" spans="41:41" x14ac:dyDescent="0.3">
      <c r="AO973" s="62"/>
    </row>
    <row r="974" spans="41:41" x14ac:dyDescent="0.3">
      <c r="AO974" s="62"/>
    </row>
    <row r="975" spans="41:41" x14ac:dyDescent="0.3">
      <c r="AO975" s="62"/>
    </row>
    <row r="976" spans="41:41" x14ac:dyDescent="0.3">
      <c r="AO976" s="62"/>
    </row>
    <row r="977" spans="41:41" x14ac:dyDescent="0.3">
      <c r="AO977" s="62"/>
    </row>
    <row r="978" spans="41:41" x14ac:dyDescent="0.3">
      <c r="AO978" s="62"/>
    </row>
    <row r="979" spans="41:41" x14ac:dyDescent="0.3">
      <c r="AO979" s="62"/>
    </row>
    <row r="980" spans="41:41" x14ac:dyDescent="0.3">
      <c r="AO980" s="62"/>
    </row>
    <row r="981" spans="41:41" x14ac:dyDescent="0.3">
      <c r="AO981" s="62"/>
    </row>
    <row r="982" spans="41:41" x14ac:dyDescent="0.3">
      <c r="AO982" s="62"/>
    </row>
    <row r="983" spans="41:41" x14ac:dyDescent="0.3">
      <c r="AO983" s="62"/>
    </row>
    <row r="984" spans="41:41" x14ac:dyDescent="0.3">
      <c r="AO984" s="62"/>
    </row>
    <row r="985" spans="41:41" x14ac:dyDescent="0.3">
      <c r="AO985" s="62"/>
    </row>
    <row r="986" spans="41:41" x14ac:dyDescent="0.3">
      <c r="AO986" s="62"/>
    </row>
    <row r="987" spans="41:41" x14ac:dyDescent="0.3">
      <c r="AO987" s="62"/>
    </row>
    <row r="988" spans="41:41" x14ac:dyDescent="0.3">
      <c r="AO988" s="62"/>
    </row>
    <row r="989" spans="41:41" x14ac:dyDescent="0.3">
      <c r="AO989" s="62"/>
    </row>
    <row r="990" spans="41:41" x14ac:dyDescent="0.3">
      <c r="AO990" s="62"/>
    </row>
    <row r="991" spans="41:41" x14ac:dyDescent="0.3">
      <c r="AO991" s="62"/>
    </row>
    <row r="992" spans="41:41" x14ac:dyDescent="0.3">
      <c r="AO992" s="62"/>
    </row>
    <row r="993" spans="41:41" x14ac:dyDescent="0.3">
      <c r="AO993" s="62"/>
    </row>
    <row r="994" spans="41:41" x14ac:dyDescent="0.3">
      <c r="AO994" s="62"/>
    </row>
    <row r="995" spans="41:41" x14ac:dyDescent="0.3">
      <c r="AO995" s="62"/>
    </row>
    <row r="996" spans="41:41" x14ac:dyDescent="0.3">
      <c r="AO996" s="62"/>
    </row>
    <row r="997" spans="41:41" x14ac:dyDescent="0.3">
      <c r="AO997" s="62"/>
    </row>
    <row r="998" spans="41:41" x14ac:dyDescent="0.3">
      <c r="AO998" s="62"/>
    </row>
    <row r="999" spans="41:41" x14ac:dyDescent="0.3">
      <c r="AO999" s="62"/>
    </row>
    <row r="1000" spans="41:41" x14ac:dyDescent="0.3">
      <c r="AO1000" s="62"/>
    </row>
    <row r="1001" spans="41:41" x14ac:dyDescent="0.3">
      <c r="AO1001" s="62"/>
    </row>
    <row r="1002" spans="41:41" x14ac:dyDescent="0.3">
      <c r="AO1002" s="62"/>
    </row>
    <row r="1003" spans="41:41" x14ac:dyDescent="0.3">
      <c r="AO1003" s="62"/>
    </row>
    <row r="1004" spans="41:41" x14ac:dyDescent="0.3">
      <c r="AO1004" s="62"/>
    </row>
    <row r="1005" spans="41:41" x14ac:dyDescent="0.3">
      <c r="AO1005" s="62"/>
    </row>
    <row r="1006" spans="41:41" x14ac:dyDescent="0.3">
      <c r="AO1006" s="62"/>
    </row>
    <row r="1007" spans="41:41" x14ac:dyDescent="0.3">
      <c r="AO1007" s="62"/>
    </row>
    <row r="1008" spans="41:41" x14ac:dyDescent="0.3">
      <c r="AO1008" s="62"/>
    </row>
    <row r="1009" spans="41:41" x14ac:dyDescent="0.3">
      <c r="AO1009" s="62"/>
    </row>
    <row r="1010" spans="41:41" x14ac:dyDescent="0.3">
      <c r="AO1010" s="62"/>
    </row>
    <row r="1011" spans="41:41" x14ac:dyDescent="0.3">
      <c r="AO1011" s="62"/>
    </row>
    <row r="1012" spans="41:41" x14ac:dyDescent="0.3">
      <c r="AO1012" s="62"/>
    </row>
    <row r="1013" spans="41:41" x14ac:dyDescent="0.3">
      <c r="AO1013" s="62"/>
    </row>
    <row r="1014" spans="41:41" x14ac:dyDescent="0.3">
      <c r="AO1014" s="62"/>
    </row>
    <row r="1015" spans="41:41" x14ac:dyDescent="0.3">
      <c r="AO1015" s="62"/>
    </row>
    <row r="1016" spans="41:41" x14ac:dyDescent="0.3">
      <c r="AO1016" s="62"/>
    </row>
    <row r="1017" spans="41:41" x14ac:dyDescent="0.3">
      <c r="AO1017" s="62"/>
    </row>
    <row r="1018" spans="41:41" x14ac:dyDescent="0.3">
      <c r="AO1018" s="62"/>
    </row>
    <row r="1019" spans="41:41" x14ac:dyDescent="0.3">
      <c r="AO1019" s="62"/>
    </row>
    <row r="1020" spans="41:41" x14ac:dyDescent="0.3">
      <c r="AO1020" s="62"/>
    </row>
    <row r="1021" spans="41:41" x14ac:dyDescent="0.3">
      <c r="AO1021" s="62"/>
    </row>
    <row r="1022" spans="41:41" x14ac:dyDescent="0.3">
      <c r="AO1022" s="62"/>
    </row>
    <row r="1023" spans="41:41" x14ac:dyDescent="0.3">
      <c r="AO1023" s="62"/>
    </row>
    <row r="1024" spans="41:41" x14ac:dyDescent="0.3">
      <c r="AO1024" s="62"/>
    </row>
    <row r="1025" spans="41:41" x14ac:dyDescent="0.3">
      <c r="AO1025" s="62"/>
    </row>
    <row r="1026" spans="41:41" x14ac:dyDescent="0.3">
      <c r="AO1026" s="62"/>
    </row>
    <row r="1027" spans="41:41" x14ac:dyDescent="0.3">
      <c r="AO1027" s="62"/>
    </row>
    <row r="1028" spans="41:41" x14ac:dyDescent="0.3">
      <c r="AO1028" s="62"/>
    </row>
    <row r="1029" spans="41:41" x14ac:dyDescent="0.3">
      <c r="AO1029" s="62"/>
    </row>
    <row r="1030" spans="41:41" x14ac:dyDescent="0.3">
      <c r="AO1030" s="62"/>
    </row>
    <row r="1031" spans="41:41" x14ac:dyDescent="0.3">
      <c r="AO1031" s="62"/>
    </row>
    <row r="1032" spans="41:41" x14ac:dyDescent="0.3">
      <c r="AO1032" s="62"/>
    </row>
    <row r="1033" spans="41:41" x14ac:dyDescent="0.3">
      <c r="AO1033" s="62"/>
    </row>
    <row r="1034" spans="41:41" x14ac:dyDescent="0.3">
      <c r="AO1034" s="62"/>
    </row>
    <row r="1035" spans="41:41" x14ac:dyDescent="0.3">
      <c r="AO1035" s="62"/>
    </row>
    <row r="1036" spans="41:41" x14ac:dyDescent="0.3">
      <c r="AO1036" s="62"/>
    </row>
    <row r="1037" spans="41:41" x14ac:dyDescent="0.3">
      <c r="AO1037" s="62"/>
    </row>
    <row r="1038" spans="41:41" x14ac:dyDescent="0.3">
      <c r="AO1038" s="62"/>
    </row>
    <row r="1039" spans="41:41" x14ac:dyDescent="0.3">
      <c r="AO1039" s="62"/>
    </row>
    <row r="1040" spans="41:41" x14ac:dyDescent="0.3">
      <c r="AO1040" s="62"/>
    </row>
    <row r="1041" spans="41:41" x14ac:dyDescent="0.3">
      <c r="AO1041" s="62"/>
    </row>
    <row r="1042" spans="41:41" x14ac:dyDescent="0.3">
      <c r="AO1042" s="62"/>
    </row>
    <row r="1043" spans="41:41" x14ac:dyDescent="0.3">
      <c r="AO1043" s="62"/>
    </row>
    <row r="1044" spans="41:41" x14ac:dyDescent="0.3">
      <c r="AO1044" s="62"/>
    </row>
    <row r="1045" spans="41:41" x14ac:dyDescent="0.3">
      <c r="AO1045" s="62"/>
    </row>
    <row r="1046" spans="41:41" x14ac:dyDescent="0.3">
      <c r="AO1046" s="62"/>
    </row>
    <row r="1047" spans="41:41" x14ac:dyDescent="0.3">
      <c r="AO1047" s="62"/>
    </row>
    <row r="1048" spans="41:41" x14ac:dyDescent="0.3">
      <c r="AO1048" s="62"/>
    </row>
    <row r="1049" spans="41:41" x14ac:dyDescent="0.3">
      <c r="AO1049" s="62"/>
    </row>
    <row r="1050" spans="41:41" x14ac:dyDescent="0.3">
      <c r="AO1050" s="62"/>
    </row>
    <row r="1051" spans="41:41" x14ac:dyDescent="0.3">
      <c r="AO1051" s="62"/>
    </row>
    <row r="1052" spans="41:41" x14ac:dyDescent="0.3">
      <c r="AO1052" s="62"/>
    </row>
    <row r="1053" spans="41:41" x14ac:dyDescent="0.3">
      <c r="AO1053" s="62"/>
    </row>
    <row r="1054" spans="41:41" x14ac:dyDescent="0.3">
      <c r="AO1054" s="62"/>
    </row>
    <row r="1055" spans="41:41" x14ac:dyDescent="0.3">
      <c r="AO1055" s="62"/>
    </row>
    <row r="1056" spans="41:41" x14ac:dyDescent="0.3">
      <c r="AO1056" s="62"/>
    </row>
    <row r="1057" spans="41:41" x14ac:dyDescent="0.3">
      <c r="AO1057" s="62"/>
    </row>
    <row r="1058" spans="41:41" x14ac:dyDescent="0.3">
      <c r="AO1058" s="62"/>
    </row>
    <row r="1059" spans="41:41" x14ac:dyDescent="0.3">
      <c r="AO1059" s="62"/>
    </row>
    <row r="1060" spans="41:41" x14ac:dyDescent="0.3">
      <c r="AO1060" s="62"/>
    </row>
    <row r="1061" spans="41:41" x14ac:dyDescent="0.3">
      <c r="AO1061" s="62"/>
    </row>
    <row r="1062" spans="41:41" x14ac:dyDescent="0.3">
      <c r="AO1062" s="62"/>
    </row>
    <row r="1063" spans="41:41" x14ac:dyDescent="0.3">
      <c r="AO1063" s="62"/>
    </row>
    <row r="1064" spans="41:41" x14ac:dyDescent="0.3">
      <c r="AO1064" s="62"/>
    </row>
    <row r="1065" spans="41:41" x14ac:dyDescent="0.3">
      <c r="AO1065" s="62"/>
    </row>
    <row r="1066" spans="41:41" x14ac:dyDescent="0.3">
      <c r="AO1066" s="62"/>
    </row>
    <row r="1067" spans="41:41" x14ac:dyDescent="0.3">
      <c r="AO1067" s="62"/>
    </row>
    <row r="1068" spans="41:41" x14ac:dyDescent="0.3">
      <c r="AO1068" s="62"/>
    </row>
    <row r="1069" spans="41:41" x14ac:dyDescent="0.3">
      <c r="AO1069" s="62"/>
    </row>
    <row r="1070" spans="41:41" x14ac:dyDescent="0.3">
      <c r="AO1070" s="62"/>
    </row>
    <row r="1071" spans="41:41" x14ac:dyDescent="0.3">
      <c r="AO1071" s="62"/>
    </row>
    <row r="1072" spans="41:41" x14ac:dyDescent="0.3">
      <c r="AO1072" s="62"/>
    </row>
    <row r="1073" spans="41:41" x14ac:dyDescent="0.3">
      <c r="AO1073" s="62"/>
    </row>
    <row r="1074" spans="41:41" x14ac:dyDescent="0.3">
      <c r="AO1074" s="62"/>
    </row>
    <row r="1075" spans="41:41" x14ac:dyDescent="0.3">
      <c r="AO1075" s="62"/>
    </row>
    <row r="1076" spans="41:41" x14ac:dyDescent="0.3">
      <c r="AO1076" s="62"/>
    </row>
    <row r="1077" spans="41:41" x14ac:dyDescent="0.3">
      <c r="AO1077" s="62"/>
    </row>
    <row r="1078" spans="41:41" x14ac:dyDescent="0.3">
      <c r="AO1078" s="62"/>
    </row>
    <row r="1079" spans="41:41" x14ac:dyDescent="0.3">
      <c r="AO1079" s="62"/>
    </row>
    <row r="1080" spans="41:41" x14ac:dyDescent="0.3">
      <c r="AO1080" s="62"/>
    </row>
    <row r="1081" spans="41:41" x14ac:dyDescent="0.3">
      <c r="AO1081" s="62"/>
    </row>
    <row r="1082" spans="41:41" x14ac:dyDescent="0.3">
      <c r="AO1082" s="62"/>
    </row>
    <row r="1083" spans="41:41" x14ac:dyDescent="0.3">
      <c r="AO1083" s="62"/>
    </row>
    <row r="1084" spans="41:41" x14ac:dyDescent="0.3">
      <c r="AO1084" s="62"/>
    </row>
    <row r="1085" spans="41:41" x14ac:dyDescent="0.3">
      <c r="AO1085" s="62"/>
    </row>
    <row r="1086" spans="41:41" x14ac:dyDescent="0.3">
      <c r="AO1086" s="62"/>
    </row>
    <row r="1087" spans="41:41" x14ac:dyDescent="0.3">
      <c r="AO1087" s="62"/>
    </row>
    <row r="1088" spans="41:41" x14ac:dyDescent="0.3">
      <c r="AO1088" s="62"/>
    </row>
    <row r="1089" spans="41:41" x14ac:dyDescent="0.3">
      <c r="AO1089" s="62"/>
    </row>
    <row r="1090" spans="41:41" x14ac:dyDescent="0.3">
      <c r="AO1090" s="62"/>
    </row>
    <row r="1091" spans="41:41" x14ac:dyDescent="0.3">
      <c r="AO1091" s="62"/>
    </row>
    <row r="1092" spans="41:41" x14ac:dyDescent="0.3">
      <c r="AO1092" s="62"/>
    </row>
    <row r="1093" spans="41:41" x14ac:dyDescent="0.3">
      <c r="AO1093" s="62"/>
    </row>
    <row r="1094" spans="41:41" x14ac:dyDescent="0.3">
      <c r="AO1094" s="62"/>
    </row>
    <row r="1095" spans="41:41" x14ac:dyDescent="0.3">
      <c r="AO1095" s="62"/>
    </row>
    <row r="1096" spans="41:41" x14ac:dyDescent="0.3">
      <c r="AO1096" s="62"/>
    </row>
    <row r="1097" spans="41:41" x14ac:dyDescent="0.3">
      <c r="AO1097" s="62"/>
    </row>
    <row r="1098" spans="41:41" x14ac:dyDescent="0.3">
      <c r="AO1098" s="62"/>
    </row>
    <row r="1099" spans="41:41" x14ac:dyDescent="0.3">
      <c r="AO1099" s="62"/>
    </row>
    <row r="1100" spans="41:41" x14ac:dyDescent="0.3">
      <c r="AO1100" s="62"/>
    </row>
    <row r="1101" spans="41:41" x14ac:dyDescent="0.3">
      <c r="AO1101" s="62"/>
    </row>
    <row r="1102" spans="41:41" x14ac:dyDescent="0.3">
      <c r="AO1102" s="62"/>
    </row>
    <row r="1103" spans="41:41" x14ac:dyDescent="0.3">
      <c r="AO1103" s="62"/>
    </row>
    <row r="1104" spans="41:41" x14ac:dyDescent="0.3">
      <c r="AO1104" s="62"/>
    </row>
    <row r="1105" spans="41:41" x14ac:dyDescent="0.3">
      <c r="AO1105" s="62"/>
    </row>
    <row r="1106" spans="41:41" x14ac:dyDescent="0.3">
      <c r="AO1106" s="62"/>
    </row>
    <row r="1107" spans="41:41" x14ac:dyDescent="0.3">
      <c r="AO1107" s="62"/>
    </row>
    <row r="1108" spans="41:41" x14ac:dyDescent="0.3">
      <c r="AO1108" s="62"/>
    </row>
    <row r="1109" spans="41:41" x14ac:dyDescent="0.3">
      <c r="AO1109" s="62"/>
    </row>
    <row r="1110" spans="41:41" x14ac:dyDescent="0.3">
      <c r="AO1110" s="62"/>
    </row>
    <row r="1111" spans="41:41" x14ac:dyDescent="0.3">
      <c r="AO1111" s="62"/>
    </row>
    <row r="1112" spans="41:41" x14ac:dyDescent="0.3">
      <c r="AO1112" s="62"/>
    </row>
    <row r="1113" spans="41:41" x14ac:dyDescent="0.3">
      <c r="AO1113" s="62"/>
    </row>
    <row r="1114" spans="41:41" x14ac:dyDescent="0.3">
      <c r="AO1114" s="62"/>
    </row>
    <row r="1115" spans="41:41" x14ac:dyDescent="0.3">
      <c r="AO1115" s="62"/>
    </row>
    <row r="1116" spans="41:41" x14ac:dyDescent="0.3">
      <c r="AO1116" s="62"/>
    </row>
    <row r="1117" spans="41:41" x14ac:dyDescent="0.3">
      <c r="AO1117" s="62"/>
    </row>
    <row r="1118" spans="41:41" x14ac:dyDescent="0.3">
      <c r="AO1118" s="62"/>
    </row>
    <row r="1119" spans="41:41" x14ac:dyDescent="0.3">
      <c r="AO1119" s="62"/>
    </row>
    <row r="1120" spans="41:41" x14ac:dyDescent="0.3">
      <c r="AO1120" s="62"/>
    </row>
    <row r="1121" spans="41:41" x14ac:dyDescent="0.3">
      <c r="AO1121" s="62"/>
    </row>
    <row r="1122" spans="41:41" x14ac:dyDescent="0.3">
      <c r="AO1122" s="62"/>
    </row>
    <row r="1123" spans="41:41" x14ac:dyDescent="0.3">
      <c r="AO1123" s="62"/>
    </row>
    <row r="1124" spans="41:41" x14ac:dyDescent="0.3">
      <c r="AO1124" s="62"/>
    </row>
    <row r="1125" spans="41:41" x14ac:dyDescent="0.3">
      <c r="AO1125" s="62"/>
    </row>
    <row r="1126" spans="41:41" x14ac:dyDescent="0.3">
      <c r="AO1126" s="62"/>
    </row>
    <row r="1127" spans="41:41" x14ac:dyDescent="0.3">
      <c r="AO1127" s="62"/>
    </row>
    <row r="1128" spans="41:41" x14ac:dyDescent="0.3">
      <c r="AO1128" s="62"/>
    </row>
    <row r="1129" spans="41:41" x14ac:dyDescent="0.3">
      <c r="AO1129" s="62"/>
    </row>
    <row r="1130" spans="41:41" x14ac:dyDescent="0.3">
      <c r="AO1130" s="62"/>
    </row>
    <row r="1131" spans="41:41" x14ac:dyDescent="0.3">
      <c r="AO1131" s="62"/>
    </row>
    <row r="1132" spans="41:41" x14ac:dyDescent="0.3">
      <c r="AO1132" s="62"/>
    </row>
    <row r="1133" spans="41:41" x14ac:dyDescent="0.3">
      <c r="AO1133" s="62"/>
    </row>
    <row r="1134" spans="41:41" x14ac:dyDescent="0.3">
      <c r="AO1134" s="62"/>
    </row>
    <row r="1135" spans="41:41" x14ac:dyDescent="0.3">
      <c r="AO1135" s="62"/>
    </row>
    <row r="1136" spans="41:41" x14ac:dyDescent="0.3">
      <c r="AO1136" s="62"/>
    </row>
    <row r="1137" spans="41:41" x14ac:dyDescent="0.3">
      <c r="AO1137" s="62"/>
    </row>
    <row r="1138" spans="41:41" x14ac:dyDescent="0.3">
      <c r="AO1138" s="62"/>
    </row>
    <row r="1139" spans="41:41" x14ac:dyDescent="0.3">
      <c r="AO1139" s="62"/>
    </row>
    <row r="1140" spans="41:41" x14ac:dyDescent="0.3">
      <c r="AO1140" s="62"/>
    </row>
    <row r="1141" spans="41:41" x14ac:dyDescent="0.3">
      <c r="AO1141" s="62"/>
    </row>
    <row r="1142" spans="41:41" x14ac:dyDescent="0.3">
      <c r="AO1142" s="62"/>
    </row>
    <row r="1143" spans="41:41" x14ac:dyDescent="0.3">
      <c r="AO1143" s="62"/>
    </row>
    <row r="1144" spans="41:41" x14ac:dyDescent="0.3">
      <c r="AO1144" s="62"/>
    </row>
    <row r="1145" spans="41:41" x14ac:dyDescent="0.3">
      <c r="AO1145" s="62"/>
    </row>
    <row r="1146" spans="41:41" x14ac:dyDescent="0.3">
      <c r="AO1146" s="62"/>
    </row>
    <row r="1147" spans="41:41" x14ac:dyDescent="0.3">
      <c r="AO1147" s="62"/>
    </row>
    <row r="1148" spans="41:41" x14ac:dyDescent="0.3">
      <c r="AO1148" s="62"/>
    </row>
    <row r="1149" spans="41:41" x14ac:dyDescent="0.3">
      <c r="AO1149" s="62"/>
    </row>
    <row r="1150" spans="41:41" x14ac:dyDescent="0.3">
      <c r="AO1150" s="62"/>
    </row>
    <row r="1151" spans="41:41" x14ac:dyDescent="0.3">
      <c r="AO1151" s="62"/>
    </row>
    <row r="1152" spans="41:41" x14ac:dyDescent="0.3">
      <c r="AO1152" s="62"/>
    </row>
    <row r="1153" spans="41:41" x14ac:dyDescent="0.3">
      <c r="AO1153" s="62"/>
    </row>
    <row r="1154" spans="41:41" x14ac:dyDescent="0.3">
      <c r="AO1154" s="62"/>
    </row>
    <row r="1155" spans="41:41" x14ac:dyDescent="0.3">
      <c r="AO1155" s="62"/>
    </row>
    <row r="1156" spans="41:41" x14ac:dyDescent="0.3">
      <c r="AO1156" s="62"/>
    </row>
    <row r="1157" spans="41:41" x14ac:dyDescent="0.3">
      <c r="AO1157" s="62"/>
    </row>
    <row r="1158" spans="41:41" x14ac:dyDescent="0.3">
      <c r="AO1158" s="62"/>
    </row>
    <row r="1159" spans="41:41" x14ac:dyDescent="0.3">
      <c r="AO1159" s="62"/>
    </row>
    <row r="1160" spans="41:41" x14ac:dyDescent="0.3">
      <c r="AO1160" s="62"/>
    </row>
    <row r="1161" spans="41:41" x14ac:dyDescent="0.3">
      <c r="AO1161" s="62"/>
    </row>
    <row r="1162" spans="41:41" x14ac:dyDescent="0.3">
      <c r="AO1162" s="62"/>
    </row>
    <row r="1163" spans="41:41" x14ac:dyDescent="0.3">
      <c r="AO1163" s="62"/>
    </row>
    <row r="1164" spans="41:41" x14ac:dyDescent="0.3">
      <c r="AO1164" s="62"/>
    </row>
    <row r="1165" spans="41:41" x14ac:dyDescent="0.3">
      <c r="AO1165" s="62"/>
    </row>
    <row r="1166" spans="41:41" x14ac:dyDescent="0.3">
      <c r="AO1166" s="62"/>
    </row>
    <row r="1167" spans="41:41" x14ac:dyDescent="0.3">
      <c r="AO1167" s="62"/>
    </row>
    <row r="1168" spans="41:41" x14ac:dyDescent="0.3">
      <c r="AO1168" s="62"/>
    </row>
    <row r="1169" spans="41:41" x14ac:dyDescent="0.3">
      <c r="AO1169" s="62"/>
    </row>
    <row r="1170" spans="41:41" x14ac:dyDescent="0.3">
      <c r="AO1170" s="62"/>
    </row>
    <row r="1171" spans="41:41" x14ac:dyDescent="0.3">
      <c r="AO1171" s="62"/>
    </row>
    <row r="1172" spans="41:41" x14ac:dyDescent="0.3">
      <c r="AO1172" s="62"/>
    </row>
    <row r="1173" spans="41:41" x14ac:dyDescent="0.3">
      <c r="AO1173" s="62"/>
    </row>
    <row r="1174" spans="41:41" x14ac:dyDescent="0.3">
      <c r="AO1174" s="62"/>
    </row>
    <row r="1175" spans="41:41" x14ac:dyDescent="0.3">
      <c r="AO1175" s="62"/>
    </row>
    <row r="1176" spans="41:41" x14ac:dyDescent="0.3">
      <c r="AO1176" s="62"/>
    </row>
    <row r="1177" spans="41:41" x14ac:dyDescent="0.3">
      <c r="AO1177" s="62"/>
    </row>
    <row r="1178" spans="41:41" x14ac:dyDescent="0.3">
      <c r="AO1178" s="62"/>
    </row>
    <row r="1179" spans="41:41" x14ac:dyDescent="0.3">
      <c r="AO1179" s="62"/>
    </row>
    <row r="1180" spans="41:41" x14ac:dyDescent="0.3">
      <c r="AO1180" s="62"/>
    </row>
    <row r="1181" spans="41:41" x14ac:dyDescent="0.3">
      <c r="AO1181" s="62"/>
    </row>
    <row r="1182" spans="41:41" x14ac:dyDescent="0.3">
      <c r="AO1182" s="62"/>
    </row>
    <row r="1183" spans="41:41" x14ac:dyDescent="0.3">
      <c r="AO1183" s="62"/>
    </row>
    <row r="1184" spans="41:41" x14ac:dyDescent="0.3">
      <c r="AO1184" s="62"/>
    </row>
    <row r="1185" spans="41:41" x14ac:dyDescent="0.3">
      <c r="AO1185" s="62"/>
    </row>
    <row r="1186" spans="41:41" x14ac:dyDescent="0.3">
      <c r="AO1186" s="62"/>
    </row>
    <row r="1187" spans="41:41" x14ac:dyDescent="0.3">
      <c r="AO1187" s="62"/>
    </row>
    <row r="1188" spans="41:41" x14ac:dyDescent="0.3">
      <c r="AO1188" s="62"/>
    </row>
    <row r="1189" spans="41:41" x14ac:dyDescent="0.3">
      <c r="AO1189" s="62"/>
    </row>
    <row r="1190" spans="41:41" x14ac:dyDescent="0.3">
      <c r="AO1190" s="62"/>
    </row>
    <row r="1191" spans="41:41" x14ac:dyDescent="0.3">
      <c r="AO1191" s="62"/>
    </row>
    <row r="1192" spans="41:41" x14ac:dyDescent="0.3">
      <c r="AO1192" s="62"/>
    </row>
    <row r="1193" spans="41:41" x14ac:dyDescent="0.3">
      <c r="AO1193" s="62"/>
    </row>
    <row r="1194" spans="41:41" x14ac:dyDescent="0.3">
      <c r="AO1194" s="62"/>
    </row>
    <row r="1195" spans="41:41" x14ac:dyDescent="0.3">
      <c r="AO1195" s="62"/>
    </row>
    <row r="1196" spans="41:41" x14ac:dyDescent="0.3">
      <c r="AO1196" s="62"/>
    </row>
    <row r="1197" spans="41:41" x14ac:dyDescent="0.3">
      <c r="AO1197" s="62"/>
    </row>
    <row r="1198" spans="41:41" x14ac:dyDescent="0.3">
      <c r="AO1198" s="62"/>
    </row>
    <row r="1199" spans="41:41" x14ac:dyDescent="0.3">
      <c r="AO1199" s="62"/>
    </row>
    <row r="1200" spans="41:41" x14ac:dyDescent="0.3">
      <c r="AO1200" s="62"/>
    </row>
    <row r="1201" spans="41:41" x14ac:dyDescent="0.3">
      <c r="AO1201" s="62"/>
    </row>
    <row r="1202" spans="41:41" x14ac:dyDescent="0.3">
      <c r="AO1202" s="62"/>
    </row>
    <row r="1203" spans="41:41" x14ac:dyDescent="0.3">
      <c r="AO1203" s="62"/>
    </row>
    <row r="1204" spans="41:41" x14ac:dyDescent="0.3">
      <c r="AO1204" s="62"/>
    </row>
    <row r="1205" spans="41:41" x14ac:dyDescent="0.3">
      <c r="AO1205" s="62"/>
    </row>
    <row r="1206" spans="41:41" x14ac:dyDescent="0.3">
      <c r="AO1206" s="62"/>
    </row>
    <row r="1207" spans="41:41" x14ac:dyDescent="0.3">
      <c r="AO1207" s="62"/>
    </row>
    <row r="1208" spans="41:41" x14ac:dyDescent="0.3">
      <c r="AO1208" s="62"/>
    </row>
    <row r="1209" spans="41:41" x14ac:dyDescent="0.3">
      <c r="AO1209" s="62"/>
    </row>
    <row r="1210" spans="41:41" x14ac:dyDescent="0.3">
      <c r="AO1210" s="62"/>
    </row>
    <row r="1211" spans="41:41" x14ac:dyDescent="0.3">
      <c r="AO1211" s="62"/>
    </row>
    <row r="1212" spans="41:41" x14ac:dyDescent="0.3">
      <c r="AO1212" s="62"/>
    </row>
    <row r="1213" spans="41:41" x14ac:dyDescent="0.3">
      <c r="AO1213" s="62"/>
    </row>
    <row r="1214" spans="41:41" x14ac:dyDescent="0.3">
      <c r="AO1214" s="62"/>
    </row>
    <row r="1215" spans="41:41" x14ac:dyDescent="0.3">
      <c r="AO1215" s="62"/>
    </row>
    <row r="1216" spans="41:41" x14ac:dyDescent="0.3">
      <c r="AO1216" s="62"/>
    </row>
    <row r="1217" spans="41:41" x14ac:dyDescent="0.3">
      <c r="AO1217" s="62"/>
    </row>
    <row r="1218" spans="41:41" x14ac:dyDescent="0.3">
      <c r="AO1218" s="62"/>
    </row>
    <row r="1219" spans="41:41" x14ac:dyDescent="0.3">
      <c r="AO1219" s="62"/>
    </row>
    <row r="1220" spans="41:41" x14ac:dyDescent="0.3">
      <c r="AO1220" s="62"/>
    </row>
    <row r="1221" spans="41:41" x14ac:dyDescent="0.3">
      <c r="AO1221" s="62"/>
    </row>
    <row r="1222" spans="41:41" x14ac:dyDescent="0.3">
      <c r="AO1222" s="62"/>
    </row>
    <row r="1223" spans="41:41" x14ac:dyDescent="0.3">
      <c r="AO1223" s="62"/>
    </row>
    <row r="1224" spans="41:41" x14ac:dyDescent="0.3">
      <c r="AO1224" s="62"/>
    </row>
    <row r="1225" spans="41:41" x14ac:dyDescent="0.3">
      <c r="AO1225" s="62"/>
    </row>
    <row r="1226" spans="41:41" x14ac:dyDescent="0.3">
      <c r="AO1226" s="62"/>
    </row>
    <row r="1227" spans="41:41" x14ac:dyDescent="0.3">
      <c r="AO1227" s="62"/>
    </row>
    <row r="1228" spans="41:41" x14ac:dyDescent="0.3">
      <c r="AO1228" s="62"/>
    </row>
    <row r="1229" spans="41:41" x14ac:dyDescent="0.3">
      <c r="AO1229" s="62"/>
    </row>
    <row r="1230" spans="41:41" x14ac:dyDescent="0.3">
      <c r="AO1230" s="62"/>
    </row>
    <row r="1231" spans="41:41" x14ac:dyDescent="0.3">
      <c r="AO1231" s="62"/>
    </row>
    <row r="1232" spans="41:41" x14ac:dyDescent="0.3">
      <c r="AO1232" s="62"/>
    </row>
    <row r="1233" spans="41:41" x14ac:dyDescent="0.3">
      <c r="AO1233" s="62"/>
    </row>
    <row r="1234" spans="41:41" x14ac:dyDescent="0.3">
      <c r="AO1234" s="62"/>
    </row>
    <row r="1235" spans="41:41" x14ac:dyDescent="0.3">
      <c r="AO1235" s="62"/>
    </row>
    <row r="1236" spans="41:41" x14ac:dyDescent="0.3">
      <c r="AO1236" s="62"/>
    </row>
    <row r="1237" spans="41:41" x14ac:dyDescent="0.3">
      <c r="AO1237" s="62"/>
    </row>
    <row r="1238" spans="41:41" x14ac:dyDescent="0.3">
      <c r="AO1238" s="62"/>
    </row>
    <row r="1239" spans="41:41" x14ac:dyDescent="0.3">
      <c r="AO1239" s="62"/>
    </row>
    <row r="1240" spans="41:41" x14ac:dyDescent="0.3">
      <c r="AO1240" s="62"/>
    </row>
    <row r="1241" spans="41:41" x14ac:dyDescent="0.3">
      <c r="AO1241" s="62"/>
    </row>
    <row r="1242" spans="41:41" x14ac:dyDescent="0.3">
      <c r="AO1242" s="62"/>
    </row>
    <row r="1243" spans="41:41" x14ac:dyDescent="0.3">
      <c r="AO1243" s="62"/>
    </row>
    <row r="1244" spans="41:41" x14ac:dyDescent="0.3">
      <c r="AO1244" s="62"/>
    </row>
    <row r="1245" spans="41:41" x14ac:dyDescent="0.3">
      <c r="AO1245" s="62"/>
    </row>
    <row r="1246" spans="41:41" x14ac:dyDescent="0.3">
      <c r="AO1246" s="62"/>
    </row>
    <row r="1247" spans="41:41" x14ac:dyDescent="0.3">
      <c r="AO1247" s="62"/>
    </row>
    <row r="1248" spans="41:41" x14ac:dyDescent="0.3">
      <c r="AO1248" s="62"/>
    </row>
    <row r="1249" spans="41:41" x14ac:dyDescent="0.3">
      <c r="AO1249" s="62"/>
    </row>
    <row r="1250" spans="41:41" x14ac:dyDescent="0.3">
      <c r="AO1250" s="62"/>
    </row>
    <row r="1251" spans="41:41" x14ac:dyDescent="0.3">
      <c r="AO1251" s="62"/>
    </row>
    <row r="1252" spans="41:41" x14ac:dyDescent="0.3">
      <c r="AO1252" s="62"/>
    </row>
    <row r="1253" spans="41:41" x14ac:dyDescent="0.3">
      <c r="AO1253" s="62"/>
    </row>
    <row r="1254" spans="41:41" x14ac:dyDescent="0.3">
      <c r="AO1254" s="62"/>
    </row>
    <row r="1255" spans="41:41" x14ac:dyDescent="0.3">
      <c r="AO1255" s="62"/>
    </row>
    <row r="1256" spans="41:41" x14ac:dyDescent="0.3">
      <c r="AO1256" s="62"/>
    </row>
    <row r="1257" spans="41:41" x14ac:dyDescent="0.3">
      <c r="AO1257" s="62"/>
    </row>
    <row r="1258" spans="41:41" x14ac:dyDescent="0.3">
      <c r="AO1258" s="62"/>
    </row>
    <row r="1259" spans="41:41" x14ac:dyDescent="0.3">
      <c r="AO1259" s="62"/>
    </row>
    <row r="1260" spans="41:41" x14ac:dyDescent="0.3">
      <c r="AO1260" s="62"/>
    </row>
    <row r="1261" spans="41:41" x14ac:dyDescent="0.3">
      <c r="AO1261" s="62"/>
    </row>
    <row r="1262" spans="41:41" x14ac:dyDescent="0.3">
      <c r="AO1262" s="62"/>
    </row>
    <row r="1263" spans="41:41" x14ac:dyDescent="0.3">
      <c r="AO1263" s="62"/>
    </row>
    <row r="1264" spans="41:41" x14ac:dyDescent="0.3">
      <c r="AO1264" s="62"/>
    </row>
    <row r="1265" spans="41:41" x14ac:dyDescent="0.3">
      <c r="AO1265" s="62"/>
    </row>
    <row r="1266" spans="41:41" x14ac:dyDescent="0.3">
      <c r="AO1266" s="62"/>
    </row>
    <row r="1267" spans="41:41" x14ac:dyDescent="0.3">
      <c r="AO1267" s="62"/>
    </row>
    <row r="1268" spans="41:41" x14ac:dyDescent="0.3">
      <c r="AO1268" s="62"/>
    </row>
    <row r="1269" spans="41:41" x14ac:dyDescent="0.3">
      <c r="AO1269" s="62"/>
    </row>
    <row r="1270" spans="41:41" x14ac:dyDescent="0.3">
      <c r="AO1270" s="62"/>
    </row>
    <row r="1271" spans="41:41" x14ac:dyDescent="0.3">
      <c r="AO1271" s="62"/>
    </row>
    <row r="1272" spans="41:41" x14ac:dyDescent="0.3">
      <c r="AO1272" s="62"/>
    </row>
    <row r="1273" spans="41:41" x14ac:dyDescent="0.3">
      <c r="AO1273" s="62"/>
    </row>
    <row r="1274" spans="41:41" x14ac:dyDescent="0.3">
      <c r="AO1274" s="62"/>
    </row>
    <row r="1275" spans="41:41" x14ac:dyDescent="0.3">
      <c r="AO1275" s="62"/>
    </row>
    <row r="1276" spans="41:41" x14ac:dyDescent="0.3">
      <c r="AO1276" s="62"/>
    </row>
    <row r="1277" spans="41:41" x14ac:dyDescent="0.3">
      <c r="AO1277" s="62"/>
    </row>
    <row r="1278" spans="41:41" x14ac:dyDescent="0.3">
      <c r="AO1278" s="62"/>
    </row>
    <row r="1279" spans="41:41" x14ac:dyDescent="0.3">
      <c r="AO1279" s="62"/>
    </row>
    <row r="1280" spans="41:41" x14ac:dyDescent="0.3">
      <c r="AO1280" s="62"/>
    </row>
    <row r="1281" spans="41:41" x14ac:dyDescent="0.3">
      <c r="AO1281" s="62"/>
    </row>
    <row r="1282" spans="41:41" x14ac:dyDescent="0.3">
      <c r="AO1282" s="62"/>
    </row>
    <row r="1283" spans="41:41" x14ac:dyDescent="0.3">
      <c r="AO1283" s="62"/>
    </row>
    <row r="1284" spans="41:41" x14ac:dyDescent="0.3">
      <c r="AO1284" s="62"/>
    </row>
    <row r="1285" spans="41:41" x14ac:dyDescent="0.3">
      <c r="AO1285" s="62"/>
    </row>
    <row r="1286" spans="41:41" x14ac:dyDescent="0.3">
      <c r="AO1286" s="62"/>
    </row>
    <row r="1287" spans="41:41" x14ac:dyDescent="0.3">
      <c r="AO1287" s="62"/>
    </row>
    <row r="1288" spans="41:41" x14ac:dyDescent="0.3">
      <c r="AO1288" s="62"/>
    </row>
    <row r="1289" spans="41:41" x14ac:dyDescent="0.3">
      <c r="AO1289" s="62"/>
    </row>
    <row r="1290" spans="41:41" x14ac:dyDescent="0.3">
      <c r="AO1290" s="62"/>
    </row>
    <row r="1291" spans="41:41" x14ac:dyDescent="0.3">
      <c r="AO1291" s="62"/>
    </row>
    <row r="1292" spans="41:41" x14ac:dyDescent="0.3">
      <c r="AO1292" s="62"/>
    </row>
    <row r="1293" spans="41:41" x14ac:dyDescent="0.3">
      <c r="AO1293" s="62"/>
    </row>
    <row r="1294" spans="41:41" x14ac:dyDescent="0.3">
      <c r="AO1294" s="62"/>
    </row>
    <row r="1295" spans="41:41" x14ac:dyDescent="0.3">
      <c r="AO1295" s="62"/>
    </row>
    <row r="1296" spans="41:41" x14ac:dyDescent="0.3">
      <c r="AO1296" s="62"/>
    </row>
    <row r="1297" spans="41:41" x14ac:dyDescent="0.3">
      <c r="AO1297" s="62"/>
    </row>
    <row r="1298" spans="41:41" x14ac:dyDescent="0.3">
      <c r="AO1298" s="62"/>
    </row>
    <row r="1299" spans="41:41" x14ac:dyDescent="0.3">
      <c r="AO1299" s="62"/>
    </row>
    <row r="1300" spans="41:41" x14ac:dyDescent="0.3">
      <c r="AO1300" s="62"/>
    </row>
    <row r="1301" spans="41:41" x14ac:dyDescent="0.3">
      <c r="AO1301" s="62"/>
    </row>
    <row r="1302" spans="41:41" x14ac:dyDescent="0.3">
      <c r="AO1302" s="62"/>
    </row>
    <row r="1303" spans="41:41" x14ac:dyDescent="0.3">
      <c r="AO1303" s="62"/>
    </row>
    <row r="1304" spans="41:41" x14ac:dyDescent="0.3">
      <c r="AO1304" s="62"/>
    </row>
    <row r="1305" spans="41:41" x14ac:dyDescent="0.3">
      <c r="AO1305" s="62"/>
    </row>
    <row r="1306" spans="41:41" x14ac:dyDescent="0.3">
      <c r="AO1306" s="62"/>
    </row>
    <row r="1307" spans="41:41" x14ac:dyDescent="0.3">
      <c r="AO1307" s="62"/>
    </row>
    <row r="1308" spans="41:41" x14ac:dyDescent="0.3">
      <c r="AO1308" s="62"/>
    </row>
    <row r="1309" spans="41:41" x14ac:dyDescent="0.3">
      <c r="AO1309" s="62"/>
    </row>
    <row r="1310" spans="41:41" x14ac:dyDescent="0.3">
      <c r="AO1310" s="62"/>
    </row>
    <row r="1311" spans="41:41" x14ac:dyDescent="0.3">
      <c r="AO1311" s="62"/>
    </row>
    <row r="1312" spans="41:41" x14ac:dyDescent="0.3">
      <c r="AO1312" s="62"/>
    </row>
    <row r="1313" spans="41:41" x14ac:dyDescent="0.3">
      <c r="AO1313" s="62"/>
    </row>
    <row r="1314" spans="41:41" x14ac:dyDescent="0.3">
      <c r="AO1314" s="62"/>
    </row>
    <row r="1315" spans="41:41" x14ac:dyDescent="0.3">
      <c r="AO1315" s="62"/>
    </row>
    <row r="1316" spans="41:41" x14ac:dyDescent="0.3">
      <c r="AO1316" s="62"/>
    </row>
    <row r="1317" spans="41:41" x14ac:dyDescent="0.3">
      <c r="AO1317" s="62"/>
    </row>
    <row r="1318" spans="41:41" x14ac:dyDescent="0.3">
      <c r="AO1318" s="62"/>
    </row>
    <row r="1319" spans="41:41" x14ac:dyDescent="0.3">
      <c r="AO1319" s="62"/>
    </row>
    <row r="1320" spans="41:41" x14ac:dyDescent="0.3">
      <c r="AO1320" s="62"/>
    </row>
    <row r="1321" spans="41:41" x14ac:dyDescent="0.3">
      <c r="AO1321" s="62"/>
    </row>
    <row r="1322" spans="41:41" x14ac:dyDescent="0.3">
      <c r="AO1322" s="62"/>
    </row>
    <row r="1323" spans="41:41" x14ac:dyDescent="0.3">
      <c r="AO1323" s="62"/>
    </row>
    <row r="1324" spans="41:41" x14ac:dyDescent="0.3">
      <c r="AO1324" s="62"/>
    </row>
    <row r="1325" spans="41:41" x14ac:dyDescent="0.3">
      <c r="AO1325" s="62"/>
    </row>
    <row r="1326" spans="41:41" x14ac:dyDescent="0.3">
      <c r="AO1326" s="62"/>
    </row>
    <row r="1327" spans="41:41" x14ac:dyDescent="0.3">
      <c r="AO1327" s="62"/>
    </row>
    <row r="1328" spans="41:41" x14ac:dyDescent="0.3">
      <c r="AO1328" s="62"/>
    </row>
    <row r="1329" spans="41:41" x14ac:dyDescent="0.3">
      <c r="AO1329" s="62"/>
    </row>
    <row r="1330" spans="41:41" x14ac:dyDescent="0.3">
      <c r="AO1330" s="62"/>
    </row>
    <row r="1331" spans="41:41" x14ac:dyDescent="0.3">
      <c r="AO1331" s="62"/>
    </row>
    <row r="1332" spans="41:41" x14ac:dyDescent="0.3">
      <c r="AO1332" s="62"/>
    </row>
    <row r="1333" spans="41:41" x14ac:dyDescent="0.3">
      <c r="AO1333" s="62"/>
    </row>
    <row r="1334" spans="41:41" x14ac:dyDescent="0.3">
      <c r="AO1334" s="62"/>
    </row>
    <row r="1335" spans="41:41" x14ac:dyDescent="0.3">
      <c r="AO1335" s="62"/>
    </row>
    <row r="1336" spans="41:41" x14ac:dyDescent="0.3">
      <c r="AO1336" s="62"/>
    </row>
    <row r="1337" spans="41:41" x14ac:dyDescent="0.3">
      <c r="AO1337" s="62"/>
    </row>
    <row r="1338" spans="41:41" x14ac:dyDescent="0.3">
      <c r="AO1338" s="62"/>
    </row>
    <row r="1339" spans="41:41" x14ac:dyDescent="0.3">
      <c r="AO1339" s="62"/>
    </row>
    <row r="1340" spans="41:41" x14ac:dyDescent="0.3">
      <c r="AO1340" s="62"/>
    </row>
    <row r="1341" spans="41:41" x14ac:dyDescent="0.3">
      <c r="AO1341" s="62"/>
    </row>
    <row r="1342" spans="41:41" x14ac:dyDescent="0.3">
      <c r="AO1342" s="62"/>
    </row>
    <row r="1343" spans="41:41" x14ac:dyDescent="0.3">
      <c r="AO1343" s="62"/>
    </row>
    <row r="1344" spans="41:41" x14ac:dyDescent="0.3">
      <c r="AO1344" s="62"/>
    </row>
    <row r="1345" spans="41:41" x14ac:dyDescent="0.3">
      <c r="AO1345" s="62"/>
    </row>
    <row r="1346" spans="41:41" x14ac:dyDescent="0.3">
      <c r="AO1346" s="62"/>
    </row>
    <row r="1347" spans="41:41" x14ac:dyDescent="0.3">
      <c r="AO1347" s="62"/>
    </row>
    <row r="1348" spans="41:41" x14ac:dyDescent="0.3">
      <c r="AO1348" s="62"/>
    </row>
    <row r="1349" spans="41:41" x14ac:dyDescent="0.3">
      <c r="AO1349" s="62"/>
    </row>
    <row r="1350" spans="41:41" x14ac:dyDescent="0.3">
      <c r="AO1350" s="62"/>
    </row>
    <row r="1351" spans="41:41" x14ac:dyDescent="0.3">
      <c r="AO1351" s="62"/>
    </row>
    <row r="1352" spans="41:41" x14ac:dyDescent="0.3">
      <c r="AO1352" s="62"/>
    </row>
    <row r="1353" spans="41:41" x14ac:dyDescent="0.3">
      <c r="AO1353" s="62"/>
    </row>
    <row r="1354" spans="41:41" x14ac:dyDescent="0.3">
      <c r="AO1354" s="62"/>
    </row>
    <row r="1355" spans="41:41" x14ac:dyDescent="0.3">
      <c r="AO1355" s="62"/>
    </row>
    <row r="1356" spans="41:41" x14ac:dyDescent="0.3">
      <c r="AO1356" s="62"/>
    </row>
    <row r="1357" spans="41:41" x14ac:dyDescent="0.3">
      <c r="AO1357" s="62"/>
    </row>
    <row r="1358" spans="41:41" x14ac:dyDescent="0.3">
      <c r="AO1358" s="62"/>
    </row>
    <row r="1359" spans="41:41" x14ac:dyDescent="0.3">
      <c r="AO1359" s="62"/>
    </row>
    <row r="1360" spans="41:41" x14ac:dyDescent="0.3">
      <c r="AO1360" s="62"/>
    </row>
    <row r="1361" spans="41:41" x14ac:dyDescent="0.3">
      <c r="AO1361" s="62"/>
    </row>
    <row r="1362" spans="41:41" x14ac:dyDescent="0.3">
      <c r="AO1362" s="62"/>
    </row>
    <row r="1363" spans="41:41" x14ac:dyDescent="0.3">
      <c r="AO1363" s="62"/>
    </row>
    <row r="1364" spans="41:41" x14ac:dyDescent="0.3">
      <c r="AO1364" s="62"/>
    </row>
    <row r="1365" spans="41:41" x14ac:dyDescent="0.3">
      <c r="AO1365" s="62"/>
    </row>
    <row r="1366" spans="41:41" x14ac:dyDescent="0.3">
      <c r="AO1366" s="62"/>
    </row>
    <row r="1367" spans="41:41" x14ac:dyDescent="0.3">
      <c r="AO1367" s="62"/>
    </row>
    <row r="1368" spans="41:41" x14ac:dyDescent="0.3">
      <c r="AO1368" s="62"/>
    </row>
    <row r="1369" spans="41:41" x14ac:dyDescent="0.3">
      <c r="AO1369" s="62"/>
    </row>
    <row r="1370" spans="41:41" x14ac:dyDescent="0.3">
      <c r="AO1370" s="62"/>
    </row>
    <row r="1371" spans="41:41" x14ac:dyDescent="0.3">
      <c r="AO1371" s="62"/>
    </row>
    <row r="1372" spans="41:41" x14ac:dyDescent="0.3">
      <c r="AO1372" s="62"/>
    </row>
    <row r="1373" spans="41:41" x14ac:dyDescent="0.3">
      <c r="AO1373" s="62"/>
    </row>
    <row r="1374" spans="41:41" x14ac:dyDescent="0.3">
      <c r="AO1374" s="62"/>
    </row>
    <row r="1375" spans="41:41" x14ac:dyDescent="0.3">
      <c r="AO1375" s="62"/>
    </row>
    <row r="1376" spans="41:41" x14ac:dyDescent="0.3">
      <c r="AO1376" s="62"/>
    </row>
    <row r="1377" spans="41:41" x14ac:dyDescent="0.3">
      <c r="AO1377" s="62"/>
    </row>
    <row r="1378" spans="41:41" x14ac:dyDescent="0.3">
      <c r="AO1378" s="62"/>
    </row>
    <row r="1379" spans="41:41" x14ac:dyDescent="0.3">
      <c r="AO1379" s="62"/>
    </row>
    <row r="1380" spans="41:41" x14ac:dyDescent="0.3">
      <c r="AO1380" s="62"/>
    </row>
    <row r="1381" spans="41:41" x14ac:dyDescent="0.3">
      <c r="AO1381" s="62"/>
    </row>
    <row r="1382" spans="41:41" x14ac:dyDescent="0.3">
      <c r="AO1382" s="62"/>
    </row>
    <row r="1383" spans="41:41" x14ac:dyDescent="0.3">
      <c r="AO1383" s="62"/>
    </row>
    <row r="1384" spans="41:41" x14ac:dyDescent="0.3">
      <c r="AO1384" s="62"/>
    </row>
    <row r="1385" spans="41:41" x14ac:dyDescent="0.3">
      <c r="AO1385" s="62"/>
    </row>
    <row r="1386" spans="41:41" x14ac:dyDescent="0.3">
      <c r="AO1386" s="62"/>
    </row>
    <row r="1387" spans="41:41" x14ac:dyDescent="0.3">
      <c r="AO1387" s="62"/>
    </row>
    <row r="1388" spans="41:41" x14ac:dyDescent="0.3">
      <c r="AO1388" s="62"/>
    </row>
    <row r="1389" spans="41:41" x14ac:dyDescent="0.3">
      <c r="AO1389" s="62"/>
    </row>
    <row r="1390" spans="41:41" x14ac:dyDescent="0.3">
      <c r="AO1390" s="62"/>
    </row>
    <row r="1391" spans="41:41" x14ac:dyDescent="0.3">
      <c r="AO1391" s="62"/>
    </row>
    <row r="1392" spans="41:41" x14ac:dyDescent="0.3">
      <c r="AO1392" s="62"/>
    </row>
    <row r="1393" spans="41:41" x14ac:dyDescent="0.3">
      <c r="AO1393" s="62"/>
    </row>
    <row r="1394" spans="41:41" x14ac:dyDescent="0.3">
      <c r="AO1394" s="62"/>
    </row>
    <row r="1395" spans="41:41" x14ac:dyDescent="0.3">
      <c r="AO1395" s="62"/>
    </row>
    <row r="1396" spans="41:41" x14ac:dyDescent="0.3">
      <c r="AO1396" s="62"/>
    </row>
    <row r="1397" spans="41:41" x14ac:dyDescent="0.3">
      <c r="AO1397" s="62"/>
    </row>
    <row r="1398" spans="41:41" x14ac:dyDescent="0.3">
      <c r="AO1398" s="62"/>
    </row>
    <row r="1399" spans="41:41" x14ac:dyDescent="0.3">
      <c r="AO1399" s="62"/>
    </row>
    <row r="1400" spans="41:41" x14ac:dyDescent="0.3">
      <c r="AO1400" s="62"/>
    </row>
    <row r="1401" spans="41:41" x14ac:dyDescent="0.3">
      <c r="AO1401" s="62"/>
    </row>
    <row r="1402" spans="41:41" x14ac:dyDescent="0.3">
      <c r="AO1402" s="62"/>
    </row>
    <row r="1403" spans="41:41" x14ac:dyDescent="0.3">
      <c r="AO1403" s="62"/>
    </row>
    <row r="1404" spans="41:41" x14ac:dyDescent="0.3">
      <c r="AO1404" s="62"/>
    </row>
    <row r="1405" spans="41:41" x14ac:dyDescent="0.3">
      <c r="AO1405" s="62"/>
    </row>
    <row r="1406" spans="41:41" x14ac:dyDescent="0.3">
      <c r="AO1406" s="62"/>
    </row>
    <row r="1407" spans="41:41" x14ac:dyDescent="0.3">
      <c r="AO1407" s="62"/>
    </row>
    <row r="1408" spans="41:41" x14ac:dyDescent="0.3">
      <c r="AO1408" s="62"/>
    </row>
    <row r="1409" spans="41:41" x14ac:dyDescent="0.3">
      <c r="AO1409" s="62"/>
    </row>
    <row r="1410" spans="41:41" x14ac:dyDescent="0.3">
      <c r="AO1410" s="62"/>
    </row>
    <row r="1411" spans="41:41" x14ac:dyDescent="0.3">
      <c r="AO1411" s="62"/>
    </row>
    <row r="1412" spans="41:41" x14ac:dyDescent="0.3">
      <c r="AO1412" s="62"/>
    </row>
    <row r="1413" spans="41:41" x14ac:dyDescent="0.3">
      <c r="AO1413" s="62"/>
    </row>
    <row r="1414" spans="41:41" x14ac:dyDescent="0.3">
      <c r="AO1414" s="62"/>
    </row>
    <row r="1415" spans="41:41" x14ac:dyDescent="0.3">
      <c r="AO1415" s="62"/>
    </row>
    <row r="1416" spans="41:41" x14ac:dyDescent="0.3">
      <c r="AO1416" s="62"/>
    </row>
    <row r="1417" spans="41:41" x14ac:dyDescent="0.3">
      <c r="AO1417" s="62"/>
    </row>
    <row r="1418" spans="41:41" x14ac:dyDescent="0.3">
      <c r="AO1418" s="62"/>
    </row>
    <row r="1419" spans="41:41" x14ac:dyDescent="0.3">
      <c r="AO1419" s="62"/>
    </row>
    <row r="1420" spans="41:41" x14ac:dyDescent="0.3">
      <c r="AO1420" s="62"/>
    </row>
    <row r="1421" spans="41:41" x14ac:dyDescent="0.3">
      <c r="AO1421" s="62"/>
    </row>
    <row r="1422" spans="41:41" x14ac:dyDescent="0.3">
      <c r="AO1422" s="62"/>
    </row>
    <row r="1423" spans="41:41" x14ac:dyDescent="0.3">
      <c r="AO1423" s="62"/>
    </row>
    <row r="1424" spans="41:41" x14ac:dyDescent="0.3">
      <c r="AO1424" s="62"/>
    </row>
    <row r="1425" spans="41:41" x14ac:dyDescent="0.3">
      <c r="AO1425" s="62"/>
    </row>
    <row r="1426" spans="41:41" x14ac:dyDescent="0.3">
      <c r="AO1426" s="62"/>
    </row>
    <row r="1427" spans="41:41" x14ac:dyDescent="0.3">
      <c r="AO1427" s="62"/>
    </row>
    <row r="1428" spans="41:41" x14ac:dyDescent="0.3">
      <c r="AO1428" s="62"/>
    </row>
    <row r="1429" spans="41:41" x14ac:dyDescent="0.3">
      <c r="AO1429" s="62"/>
    </row>
    <row r="1430" spans="41:41" x14ac:dyDescent="0.3">
      <c r="AO1430" s="62"/>
    </row>
    <row r="1431" spans="41:41" x14ac:dyDescent="0.3">
      <c r="AO1431" s="62"/>
    </row>
    <row r="1432" spans="41:41" x14ac:dyDescent="0.3">
      <c r="AO1432" s="62"/>
    </row>
    <row r="1433" spans="41:41" x14ac:dyDescent="0.3">
      <c r="AO1433" s="62"/>
    </row>
    <row r="1434" spans="41:41" x14ac:dyDescent="0.3">
      <c r="AO1434" s="62"/>
    </row>
    <row r="1435" spans="41:41" x14ac:dyDescent="0.3">
      <c r="AO1435" s="62"/>
    </row>
    <row r="1436" spans="41:41" x14ac:dyDescent="0.3">
      <c r="AO1436" s="62"/>
    </row>
    <row r="1437" spans="41:41" x14ac:dyDescent="0.3">
      <c r="AO1437" s="62"/>
    </row>
    <row r="1438" spans="41:41" x14ac:dyDescent="0.3">
      <c r="AO1438" s="62"/>
    </row>
    <row r="1439" spans="41:41" x14ac:dyDescent="0.3">
      <c r="AO1439" s="62"/>
    </row>
    <row r="1440" spans="41:41" x14ac:dyDescent="0.3">
      <c r="AO1440" s="62"/>
    </row>
    <row r="1441" spans="41:41" x14ac:dyDescent="0.3">
      <c r="AO1441" s="62"/>
    </row>
    <row r="1442" spans="41:41" x14ac:dyDescent="0.3">
      <c r="AO1442" s="62"/>
    </row>
    <row r="1443" spans="41:41" x14ac:dyDescent="0.3">
      <c r="AO1443" s="62"/>
    </row>
    <row r="1444" spans="41:41" x14ac:dyDescent="0.3">
      <c r="AO1444" s="62"/>
    </row>
    <row r="1445" spans="41:41" x14ac:dyDescent="0.3">
      <c r="AO1445" s="62"/>
    </row>
    <row r="1446" spans="41:41" x14ac:dyDescent="0.3">
      <c r="AO1446" s="62"/>
    </row>
    <row r="1447" spans="41:41" x14ac:dyDescent="0.3">
      <c r="AO1447" s="62"/>
    </row>
    <row r="1448" spans="41:41" x14ac:dyDescent="0.3">
      <c r="AO1448" s="62"/>
    </row>
    <row r="1449" spans="41:41" x14ac:dyDescent="0.3">
      <c r="AO1449" s="62"/>
    </row>
    <row r="1450" spans="41:41" x14ac:dyDescent="0.3">
      <c r="AO1450" s="62"/>
    </row>
    <row r="1451" spans="41:41" x14ac:dyDescent="0.3">
      <c r="AO1451" s="62"/>
    </row>
    <row r="1452" spans="41:41" x14ac:dyDescent="0.3">
      <c r="AO1452" s="62"/>
    </row>
    <row r="1453" spans="41:41" x14ac:dyDescent="0.3">
      <c r="AO1453" s="62"/>
    </row>
    <row r="1454" spans="41:41" x14ac:dyDescent="0.3">
      <c r="AO1454" s="62"/>
    </row>
    <row r="1455" spans="41:41" x14ac:dyDescent="0.3">
      <c r="AO1455" s="62"/>
    </row>
    <row r="1456" spans="41:41" x14ac:dyDescent="0.3">
      <c r="AO1456" s="62"/>
    </row>
    <row r="1457" spans="41:41" x14ac:dyDescent="0.3">
      <c r="AO1457" s="62"/>
    </row>
    <row r="1458" spans="41:41" x14ac:dyDescent="0.3">
      <c r="AO1458" s="62"/>
    </row>
    <row r="1459" spans="41:41" x14ac:dyDescent="0.3">
      <c r="AO1459" s="62"/>
    </row>
    <row r="1460" spans="41:41" x14ac:dyDescent="0.3">
      <c r="AO1460" s="62"/>
    </row>
    <row r="1461" spans="41:41" x14ac:dyDescent="0.3">
      <c r="AO1461" s="62"/>
    </row>
    <row r="1462" spans="41:41" x14ac:dyDescent="0.3">
      <c r="AO1462" s="62"/>
    </row>
    <row r="1463" spans="41:41" x14ac:dyDescent="0.3">
      <c r="AO1463" s="62"/>
    </row>
    <row r="1464" spans="41:41" x14ac:dyDescent="0.3">
      <c r="AO1464" s="62"/>
    </row>
    <row r="1465" spans="41:41" x14ac:dyDescent="0.3">
      <c r="AO1465" s="62"/>
    </row>
    <row r="1466" spans="41:41" x14ac:dyDescent="0.3">
      <c r="AO1466" s="62"/>
    </row>
    <row r="1467" spans="41:41" x14ac:dyDescent="0.3">
      <c r="AO1467" s="62"/>
    </row>
    <row r="1468" spans="41:41" x14ac:dyDescent="0.3">
      <c r="AO1468" s="62"/>
    </row>
    <row r="1469" spans="41:41" x14ac:dyDescent="0.3">
      <c r="AO1469" s="62"/>
    </row>
    <row r="1470" spans="41:41" x14ac:dyDescent="0.3">
      <c r="AO1470" s="62"/>
    </row>
    <row r="1471" spans="41:41" x14ac:dyDescent="0.3">
      <c r="AO1471" s="62"/>
    </row>
    <row r="1472" spans="41:41" x14ac:dyDescent="0.3">
      <c r="AO1472" s="62"/>
    </row>
    <row r="1473" spans="41:41" x14ac:dyDescent="0.3">
      <c r="AO1473" s="62"/>
    </row>
    <row r="1474" spans="41:41" x14ac:dyDescent="0.3">
      <c r="AO1474" s="62"/>
    </row>
    <row r="1475" spans="41:41" x14ac:dyDescent="0.3">
      <c r="AO1475" s="62"/>
    </row>
    <row r="1476" spans="41:41" x14ac:dyDescent="0.3">
      <c r="AO1476" s="62"/>
    </row>
    <row r="1477" spans="41:41" x14ac:dyDescent="0.3">
      <c r="AO1477" s="62"/>
    </row>
    <row r="1478" spans="41:41" x14ac:dyDescent="0.3">
      <c r="AO1478" s="62"/>
    </row>
    <row r="1479" spans="41:41" x14ac:dyDescent="0.3">
      <c r="AO1479" s="62"/>
    </row>
    <row r="1480" spans="41:41" x14ac:dyDescent="0.3">
      <c r="AO1480" s="62"/>
    </row>
    <row r="1481" spans="41:41" x14ac:dyDescent="0.3">
      <c r="AO1481" s="62"/>
    </row>
    <row r="1482" spans="41:41" x14ac:dyDescent="0.3">
      <c r="AO1482" s="62"/>
    </row>
    <row r="1483" spans="41:41" x14ac:dyDescent="0.3">
      <c r="AO1483" s="62"/>
    </row>
    <row r="1484" spans="41:41" x14ac:dyDescent="0.3">
      <c r="AO1484" s="62"/>
    </row>
    <row r="1485" spans="41:41" x14ac:dyDescent="0.3">
      <c r="AO1485" s="62"/>
    </row>
    <row r="1486" spans="41:41" x14ac:dyDescent="0.3">
      <c r="AO1486" s="62"/>
    </row>
    <row r="1487" spans="41:41" x14ac:dyDescent="0.3">
      <c r="AO1487" s="62"/>
    </row>
    <row r="1488" spans="41:41" x14ac:dyDescent="0.3">
      <c r="AO1488" s="62"/>
    </row>
    <row r="1489" spans="41:41" x14ac:dyDescent="0.3">
      <c r="AO1489" s="62"/>
    </row>
    <row r="1490" spans="41:41" x14ac:dyDescent="0.3">
      <c r="AO1490" s="62"/>
    </row>
    <row r="1491" spans="41:41" x14ac:dyDescent="0.3">
      <c r="AO1491" s="62"/>
    </row>
    <row r="1492" spans="41:41" x14ac:dyDescent="0.3">
      <c r="AO1492" s="62"/>
    </row>
    <row r="1493" spans="41:41" x14ac:dyDescent="0.3">
      <c r="AO1493" s="62"/>
    </row>
    <row r="1494" spans="41:41" x14ac:dyDescent="0.3">
      <c r="AO1494" s="62"/>
    </row>
    <row r="1495" spans="41:41" x14ac:dyDescent="0.3">
      <c r="AO1495" s="62"/>
    </row>
    <row r="1496" spans="41:41" x14ac:dyDescent="0.3">
      <c r="AO1496" s="62"/>
    </row>
    <row r="1497" spans="41:41" x14ac:dyDescent="0.3">
      <c r="AO1497" s="62"/>
    </row>
    <row r="1498" spans="41:41" x14ac:dyDescent="0.3">
      <c r="AO1498" s="62"/>
    </row>
    <row r="1499" spans="41:41" x14ac:dyDescent="0.3">
      <c r="AO1499" s="62"/>
    </row>
    <row r="1500" spans="41:41" x14ac:dyDescent="0.3">
      <c r="AO1500" s="62"/>
    </row>
    <row r="1501" spans="41:41" x14ac:dyDescent="0.3">
      <c r="AO1501" s="62"/>
    </row>
    <row r="1502" spans="41:41" x14ac:dyDescent="0.3">
      <c r="AO1502" s="62"/>
    </row>
    <row r="1503" spans="41:41" x14ac:dyDescent="0.3">
      <c r="AO1503" s="62"/>
    </row>
    <row r="1504" spans="41:41" x14ac:dyDescent="0.3">
      <c r="AO1504" s="62"/>
    </row>
    <row r="1505" spans="41:41" x14ac:dyDescent="0.3">
      <c r="AO1505" s="62"/>
    </row>
    <row r="1506" spans="41:41" x14ac:dyDescent="0.3">
      <c r="AO1506" s="62"/>
    </row>
    <row r="1507" spans="41:41" x14ac:dyDescent="0.3">
      <c r="AO1507" s="62"/>
    </row>
    <row r="1508" spans="41:41" x14ac:dyDescent="0.3">
      <c r="AO1508" s="62"/>
    </row>
    <row r="1509" spans="41:41" x14ac:dyDescent="0.3">
      <c r="AO1509" s="62"/>
    </row>
    <row r="1510" spans="41:41" x14ac:dyDescent="0.3">
      <c r="AO1510" s="62"/>
    </row>
    <row r="1511" spans="41:41" x14ac:dyDescent="0.3">
      <c r="AO1511" s="62"/>
    </row>
    <row r="1512" spans="41:41" x14ac:dyDescent="0.3">
      <c r="AO1512" s="62"/>
    </row>
    <row r="1513" spans="41:41" x14ac:dyDescent="0.3">
      <c r="AO1513" s="62"/>
    </row>
    <row r="1514" spans="41:41" x14ac:dyDescent="0.3">
      <c r="AO1514" s="62"/>
    </row>
    <row r="1515" spans="41:41" x14ac:dyDescent="0.3">
      <c r="AO1515" s="62"/>
    </row>
    <row r="1516" spans="41:41" x14ac:dyDescent="0.3">
      <c r="AO1516" s="62"/>
    </row>
    <row r="1517" spans="41:41" x14ac:dyDescent="0.3">
      <c r="AO1517" s="62"/>
    </row>
    <row r="1518" spans="41:41" x14ac:dyDescent="0.3">
      <c r="AO1518" s="62"/>
    </row>
    <row r="1519" spans="41:41" x14ac:dyDescent="0.3">
      <c r="AO1519" s="62"/>
    </row>
    <row r="1520" spans="41:41" x14ac:dyDescent="0.3">
      <c r="AO1520" s="62"/>
    </row>
    <row r="1521" spans="41:41" x14ac:dyDescent="0.3">
      <c r="AO1521" s="62"/>
    </row>
    <row r="1522" spans="41:41" x14ac:dyDescent="0.3">
      <c r="AO1522" s="62"/>
    </row>
    <row r="1523" spans="41:41" x14ac:dyDescent="0.3">
      <c r="AO1523" s="62"/>
    </row>
    <row r="1524" spans="41:41" x14ac:dyDescent="0.3">
      <c r="AO1524" s="62"/>
    </row>
    <row r="1525" spans="41:41" x14ac:dyDescent="0.3">
      <c r="AO1525" s="62"/>
    </row>
    <row r="1526" spans="41:41" x14ac:dyDescent="0.3">
      <c r="AO1526" s="62"/>
    </row>
    <row r="1527" spans="41:41" x14ac:dyDescent="0.3">
      <c r="AO1527" s="62"/>
    </row>
    <row r="1528" spans="41:41" x14ac:dyDescent="0.3">
      <c r="AO1528" s="62"/>
    </row>
    <row r="1529" spans="41:41" x14ac:dyDescent="0.3">
      <c r="AO1529" s="62"/>
    </row>
    <row r="1530" spans="41:41" x14ac:dyDescent="0.3">
      <c r="AO1530" s="62"/>
    </row>
    <row r="1531" spans="41:41" x14ac:dyDescent="0.3">
      <c r="AO1531" s="62"/>
    </row>
    <row r="1532" spans="41:41" x14ac:dyDescent="0.3">
      <c r="AO1532" s="62"/>
    </row>
    <row r="1533" spans="41:41" x14ac:dyDescent="0.3">
      <c r="AO1533" s="62"/>
    </row>
    <row r="1534" spans="41:41" x14ac:dyDescent="0.3">
      <c r="AO1534" s="62"/>
    </row>
    <row r="1535" spans="41:41" x14ac:dyDescent="0.3">
      <c r="AO1535" s="62"/>
    </row>
    <row r="1536" spans="41:41" x14ac:dyDescent="0.3">
      <c r="AO1536" s="62"/>
    </row>
    <row r="1537" spans="41:41" x14ac:dyDescent="0.3">
      <c r="AO1537" s="62"/>
    </row>
    <row r="1538" spans="41:41" x14ac:dyDescent="0.3">
      <c r="AO1538" s="62"/>
    </row>
    <row r="1539" spans="41:41" x14ac:dyDescent="0.3">
      <c r="AO1539" s="62"/>
    </row>
    <row r="1540" spans="41:41" x14ac:dyDescent="0.3">
      <c r="AO1540" s="62"/>
    </row>
    <row r="1541" spans="41:41" x14ac:dyDescent="0.3">
      <c r="AO1541" s="62"/>
    </row>
    <row r="1542" spans="41:41" x14ac:dyDescent="0.3">
      <c r="AO1542" s="62"/>
    </row>
    <row r="1543" spans="41:41" x14ac:dyDescent="0.3">
      <c r="AO1543" s="62"/>
    </row>
    <row r="1544" spans="41:41" x14ac:dyDescent="0.3">
      <c r="AO1544" s="62"/>
    </row>
    <row r="1545" spans="41:41" x14ac:dyDescent="0.3">
      <c r="AO1545" s="62"/>
    </row>
    <row r="1546" spans="41:41" x14ac:dyDescent="0.3">
      <c r="AO1546" s="62"/>
    </row>
    <row r="1547" spans="41:41" x14ac:dyDescent="0.3">
      <c r="AO1547" s="62"/>
    </row>
    <row r="1548" spans="41:41" x14ac:dyDescent="0.3">
      <c r="AO1548" s="62"/>
    </row>
    <row r="1549" spans="41:41" x14ac:dyDescent="0.3">
      <c r="AO1549" s="62"/>
    </row>
    <row r="1550" spans="41:41" x14ac:dyDescent="0.3">
      <c r="AO1550" s="62"/>
    </row>
    <row r="1551" spans="41:41" x14ac:dyDescent="0.3">
      <c r="AO1551" s="62"/>
    </row>
    <row r="1552" spans="41:41" x14ac:dyDescent="0.3">
      <c r="AO1552" s="62"/>
    </row>
    <row r="1553" spans="41:41" x14ac:dyDescent="0.3">
      <c r="AO1553" s="62"/>
    </row>
    <row r="1554" spans="41:41" x14ac:dyDescent="0.3">
      <c r="AO1554" s="62"/>
    </row>
    <row r="1555" spans="41:41" x14ac:dyDescent="0.3">
      <c r="AO1555" s="62"/>
    </row>
    <row r="1556" spans="41:41" x14ac:dyDescent="0.3">
      <c r="AO1556" s="62"/>
    </row>
    <row r="1557" spans="41:41" x14ac:dyDescent="0.3">
      <c r="AO1557" s="62"/>
    </row>
    <row r="1558" spans="41:41" x14ac:dyDescent="0.3">
      <c r="AO1558" s="62"/>
    </row>
    <row r="1559" spans="41:41" x14ac:dyDescent="0.3">
      <c r="AO1559" s="62"/>
    </row>
    <row r="1560" spans="41:41" x14ac:dyDescent="0.3">
      <c r="AO1560" s="62"/>
    </row>
    <row r="1561" spans="41:41" x14ac:dyDescent="0.3">
      <c r="AO1561" s="62"/>
    </row>
    <row r="1562" spans="41:41" x14ac:dyDescent="0.3">
      <c r="AO1562" s="62"/>
    </row>
    <row r="1563" spans="41:41" x14ac:dyDescent="0.3">
      <c r="AO1563" s="62"/>
    </row>
    <row r="1564" spans="41:41" x14ac:dyDescent="0.3">
      <c r="AO1564" s="62"/>
    </row>
    <row r="1565" spans="41:41" x14ac:dyDescent="0.3">
      <c r="AO1565" s="62"/>
    </row>
    <row r="1566" spans="41:41" x14ac:dyDescent="0.3">
      <c r="AO1566" s="62"/>
    </row>
    <row r="1567" spans="41:41" x14ac:dyDescent="0.3">
      <c r="AO1567" s="62"/>
    </row>
    <row r="1568" spans="41:41" x14ac:dyDescent="0.3">
      <c r="AO1568" s="62"/>
    </row>
    <row r="1569" spans="41:41" x14ac:dyDescent="0.3">
      <c r="AO1569" s="62"/>
    </row>
    <row r="1570" spans="41:41" x14ac:dyDescent="0.3">
      <c r="AO1570" s="62"/>
    </row>
    <row r="1571" spans="41:41" x14ac:dyDescent="0.3">
      <c r="AO1571" s="62"/>
    </row>
    <row r="1572" spans="41:41" x14ac:dyDescent="0.3">
      <c r="AO1572" s="62"/>
    </row>
    <row r="1573" spans="41:41" x14ac:dyDescent="0.3">
      <c r="AO1573" s="62"/>
    </row>
    <row r="1574" spans="41:41" x14ac:dyDescent="0.3">
      <c r="AO1574" s="62"/>
    </row>
    <row r="1575" spans="41:41" x14ac:dyDescent="0.3">
      <c r="AO1575" s="62"/>
    </row>
    <row r="1576" spans="41:41" x14ac:dyDescent="0.3">
      <c r="AO1576" s="62"/>
    </row>
    <row r="1577" spans="41:41" x14ac:dyDescent="0.3">
      <c r="AO1577" s="62"/>
    </row>
    <row r="1578" spans="41:41" x14ac:dyDescent="0.3">
      <c r="AO1578" s="62"/>
    </row>
    <row r="1579" spans="41:41" x14ac:dyDescent="0.3">
      <c r="AO1579" s="62"/>
    </row>
    <row r="1580" spans="41:41" x14ac:dyDescent="0.3">
      <c r="AO1580" s="62"/>
    </row>
    <row r="1581" spans="41:41" x14ac:dyDescent="0.3">
      <c r="AO1581" s="62"/>
    </row>
    <row r="1582" spans="41:41" x14ac:dyDescent="0.3">
      <c r="AO1582" s="62"/>
    </row>
    <row r="1583" spans="41:41" x14ac:dyDescent="0.3">
      <c r="AO1583" s="62"/>
    </row>
    <row r="1584" spans="41:41" x14ac:dyDescent="0.3">
      <c r="AO1584" s="62"/>
    </row>
    <row r="1585" spans="41:41" x14ac:dyDescent="0.3">
      <c r="AO1585" s="62"/>
    </row>
    <row r="1586" spans="41:41" x14ac:dyDescent="0.3">
      <c r="AO1586" s="62"/>
    </row>
    <row r="1587" spans="41:41" x14ac:dyDescent="0.3">
      <c r="AO1587" s="62"/>
    </row>
    <row r="1588" spans="41:41" x14ac:dyDescent="0.3">
      <c r="AO1588" s="62"/>
    </row>
    <row r="1589" spans="41:41" x14ac:dyDescent="0.3">
      <c r="AO1589" s="62"/>
    </row>
    <row r="1590" spans="41:41" x14ac:dyDescent="0.3">
      <c r="AO1590" s="62"/>
    </row>
    <row r="1591" spans="41:41" x14ac:dyDescent="0.3">
      <c r="AO1591" s="62"/>
    </row>
    <row r="1592" spans="41:41" x14ac:dyDescent="0.3">
      <c r="AO1592" s="62"/>
    </row>
    <row r="1593" spans="41:41" x14ac:dyDescent="0.3">
      <c r="AO1593" s="62"/>
    </row>
    <row r="1594" spans="41:41" x14ac:dyDescent="0.3">
      <c r="AO1594" s="62"/>
    </row>
    <row r="1595" spans="41:41" x14ac:dyDescent="0.3">
      <c r="AO1595" s="62"/>
    </row>
    <row r="1596" spans="41:41" x14ac:dyDescent="0.3">
      <c r="AO1596" s="62"/>
    </row>
    <row r="1597" spans="41:41" x14ac:dyDescent="0.3">
      <c r="AO1597" s="62"/>
    </row>
    <row r="1598" spans="41:41" x14ac:dyDescent="0.3">
      <c r="AO1598" s="62"/>
    </row>
    <row r="1599" spans="41:41" x14ac:dyDescent="0.3">
      <c r="AO1599" s="62"/>
    </row>
    <row r="1600" spans="41:41" x14ac:dyDescent="0.3">
      <c r="AO1600" s="62"/>
    </row>
    <row r="1601" spans="41:41" x14ac:dyDescent="0.3">
      <c r="AO1601" s="62"/>
    </row>
    <row r="1602" spans="41:41" x14ac:dyDescent="0.3">
      <c r="AO1602" s="62"/>
    </row>
    <row r="1603" spans="41:41" x14ac:dyDescent="0.3">
      <c r="AO1603" s="62"/>
    </row>
    <row r="1604" spans="41:41" x14ac:dyDescent="0.3">
      <c r="AO1604" s="62"/>
    </row>
    <row r="1605" spans="41:41" x14ac:dyDescent="0.3">
      <c r="AO1605" s="62"/>
    </row>
    <row r="1606" spans="41:41" x14ac:dyDescent="0.3">
      <c r="AO1606" s="62"/>
    </row>
    <row r="1607" spans="41:41" x14ac:dyDescent="0.3">
      <c r="AO1607" s="62"/>
    </row>
    <row r="1608" spans="41:41" x14ac:dyDescent="0.3">
      <c r="AO1608" s="62"/>
    </row>
    <row r="1609" spans="41:41" x14ac:dyDescent="0.3">
      <c r="AO1609" s="62"/>
    </row>
    <row r="1610" spans="41:41" x14ac:dyDescent="0.3">
      <c r="AO1610" s="62"/>
    </row>
    <row r="1611" spans="41:41" x14ac:dyDescent="0.3">
      <c r="AO1611" s="62"/>
    </row>
    <row r="1612" spans="41:41" x14ac:dyDescent="0.3">
      <c r="AO1612" s="62"/>
    </row>
    <row r="1613" spans="41:41" x14ac:dyDescent="0.3">
      <c r="AO1613" s="62"/>
    </row>
    <row r="1614" spans="41:41" x14ac:dyDescent="0.3">
      <c r="AO1614" s="62"/>
    </row>
    <row r="1615" spans="41:41" x14ac:dyDescent="0.3">
      <c r="AO1615" s="62"/>
    </row>
    <row r="1616" spans="41:41" x14ac:dyDescent="0.3">
      <c r="AO1616" s="62"/>
    </row>
    <row r="1617" spans="41:41" x14ac:dyDescent="0.3">
      <c r="AO1617" s="62"/>
    </row>
    <row r="1618" spans="41:41" x14ac:dyDescent="0.3">
      <c r="AO1618" s="62"/>
    </row>
    <row r="1619" spans="41:41" x14ac:dyDescent="0.3">
      <c r="AO1619" s="62"/>
    </row>
    <row r="1620" spans="41:41" x14ac:dyDescent="0.3">
      <c r="AO1620" s="62"/>
    </row>
    <row r="1621" spans="41:41" x14ac:dyDescent="0.3">
      <c r="AO1621" s="62"/>
    </row>
    <row r="1622" spans="41:41" x14ac:dyDescent="0.3">
      <c r="AO1622" s="62"/>
    </row>
    <row r="1623" spans="41:41" x14ac:dyDescent="0.3">
      <c r="AO1623" s="62"/>
    </row>
    <row r="1624" spans="41:41" x14ac:dyDescent="0.3">
      <c r="AO1624" s="62"/>
    </row>
    <row r="1625" spans="41:41" x14ac:dyDescent="0.3">
      <c r="AO1625" s="62"/>
    </row>
    <row r="1626" spans="41:41" x14ac:dyDescent="0.3">
      <c r="AO1626" s="62"/>
    </row>
    <row r="1627" spans="41:41" x14ac:dyDescent="0.3">
      <c r="AO1627" s="62"/>
    </row>
    <row r="1628" spans="41:41" x14ac:dyDescent="0.3">
      <c r="AO1628" s="62"/>
    </row>
    <row r="1629" spans="41:41" x14ac:dyDescent="0.3">
      <c r="AO1629" s="62"/>
    </row>
    <row r="1630" spans="41:41" x14ac:dyDescent="0.3">
      <c r="AO1630" s="62"/>
    </row>
    <row r="1631" spans="41:41" x14ac:dyDescent="0.3">
      <c r="AO1631" s="62"/>
    </row>
    <row r="1632" spans="41:41" x14ac:dyDescent="0.3">
      <c r="AO1632" s="62"/>
    </row>
    <row r="1633" spans="41:41" x14ac:dyDescent="0.3">
      <c r="AO1633" s="62"/>
    </row>
    <row r="1634" spans="41:41" x14ac:dyDescent="0.3">
      <c r="AO1634" s="62"/>
    </row>
    <row r="1635" spans="41:41" x14ac:dyDescent="0.3">
      <c r="AO1635" s="62"/>
    </row>
    <row r="1636" spans="41:41" x14ac:dyDescent="0.3">
      <c r="AO1636" s="62"/>
    </row>
    <row r="1637" spans="41:41" x14ac:dyDescent="0.3">
      <c r="AO1637" s="62"/>
    </row>
    <row r="1638" spans="41:41" x14ac:dyDescent="0.3">
      <c r="AO1638" s="62"/>
    </row>
    <row r="1639" spans="41:41" x14ac:dyDescent="0.3">
      <c r="AO1639" s="62"/>
    </row>
    <row r="1640" spans="41:41" x14ac:dyDescent="0.3">
      <c r="AO1640" s="62"/>
    </row>
    <row r="1641" spans="41:41" x14ac:dyDescent="0.3">
      <c r="AO1641" s="62"/>
    </row>
    <row r="1642" spans="41:41" x14ac:dyDescent="0.3">
      <c r="AO1642" s="62"/>
    </row>
    <row r="1643" spans="41:41" x14ac:dyDescent="0.3">
      <c r="AO1643" s="62"/>
    </row>
    <row r="1644" spans="41:41" x14ac:dyDescent="0.3">
      <c r="AO1644" s="62"/>
    </row>
    <row r="1645" spans="41:41" x14ac:dyDescent="0.3">
      <c r="AO1645" s="62"/>
    </row>
    <row r="1646" spans="41:41" x14ac:dyDescent="0.3">
      <c r="AO1646" s="62"/>
    </row>
    <row r="1647" spans="41:41" x14ac:dyDescent="0.3">
      <c r="AO1647" s="62"/>
    </row>
    <row r="1648" spans="41:41" x14ac:dyDescent="0.3">
      <c r="AO1648" s="62"/>
    </row>
    <row r="1649" spans="41:41" x14ac:dyDescent="0.3">
      <c r="AO1649" s="62"/>
    </row>
    <row r="1650" spans="41:41" x14ac:dyDescent="0.3">
      <c r="AO1650" s="62"/>
    </row>
    <row r="1651" spans="41:41" x14ac:dyDescent="0.3">
      <c r="AO1651" s="62"/>
    </row>
    <row r="1652" spans="41:41" x14ac:dyDescent="0.3">
      <c r="AO1652" s="62"/>
    </row>
    <row r="1653" spans="41:41" x14ac:dyDescent="0.3">
      <c r="AO1653" s="62"/>
    </row>
    <row r="1654" spans="41:41" x14ac:dyDescent="0.3">
      <c r="AO1654" s="62"/>
    </row>
    <row r="1655" spans="41:41" x14ac:dyDescent="0.3">
      <c r="AO1655" s="62"/>
    </row>
    <row r="1656" spans="41:41" x14ac:dyDescent="0.3">
      <c r="AO1656" s="62"/>
    </row>
    <row r="1657" spans="41:41" x14ac:dyDescent="0.3">
      <c r="AO1657" s="62"/>
    </row>
    <row r="1658" spans="41:41" x14ac:dyDescent="0.3">
      <c r="AO1658" s="62"/>
    </row>
    <row r="1659" spans="41:41" x14ac:dyDescent="0.3">
      <c r="AO1659" s="62"/>
    </row>
    <row r="1660" spans="41:41" x14ac:dyDescent="0.3">
      <c r="AO1660" s="62"/>
    </row>
    <row r="1661" spans="41:41" x14ac:dyDescent="0.3">
      <c r="AO1661" s="62"/>
    </row>
    <row r="1662" spans="41:41" x14ac:dyDescent="0.3">
      <c r="AO1662" s="62"/>
    </row>
    <row r="1663" spans="41:41" x14ac:dyDescent="0.3">
      <c r="AO1663" s="62"/>
    </row>
    <row r="1664" spans="41:41" x14ac:dyDescent="0.3">
      <c r="AO1664" s="62"/>
    </row>
    <row r="1665" spans="41:41" x14ac:dyDescent="0.3">
      <c r="AO1665" s="62"/>
    </row>
    <row r="1666" spans="41:41" x14ac:dyDescent="0.3">
      <c r="AO1666" s="62"/>
    </row>
    <row r="1667" spans="41:41" x14ac:dyDescent="0.3">
      <c r="AO1667" s="62"/>
    </row>
    <row r="1668" spans="41:41" x14ac:dyDescent="0.3">
      <c r="AO1668" s="62"/>
    </row>
    <row r="1669" spans="41:41" x14ac:dyDescent="0.3">
      <c r="AO1669" s="62"/>
    </row>
    <row r="1670" spans="41:41" x14ac:dyDescent="0.3">
      <c r="AO1670" s="62"/>
    </row>
    <row r="1671" spans="41:41" x14ac:dyDescent="0.3">
      <c r="AO1671" s="62"/>
    </row>
    <row r="1672" spans="41:41" x14ac:dyDescent="0.3">
      <c r="AO1672" s="62"/>
    </row>
    <row r="1673" spans="41:41" x14ac:dyDescent="0.3">
      <c r="AO1673" s="62"/>
    </row>
    <row r="1674" spans="41:41" x14ac:dyDescent="0.3">
      <c r="AO1674" s="62"/>
    </row>
    <row r="1675" spans="41:41" x14ac:dyDescent="0.3">
      <c r="AO1675" s="62"/>
    </row>
    <row r="1676" spans="41:41" x14ac:dyDescent="0.3">
      <c r="AO1676" s="62"/>
    </row>
    <row r="1677" spans="41:41" x14ac:dyDescent="0.3">
      <c r="AO1677" s="62"/>
    </row>
    <row r="1678" spans="41:41" x14ac:dyDescent="0.3">
      <c r="AO1678" s="62"/>
    </row>
    <row r="1679" spans="41:41" x14ac:dyDescent="0.3">
      <c r="AO1679" s="62"/>
    </row>
    <row r="1680" spans="41:41" x14ac:dyDescent="0.3">
      <c r="AO1680" s="62"/>
    </row>
    <row r="1681" spans="41:41" x14ac:dyDescent="0.3">
      <c r="AO1681" s="62"/>
    </row>
    <row r="1682" spans="41:41" x14ac:dyDescent="0.3">
      <c r="AO1682" s="62"/>
    </row>
    <row r="1683" spans="41:41" x14ac:dyDescent="0.3">
      <c r="AO1683" s="62"/>
    </row>
    <row r="1684" spans="41:41" x14ac:dyDescent="0.3">
      <c r="AO1684" s="62"/>
    </row>
    <row r="1685" spans="41:41" x14ac:dyDescent="0.3">
      <c r="AO1685" s="62"/>
    </row>
    <row r="1686" spans="41:41" x14ac:dyDescent="0.3">
      <c r="AO1686" s="62"/>
    </row>
    <row r="1687" spans="41:41" x14ac:dyDescent="0.3">
      <c r="AO1687" s="62"/>
    </row>
    <row r="1688" spans="41:41" x14ac:dyDescent="0.3">
      <c r="AO1688" s="62"/>
    </row>
    <row r="1689" spans="41:41" x14ac:dyDescent="0.3">
      <c r="AO1689" s="62"/>
    </row>
    <row r="1690" spans="41:41" x14ac:dyDescent="0.3">
      <c r="AO1690" s="62"/>
    </row>
    <row r="1691" spans="41:41" x14ac:dyDescent="0.3">
      <c r="AO1691" s="62"/>
    </row>
    <row r="1692" spans="41:41" x14ac:dyDescent="0.3">
      <c r="AO1692" s="62"/>
    </row>
    <row r="1693" spans="41:41" x14ac:dyDescent="0.3">
      <c r="AO1693" s="62"/>
    </row>
    <row r="1694" spans="41:41" x14ac:dyDescent="0.3">
      <c r="AO1694" s="62"/>
    </row>
    <row r="1695" spans="41:41" x14ac:dyDescent="0.3">
      <c r="AO1695" s="62"/>
    </row>
    <row r="1696" spans="41:41" x14ac:dyDescent="0.3">
      <c r="AO1696" s="62"/>
    </row>
    <row r="1697" spans="41:41" x14ac:dyDescent="0.3">
      <c r="AO1697" s="62"/>
    </row>
    <row r="1698" spans="41:41" x14ac:dyDescent="0.3">
      <c r="AO1698" s="62"/>
    </row>
    <row r="1699" spans="41:41" x14ac:dyDescent="0.3">
      <c r="AO1699" s="62"/>
    </row>
    <row r="1700" spans="41:41" x14ac:dyDescent="0.3">
      <c r="AO1700" s="62"/>
    </row>
    <row r="1701" spans="41:41" x14ac:dyDescent="0.3">
      <c r="AO1701" s="62"/>
    </row>
    <row r="1702" spans="41:41" x14ac:dyDescent="0.3">
      <c r="AO1702" s="62"/>
    </row>
    <row r="1703" spans="41:41" x14ac:dyDescent="0.3">
      <c r="AO1703" s="62"/>
    </row>
    <row r="1704" spans="41:41" x14ac:dyDescent="0.3">
      <c r="AO1704" s="62"/>
    </row>
    <row r="1705" spans="41:41" x14ac:dyDescent="0.3">
      <c r="AO1705" s="62"/>
    </row>
    <row r="1706" spans="41:41" x14ac:dyDescent="0.3">
      <c r="AO1706" s="62"/>
    </row>
    <row r="1707" spans="41:41" x14ac:dyDescent="0.3">
      <c r="AO1707" s="62"/>
    </row>
    <row r="1708" spans="41:41" x14ac:dyDescent="0.3">
      <c r="AO1708" s="62"/>
    </row>
    <row r="1709" spans="41:41" x14ac:dyDescent="0.3">
      <c r="AO1709" s="62"/>
    </row>
    <row r="1710" spans="41:41" x14ac:dyDescent="0.3">
      <c r="AO1710" s="62"/>
    </row>
    <row r="1711" spans="41:41" x14ac:dyDescent="0.3">
      <c r="AO1711" s="62"/>
    </row>
    <row r="1712" spans="41:41" x14ac:dyDescent="0.3">
      <c r="AO1712" s="62"/>
    </row>
    <row r="1713" spans="41:41" x14ac:dyDescent="0.3">
      <c r="AO1713" s="62"/>
    </row>
    <row r="1714" spans="41:41" x14ac:dyDescent="0.3">
      <c r="AO1714" s="62"/>
    </row>
    <row r="1715" spans="41:41" x14ac:dyDescent="0.3">
      <c r="AO1715" s="62"/>
    </row>
    <row r="1716" spans="41:41" x14ac:dyDescent="0.3">
      <c r="AO1716" s="62"/>
    </row>
    <row r="1717" spans="41:41" x14ac:dyDescent="0.3">
      <c r="AO1717" s="62"/>
    </row>
    <row r="1718" spans="41:41" x14ac:dyDescent="0.3">
      <c r="AO1718" s="62"/>
    </row>
    <row r="1719" spans="41:41" x14ac:dyDescent="0.3">
      <c r="AO1719" s="62"/>
    </row>
    <row r="1720" spans="41:41" x14ac:dyDescent="0.3">
      <c r="AO1720" s="62"/>
    </row>
    <row r="1721" spans="41:41" x14ac:dyDescent="0.3">
      <c r="AO1721" s="62"/>
    </row>
    <row r="1722" spans="41:41" x14ac:dyDescent="0.3">
      <c r="AO1722" s="62"/>
    </row>
    <row r="1723" spans="41:41" x14ac:dyDescent="0.3">
      <c r="AO1723" s="62"/>
    </row>
    <row r="1724" spans="41:41" x14ac:dyDescent="0.3">
      <c r="AO1724" s="62"/>
    </row>
    <row r="1725" spans="41:41" x14ac:dyDescent="0.3">
      <c r="AO1725" s="62"/>
    </row>
    <row r="1726" spans="41:41" x14ac:dyDescent="0.3">
      <c r="AO1726" s="62"/>
    </row>
    <row r="1727" spans="41:41" x14ac:dyDescent="0.3">
      <c r="AO1727" s="62"/>
    </row>
    <row r="1728" spans="41:41" x14ac:dyDescent="0.3">
      <c r="AO1728" s="62"/>
    </row>
    <row r="1729" spans="41:41" x14ac:dyDescent="0.3">
      <c r="AO1729" s="62"/>
    </row>
    <row r="1730" spans="41:41" x14ac:dyDescent="0.3">
      <c r="AO1730" s="62"/>
    </row>
    <row r="1731" spans="41:41" x14ac:dyDescent="0.3">
      <c r="AO1731" s="62"/>
    </row>
    <row r="1732" spans="41:41" x14ac:dyDescent="0.3">
      <c r="AO1732" s="62"/>
    </row>
    <row r="1733" spans="41:41" x14ac:dyDescent="0.3">
      <c r="AO1733" s="62"/>
    </row>
    <row r="1734" spans="41:41" x14ac:dyDescent="0.3">
      <c r="AO1734" s="62"/>
    </row>
    <row r="1735" spans="41:41" x14ac:dyDescent="0.3">
      <c r="AO1735" s="62"/>
    </row>
    <row r="1736" spans="41:41" x14ac:dyDescent="0.3">
      <c r="AO1736" s="62"/>
    </row>
    <row r="1737" spans="41:41" x14ac:dyDescent="0.3">
      <c r="AO1737" s="62"/>
    </row>
    <row r="1738" spans="41:41" x14ac:dyDescent="0.3">
      <c r="AO1738" s="62"/>
    </row>
    <row r="1739" spans="41:41" x14ac:dyDescent="0.3">
      <c r="AO1739" s="62"/>
    </row>
    <row r="1740" spans="41:41" x14ac:dyDescent="0.3">
      <c r="AO1740" s="62"/>
    </row>
    <row r="1741" spans="41:41" x14ac:dyDescent="0.3">
      <c r="AO1741" s="62"/>
    </row>
    <row r="1742" spans="41:41" x14ac:dyDescent="0.3">
      <c r="AO1742" s="62"/>
    </row>
    <row r="1743" spans="41:41" x14ac:dyDescent="0.3">
      <c r="AO1743" s="62"/>
    </row>
    <row r="1744" spans="41:41" x14ac:dyDescent="0.3">
      <c r="AO1744" s="62"/>
    </row>
    <row r="1745" spans="41:41" x14ac:dyDescent="0.3">
      <c r="AO1745" s="62"/>
    </row>
    <row r="1746" spans="41:41" x14ac:dyDescent="0.3">
      <c r="AO1746" s="62"/>
    </row>
    <row r="1747" spans="41:41" x14ac:dyDescent="0.3">
      <c r="AO1747" s="62"/>
    </row>
    <row r="1748" spans="41:41" x14ac:dyDescent="0.3">
      <c r="AO1748" s="62"/>
    </row>
    <row r="1749" spans="41:41" x14ac:dyDescent="0.3">
      <c r="AO1749" s="62"/>
    </row>
    <row r="1750" spans="41:41" x14ac:dyDescent="0.3">
      <c r="AO1750" s="62"/>
    </row>
    <row r="1751" spans="41:41" x14ac:dyDescent="0.3">
      <c r="AO1751" s="62"/>
    </row>
    <row r="1752" spans="41:41" x14ac:dyDescent="0.3">
      <c r="AO1752" s="62"/>
    </row>
    <row r="1753" spans="41:41" x14ac:dyDescent="0.3">
      <c r="AO1753" s="62"/>
    </row>
    <row r="1754" spans="41:41" x14ac:dyDescent="0.3">
      <c r="AO1754" s="62"/>
    </row>
  </sheetData>
  <sheetProtection algorithmName="SHA-512" hashValue="sAWNc4ZvVQtQR3oIqQ4bn8+qVbR+JXZOtmbTk4/Vxcw72zm2Ihs3b3FaS0R1Jt1Xo2P+yRsR4Gk4mQdbIvkgEA==" saltValue="AjEB6fGE/ubI/TJKv2wQTA==" spinCount="100000" sheet="1" objects="1" scenarios="1"/>
  <mergeCells count="820">
    <mergeCell ref="B107:C107"/>
    <mergeCell ref="E107:F107"/>
    <mergeCell ref="G107:H107"/>
    <mergeCell ref="G86:H86"/>
    <mergeCell ref="G87:H87"/>
    <mergeCell ref="G88:H88"/>
    <mergeCell ref="G89:H89"/>
    <mergeCell ref="G90:H90"/>
    <mergeCell ref="G91:H91"/>
    <mergeCell ref="G92:H92"/>
    <mergeCell ref="G93:H93"/>
    <mergeCell ref="G94:H94"/>
    <mergeCell ref="E86:F86"/>
    <mergeCell ref="E87:F87"/>
    <mergeCell ref="E88:F88"/>
    <mergeCell ref="E89:F89"/>
    <mergeCell ref="E90:F90"/>
    <mergeCell ref="E91:F91"/>
    <mergeCell ref="E92:F92"/>
    <mergeCell ref="E93:F93"/>
    <mergeCell ref="E94:F94"/>
    <mergeCell ref="E105:F105"/>
    <mergeCell ref="E106:F106"/>
    <mergeCell ref="G104:H104"/>
    <mergeCell ref="H109:I109"/>
    <mergeCell ref="H110:I110"/>
    <mergeCell ref="E77:F77"/>
    <mergeCell ref="E78:F78"/>
    <mergeCell ref="E79:F79"/>
    <mergeCell ref="E80:F80"/>
    <mergeCell ref="E81:F81"/>
    <mergeCell ref="E82:F82"/>
    <mergeCell ref="E83:F83"/>
    <mergeCell ref="E84:F84"/>
    <mergeCell ref="E85:F85"/>
    <mergeCell ref="G77:H77"/>
    <mergeCell ref="G78:H78"/>
    <mergeCell ref="G79:H79"/>
    <mergeCell ref="G80:H80"/>
    <mergeCell ref="G81:H81"/>
    <mergeCell ref="G82:H82"/>
    <mergeCell ref="G83:H83"/>
    <mergeCell ref="G84:H84"/>
    <mergeCell ref="G85:H85"/>
    <mergeCell ref="G105:H105"/>
    <mergeCell ref="G106:H106"/>
    <mergeCell ref="E99:F99"/>
    <mergeCell ref="E100:F100"/>
    <mergeCell ref="E101:F101"/>
    <mergeCell ref="E102:F102"/>
    <mergeCell ref="E103:F103"/>
    <mergeCell ref="G99:H99"/>
    <mergeCell ref="G100:H100"/>
    <mergeCell ref="G101:H101"/>
    <mergeCell ref="G102:H102"/>
    <mergeCell ref="G103:H103"/>
    <mergeCell ref="E104:F104"/>
    <mergeCell ref="E95:F95"/>
    <mergeCell ref="E96:F96"/>
    <mergeCell ref="E97:F97"/>
    <mergeCell ref="E98:F98"/>
    <mergeCell ref="G95:H95"/>
    <mergeCell ref="G96:H96"/>
    <mergeCell ref="G97:H97"/>
    <mergeCell ref="G98:H98"/>
    <mergeCell ref="B97:C97"/>
    <mergeCell ref="AC90:AD90"/>
    <mergeCell ref="AG90:AH90"/>
    <mergeCell ref="AI90:AJ90"/>
    <mergeCell ref="AL90:AM90"/>
    <mergeCell ref="AP90:AQ90"/>
    <mergeCell ref="AR90:AS90"/>
    <mergeCell ref="AC89:AD89"/>
    <mergeCell ref="AG89:AH89"/>
    <mergeCell ref="AI89:AJ89"/>
    <mergeCell ref="AL89:AM89"/>
    <mergeCell ref="AP89:AQ89"/>
    <mergeCell ref="AR89:AS89"/>
    <mergeCell ref="AL87:AM87"/>
    <mergeCell ref="AP87:AQ87"/>
    <mergeCell ref="AR87:AS87"/>
    <mergeCell ref="AC88:AD88"/>
    <mergeCell ref="AG88:AH88"/>
    <mergeCell ref="AI88:AJ88"/>
    <mergeCell ref="AL88:AM88"/>
    <mergeCell ref="AC87:AD87"/>
    <mergeCell ref="AG87:AH87"/>
    <mergeCell ref="AI87:AJ87"/>
    <mergeCell ref="AP88:AQ88"/>
    <mergeCell ref="AR88:AS88"/>
    <mergeCell ref="AC86:AD86"/>
    <mergeCell ref="AG86:AH86"/>
    <mergeCell ref="AI86:AJ86"/>
    <mergeCell ref="AL86:AM86"/>
    <mergeCell ref="AP86:AQ86"/>
    <mergeCell ref="AR86:AS86"/>
    <mergeCell ref="AC85:AD85"/>
    <mergeCell ref="AG85:AH85"/>
    <mergeCell ref="AI85:AJ85"/>
    <mergeCell ref="AL85:AM85"/>
    <mergeCell ref="AP85:AQ85"/>
    <mergeCell ref="AR85:AS85"/>
    <mergeCell ref="AC84:AD84"/>
    <mergeCell ref="AG84:AH84"/>
    <mergeCell ref="AI84:AJ84"/>
    <mergeCell ref="AL84:AM84"/>
    <mergeCell ref="AP84:AQ84"/>
    <mergeCell ref="AR84:AS84"/>
    <mergeCell ref="AR82:AS82"/>
    <mergeCell ref="AC83:AD83"/>
    <mergeCell ref="AG83:AH83"/>
    <mergeCell ref="AI83:AJ83"/>
    <mergeCell ref="AL83:AM83"/>
    <mergeCell ref="AP83:AQ83"/>
    <mergeCell ref="AR83:AS83"/>
    <mergeCell ref="AC82:AD82"/>
    <mergeCell ref="AG82:AH82"/>
    <mergeCell ref="AI82:AJ82"/>
    <mergeCell ref="AL82:AM82"/>
    <mergeCell ref="AP82:AQ82"/>
    <mergeCell ref="AC81:AD81"/>
    <mergeCell ref="AG81:AH81"/>
    <mergeCell ref="AI81:AJ81"/>
    <mergeCell ref="AL81:AM81"/>
    <mergeCell ref="AP81:AQ81"/>
    <mergeCell ref="AR81:AS81"/>
    <mergeCell ref="AC80:AD80"/>
    <mergeCell ref="AG80:AH80"/>
    <mergeCell ref="AI80:AJ80"/>
    <mergeCell ref="AL80:AM80"/>
    <mergeCell ref="AP80:AQ80"/>
    <mergeCell ref="AR80:AS80"/>
    <mergeCell ref="AC79:AD79"/>
    <mergeCell ref="AG79:AH79"/>
    <mergeCell ref="AI79:AJ79"/>
    <mergeCell ref="AL79:AM79"/>
    <mergeCell ref="AP79:AQ79"/>
    <mergeCell ref="AR79:AS79"/>
    <mergeCell ref="AC78:AD78"/>
    <mergeCell ref="AG78:AH78"/>
    <mergeCell ref="AI78:AJ78"/>
    <mergeCell ref="AL78:AM78"/>
    <mergeCell ref="AP78:AQ78"/>
    <mergeCell ref="AR78:AS78"/>
    <mergeCell ref="AC74:AD74"/>
    <mergeCell ref="AG74:AH74"/>
    <mergeCell ref="AI74:AJ74"/>
    <mergeCell ref="AC77:AD77"/>
    <mergeCell ref="AG77:AH77"/>
    <mergeCell ref="AI77:AJ77"/>
    <mergeCell ref="AL74:AM74"/>
    <mergeCell ref="AP74:AQ74"/>
    <mergeCell ref="AR74:AS74"/>
    <mergeCell ref="AL77:AM77"/>
    <mergeCell ref="AP77:AQ77"/>
    <mergeCell ref="AR77:AS77"/>
    <mergeCell ref="AL75:AM75"/>
    <mergeCell ref="AP75:AQ75"/>
    <mergeCell ref="AR75:AS75"/>
    <mergeCell ref="AC76:AD76"/>
    <mergeCell ref="AG76:AH76"/>
    <mergeCell ref="AI76:AJ76"/>
    <mergeCell ref="AL76:AM76"/>
    <mergeCell ref="AP76:AQ76"/>
    <mergeCell ref="AR76:AS76"/>
    <mergeCell ref="AC75:AD75"/>
    <mergeCell ref="AG75:AH75"/>
    <mergeCell ref="AI75:AJ75"/>
    <mergeCell ref="AC73:AD73"/>
    <mergeCell ref="AG73:AH73"/>
    <mergeCell ref="AI73:AJ73"/>
    <mergeCell ref="AL73:AM73"/>
    <mergeCell ref="AP73:AQ73"/>
    <mergeCell ref="AR73:AS73"/>
    <mergeCell ref="AR71:AS71"/>
    <mergeCell ref="AC72:AD72"/>
    <mergeCell ref="AG72:AH72"/>
    <mergeCell ref="AI72:AJ72"/>
    <mergeCell ref="AL72:AM72"/>
    <mergeCell ref="AP72:AQ72"/>
    <mergeCell ref="AR72:AS72"/>
    <mergeCell ref="AC71:AD71"/>
    <mergeCell ref="AG71:AH71"/>
    <mergeCell ref="AI71:AJ71"/>
    <mergeCell ref="AL71:AM71"/>
    <mergeCell ref="AP71:AQ71"/>
    <mergeCell ref="AC70:AD70"/>
    <mergeCell ref="AG70:AH70"/>
    <mergeCell ref="AI70:AJ70"/>
    <mergeCell ref="AL70:AM70"/>
    <mergeCell ref="AP70:AQ70"/>
    <mergeCell ref="AR70:AS70"/>
    <mergeCell ref="AR68:AS68"/>
    <mergeCell ref="AC69:AD69"/>
    <mergeCell ref="AG69:AH69"/>
    <mergeCell ref="AI69:AJ69"/>
    <mergeCell ref="AL69:AM69"/>
    <mergeCell ref="AP69:AQ69"/>
    <mergeCell ref="AR69:AS69"/>
    <mergeCell ref="AL67:AM67"/>
    <mergeCell ref="AP67:AQ67"/>
    <mergeCell ref="AR67:AS67"/>
    <mergeCell ref="AC68:AD68"/>
    <mergeCell ref="AG68:AH68"/>
    <mergeCell ref="AI68:AJ68"/>
    <mergeCell ref="AL68:AM68"/>
    <mergeCell ref="AP68:AQ68"/>
    <mergeCell ref="AC67:AD67"/>
    <mergeCell ref="AG67:AH67"/>
    <mergeCell ref="AI67:AJ67"/>
    <mergeCell ref="AP65:AQ65"/>
    <mergeCell ref="AR65:AS65"/>
    <mergeCell ref="AC66:AD66"/>
    <mergeCell ref="AG66:AH66"/>
    <mergeCell ref="AI66:AJ66"/>
    <mergeCell ref="AL66:AM66"/>
    <mergeCell ref="AP66:AQ66"/>
    <mergeCell ref="AR66:AS66"/>
    <mergeCell ref="AC65:AD65"/>
    <mergeCell ref="AG65:AH65"/>
    <mergeCell ref="AI65:AJ65"/>
    <mergeCell ref="AL65:AM65"/>
    <mergeCell ref="AP63:AQ63"/>
    <mergeCell ref="AR63:AS63"/>
    <mergeCell ref="AC64:AD64"/>
    <mergeCell ref="AG64:AH64"/>
    <mergeCell ref="AI64:AJ64"/>
    <mergeCell ref="AL64:AM64"/>
    <mergeCell ref="AP64:AQ64"/>
    <mergeCell ref="AR64:AS64"/>
    <mergeCell ref="AC63:AD63"/>
    <mergeCell ref="AG63:AH63"/>
    <mergeCell ref="AI63:AJ63"/>
    <mergeCell ref="AL63:AM63"/>
    <mergeCell ref="AC62:AD62"/>
    <mergeCell ref="AG62:AH62"/>
    <mergeCell ref="AI62:AJ62"/>
    <mergeCell ref="AL62:AM62"/>
    <mergeCell ref="AP62:AQ62"/>
    <mergeCell ref="AR62:AS62"/>
    <mergeCell ref="AC61:AD61"/>
    <mergeCell ref="AG61:AH61"/>
    <mergeCell ref="AI61:AJ61"/>
    <mergeCell ref="AL61:AM61"/>
    <mergeCell ref="AP61:AQ61"/>
    <mergeCell ref="AR61:AS61"/>
    <mergeCell ref="AC60:AD60"/>
    <mergeCell ref="AG60:AH60"/>
    <mergeCell ref="AI60:AJ60"/>
    <mergeCell ref="AL60:AM60"/>
    <mergeCell ref="AP60:AQ60"/>
    <mergeCell ref="AR60:AS60"/>
    <mergeCell ref="AC59:AD59"/>
    <mergeCell ref="AG59:AH59"/>
    <mergeCell ref="AI59:AJ59"/>
    <mergeCell ref="AL59:AM59"/>
    <mergeCell ref="AP59:AQ59"/>
    <mergeCell ref="AR59:AS59"/>
    <mergeCell ref="AC58:AD58"/>
    <mergeCell ref="AG58:AH58"/>
    <mergeCell ref="AI58:AJ58"/>
    <mergeCell ref="AL58:AM58"/>
    <mergeCell ref="AP58:AQ58"/>
    <mergeCell ref="AR58:AS58"/>
    <mergeCell ref="AC57:AD57"/>
    <mergeCell ref="AG57:AH57"/>
    <mergeCell ref="AI57:AJ57"/>
    <mergeCell ref="AL57:AM57"/>
    <mergeCell ref="AP57:AQ57"/>
    <mergeCell ref="AR57:AS57"/>
    <mergeCell ref="AC56:AD56"/>
    <mergeCell ref="AG56:AH56"/>
    <mergeCell ref="AI56:AJ56"/>
    <mergeCell ref="AL56:AM56"/>
    <mergeCell ref="AP56:AQ56"/>
    <mergeCell ref="AR56:AS56"/>
    <mergeCell ref="AC55:AD55"/>
    <mergeCell ref="AG55:AH55"/>
    <mergeCell ref="AI55:AJ55"/>
    <mergeCell ref="AL55:AM55"/>
    <mergeCell ref="AP55:AQ55"/>
    <mergeCell ref="AR55:AS55"/>
    <mergeCell ref="AC54:AD54"/>
    <mergeCell ref="AG54:AH54"/>
    <mergeCell ref="AI54:AJ54"/>
    <mergeCell ref="AL54:AM54"/>
    <mergeCell ref="AP54:AQ54"/>
    <mergeCell ref="AR54:AS54"/>
    <mergeCell ref="AC53:AD53"/>
    <mergeCell ref="AG53:AH53"/>
    <mergeCell ref="AI53:AJ53"/>
    <mergeCell ref="AL53:AM53"/>
    <mergeCell ref="AP53:AQ53"/>
    <mergeCell ref="AR53:AS53"/>
    <mergeCell ref="AC52:AD52"/>
    <mergeCell ref="AG52:AH52"/>
    <mergeCell ref="AI52:AJ52"/>
    <mergeCell ref="AL52:AM52"/>
    <mergeCell ref="AP52:AQ52"/>
    <mergeCell ref="AR52:AS52"/>
    <mergeCell ref="AC51:AD51"/>
    <mergeCell ref="AG51:AH51"/>
    <mergeCell ref="AI51:AJ51"/>
    <mergeCell ref="AL51:AM51"/>
    <mergeCell ref="AP51:AQ51"/>
    <mergeCell ref="AR51:AS51"/>
    <mergeCell ref="AC50:AD50"/>
    <mergeCell ref="AG50:AH50"/>
    <mergeCell ref="AI50:AJ50"/>
    <mergeCell ref="AL50:AM50"/>
    <mergeCell ref="AP50:AQ50"/>
    <mergeCell ref="AR50:AS50"/>
    <mergeCell ref="AC49:AD49"/>
    <mergeCell ref="AG49:AH49"/>
    <mergeCell ref="AI49:AJ49"/>
    <mergeCell ref="AL49:AM49"/>
    <mergeCell ref="AP49:AQ49"/>
    <mergeCell ref="AR49:AS49"/>
    <mergeCell ref="AC48:AD48"/>
    <mergeCell ref="AG48:AH48"/>
    <mergeCell ref="AI48:AJ48"/>
    <mergeCell ref="AL48:AM48"/>
    <mergeCell ref="AP48:AQ48"/>
    <mergeCell ref="AR48:AS48"/>
    <mergeCell ref="AC47:AD47"/>
    <mergeCell ref="AG47:AH47"/>
    <mergeCell ref="AI47:AJ47"/>
    <mergeCell ref="AL47:AM47"/>
    <mergeCell ref="AP47:AQ47"/>
    <mergeCell ref="AR47:AS47"/>
    <mergeCell ref="AC46:AD46"/>
    <mergeCell ref="AG46:AH46"/>
    <mergeCell ref="AI46:AJ46"/>
    <mergeCell ref="AL46:AM46"/>
    <mergeCell ref="AP46:AQ46"/>
    <mergeCell ref="AR46:AS46"/>
    <mergeCell ref="AC45:AD45"/>
    <mergeCell ref="AG45:AH45"/>
    <mergeCell ref="AI45:AJ45"/>
    <mergeCell ref="AL45:AM45"/>
    <mergeCell ref="AP45:AQ45"/>
    <mergeCell ref="AR45:AS45"/>
    <mergeCell ref="AC44:AD44"/>
    <mergeCell ref="AG44:AH44"/>
    <mergeCell ref="AI44:AJ44"/>
    <mergeCell ref="AL44:AM44"/>
    <mergeCell ref="AP44:AQ44"/>
    <mergeCell ref="AR44:AS44"/>
    <mergeCell ref="AC43:AD43"/>
    <mergeCell ref="AG43:AH43"/>
    <mergeCell ref="AI43:AJ43"/>
    <mergeCell ref="AL43:AM43"/>
    <mergeCell ref="AP43:AQ43"/>
    <mergeCell ref="AR43:AS43"/>
    <mergeCell ref="AC42:AD42"/>
    <mergeCell ref="AG42:AH42"/>
    <mergeCell ref="AI42:AJ42"/>
    <mergeCell ref="AL42:AM42"/>
    <mergeCell ref="AP42:AQ42"/>
    <mergeCell ref="AR42:AS42"/>
    <mergeCell ref="AC41:AD41"/>
    <mergeCell ref="AG41:AH41"/>
    <mergeCell ref="AI41:AJ41"/>
    <mergeCell ref="AL41:AM41"/>
    <mergeCell ref="AP41:AQ41"/>
    <mergeCell ref="AR41:AS41"/>
    <mergeCell ref="AC40:AD40"/>
    <mergeCell ref="AG40:AH40"/>
    <mergeCell ref="AI40:AJ40"/>
    <mergeCell ref="AL40:AM40"/>
    <mergeCell ref="AP40:AQ40"/>
    <mergeCell ref="AR40:AS40"/>
    <mergeCell ref="AC39:AD39"/>
    <mergeCell ref="AG39:AH39"/>
    <mergeCell ref="AI39:AJ39"/>
    <mergeCell ref="AL39:AM39"/>
    <mergeCell ref="AP39:AQ39"/>
    <mergeCell ref="AR39:AS39"/>
    <mergeCell ref="AC38:AD38"/>
    <mergeCell ref="AG38:AH38"/>
    <mergeCell ref="AI38:AJ38"/>
    <mergeCell ref="AL38:AM38"/>
    <mergeCell ref="AP38:AQ38"/>
    <mergeCell ref="AR38:AS38"/>
    <mergeCell ref="AC37:AD37"/>
    <mergeCell ref="AG37:AH37"/>
    <mergeCell ref="AI37:AJ37"/>
    <mergeCell ref="AL37:AM37"/>
    <mergeCell ref="AP37:AQ37"/>
    <mergeCell ref="AR37:AS37"/>
    <mergeCell ref="AR35:AS35"/>
    <mergeCell ref="AC36:AD36"/>
    <mergeCell ref="AG36:AH36"/>
    <mergeCell ref="AI36:AJ36"/>
    <mergeCell ref="AL36:AM36"/>
    <mergeCell ref="AP36:AQ36"/>
    <mergeCell ref="AR36:AS36"/>
    <mergeCell ref="AC35:AD35"/>
    <mergeCell ref="AG35:AH35"/>
    <mergeCell ref="AI35:AJ35"/>
    <mergeCell ref="AL35:AM35"/>
    <mergeCell ref="AP35:AQ35"/>
    <mergeCell ref="AC32:AD32"/>
    <mergeCell ref="AG32:AH32"/>
    <mergeCell ref="AI32:AJ32"/>
    <mergeCell ref="AL32:AM32"/>
    <mergeCell ref="AP32:AQ32"/>
    <mergeCell ref="AR32:AS32"/>
    <mergeCell ref="AC34:AD34"/>
    <mergeCell ref="AG34:AH34"/>
    <mergeCell ref="AI34:AJ34"/>
    <mergeCell ref="AL34:AM34"/>
    <mergeCell ref="AP34:AQ34"/>
    <mergeCell ref="AR34:AS34"/>
    <mergeCell ref="AC33:AD33"/>
    <mergeCell ref="AG33:AH33"/>
    <mergeCell ref="AI33:AJ33"/>
    <mergeCell ref="AL33:AM33"/>
    <mergeCell ref="AP33:AQ33"/>
    <mergeCell ref="AR33:AS33"/>
    <mergeCell ref="AC31:AD31"/>
    <mergeCell ref="AG31:AH31"/>
    <mergeCell ref="AI31:AJ31"/>
    <mergeCell ref="AR29:AS29"/>
    <mergeCell ref="AC30:AD30"/>
    <mergeCell ref="AG30:AH30"/>
    <mergeCell ref="AI30:AJ30"/>
    <mergeCell ref="AL30:AM30"/>
    <mergeCell ref="AP30:AQ30"/>
    <mergeCell ref="AR30:AS30"/>
    <mergeCell ref="AC29:AD29"/>
    <mergeCell ref="AG29:AH29"/>
    <mergeCell ref="AI29:AJ29"/>
    <mergeCell ref="AL29:AM29"/>
    <mergeCell ref="AP29:AQ29"/>
    <mergeCell ref="AL31:AM31"/>
    <mergeCell ref="AP31:AQ31"/>
    <mergeCell ref="AR31:AS31"/>
    <mergeCell ref="AC28:AD28"/>
    <mergeCell ref="AG28:AH28"/>
    <mergeCell ref="AI28:AJ28"/>
    <mergeCell ref="AL28:AM28"/>
    <mergeCell ref="AP28:AQ28"/>
    <mergeCell ref="AR28:AS28"/>
    <mergeCell ref="AC27:AD27"/>
    <mergeCell ref="AG27:AH27"/>
    <mergeCell ref="AI27:AJ27"/>
    <mergeCell ref="AL27:AM27"/>
    <mergeCell ref="AP27:AQ27"/>
    <mergeCell ref="AR27:AS27"/>
    <mergeCell ref="AC26:AD26"/>
    <mergeCell ref="AG26:AH26"/>
    <mergeCell ref="AI26:AJ26"/>
    <mergeCell ref="AL26:AM26"/>
    <mergeCell ref="AP26:AQ26"/>
    <mergeCell ref="AR26:AS26"/>
    <mergeCell ref="AC25:AD25"/>
    <mergeCell ref="AG25:AH25"/>
    <mergeCell ref="AI25:AJ25"/>
    <mergeCell ref="AL25:AM25"/>
    <mergeCell ref="AP25:AQ25"/>
    <mergeCell ref="AR25:AS25"/>
    <mergeCell ref="AC24:AD24"/>
    <mergeCell ref="AG24:AH24"/>
    <mergeCell ref="AI24:AJ24"/>
    <mergeCell ref="AL24:AM24"/>
    <mergeCell ref="AP24:AQ24"/>
    <mergeCell ref="AR24:AS24"/>
    <mergeCell ref="AC23:AD23"/>
    <mergeCell ref="AG23:AH23"/>
    <mergeCell ref="AI23:AJ23"/>
    <mergeCell ref="AL23:AM23"/>
    <mergeCell ref="AP23:AQ23"/>
    <mergeCell ref="AR23:AS23"/>
    <mergeCell ref="AC22:AD22"/>
    <mergeCell ref="AG22:AH22"/>
    <mergeCell ref="AI22:AJ22"/>
    <mergeCell ref="AL22:AM22"/>
    <mergeCell ref="AP22:AQ22"/>
    <mergeCell ref="AR22:AS22"/>
    <mergeCell ref="AC21:AD21"/>
    <mergeCell ref="AG21:AH21"/>
    <mergeCell ref="AI21:AJ21"/>
    <mergeCell ref="AL21:AM21"/>
    <mergeCell ref="AP21:AQ21"/>
    <mergeCell ref="AR21:AS21"/>
    <mergeCell ref="AC20:AD20"/>
    <mergeCell ref="AG20:AH20"/>
    <mergeCell ref="AI20:AJ20"/>
    <mergeCell ref="AL20:AM20"/>
    <mergeCell ref="AP20:AQ20"/>
    <mergeCell ref="AR20:AS20"/>
    <mergeCell ref="AP18:AQ18"/>
    <mergeCell ref="AR18:AS18"/>
    <mergeCell ref="B19:D19"/>
    <mergeCell ref="E19:F19"/>
    <mergeCell ref="AC19:AD19"/>
    <mergeCell ref="AG19:AH19"/>
    <mergeCell ref="AI19:AJ19"/>
    <mergeCell ref="AL19:AM19"/>
    <mergeCell ref="AP19:AQ19"/>
    <mergeCell ref="AR19:AS19"/>
    <mergeCell ref="AC18:AD18"/>
    <mergeCell ref="AG18:AH18"/>
    <mergeCell ref="AI18:AJ18"/>
    <mergeCell ref="AL18:AM18"/>
    <mergeCell ref="N18:N19"/>
    <mergeCell ref="AR16:AS16"/>
    <mergeCell ref="AC17:AD17"/>
    <mergeCell ref="AG17:AH17"/>
    <mergeCell ref="AI17:AJ17"/>
    <mergeCell ref="AL17:AM17"/>
    <mergeCell ref="AP17:AQ17"/>
    <mergeCell ref="AR17:AS17"/>
    <mergeCell ref="AC16:AD16"/>
    <mergeCell ref="AG16:AH16"/>
    <mergeCell ref="AI16:AJ16"/>
    <mergeCell ref="AL16:AM16"/>
    <mergeCell ref="AP16:AQ16"/>
    <mergeCell ref="AP13:AQ13"/>
    <mergeCell ref="AR13:AS13"/>
    <mergeCell ref="AC12:AD12"/>
    <mergeCell ref="AG12:AH12"/>
    <mergeCell ref="AI12:AJ12"/>
    <mergeCell ref="AL12:AM12"/>
    <mergeCell ref="AP12:AQ12"/>
    <mergeCell ref="AC15:AD15"/>
    <mergeCell ref="AG15:AH15"/>
    <mergeCell ref="AI15:AJ15"/>
    <mergeCell ref="AL15:AM15"/>
    <mergeCell ref="AP15:AQ15"/>
    <mergeCell ref="AR15:AS15"/>
    <mergeCell ref="AC14:AD14"/>
    <mergeCell ref="AG14:AH14"/>
    <mergeCell ref="AI14:AJ14"/>
    <mergeCell ref="AL14:AM14"/>
    <mergeCell ref="AP14:AQ14"/>
    <mergeCell ref="AR14:AS14"/>
    <mergeCell ref="N13:N14"/>
    <mergeCell ref="AC11:AD11"/>
    <mergeCell ref="AG11:AH11"/>
    <mergeCell ref="AI11:AJ11"/>
    <mergeCell ref="AL11:AM11"/>
    <mergeCell ref="AP11:AQ11"/>
    <mergeCell ref="AR11:AS11"/>
    <mergeCell ref="AR9:AS9"/>
    <mergeCell ref="AC10:AD10"/>
    <mergeCell ref="AG10:AH10"/>
    <mergeCell ref="AI10:AJ10"/>
    <mergeCell ref="AL10:AM10"/>
    <mergeCell ref="AP10:AQ10"/>
    <mergeCell ref="AR10:AS10"/>
    <mergeCell ref="AC9:AD9"/>
    <mergeCell ref="AG9:AH9"/>
    <mergeCell ref="AI9:AJ9"/>
    <mergeCell ref="AL9:AM9"/>
    <mergeCell ref="AP9:AQ9"/>
    <mergeCell ref="AR12:AS12"/>
    <mergeCell ref="AC13:AD13"/>
    <mergeCell ref="AG13:AH13"/>
    <mergeCell ref="AI13:AJ13"/>
    <mergeCell ref="AL13:AM13"/>
    <mergeCell ref="B2:D2"/>
    <mergeCell ref="E2:F2"/>
    <mergeCell ref="L2:M2"/>
    <mergeCell ref="AC2:AJ2"/>
    <mergeCell ref="L8:M8"/>
    <mergeCell ref="AC6:AD6"/>
    <mergeCell ref="AG6:AH6"/>
    <mergeCell ref="AI6:AJ6"/>
    <mergeCell ref="AI4:AJ4"/>
    <mergeCell ref="E4:F4"/>
    <mergeCell ref="AC5:AD5"/>
    <mergeCell ref="AG5:AH5"/>
    <mergeCell ref="AI5:AJ5"/>
    <mergeCell ref="L6:M6"/>
    <mergeCell ref="AC4:AD4"/>
    <mergeCell ref="AG4:AH4"/>
    <mergeCell ref="B6:D6"/>
    <mergeCell ref="E6:F6"/>
    <mergeCell ref="B4:D4"/>
    <mergeCell ref="L4:M4"/>
    <mergeCell ref="AL2:AT2"/>
    <mergeCell ref="AC3:AD3"/>
    <mergeCell ref="AG3:AH3"/>
    <mergeCell ref="AI3:AJ3"/>
    <mergeCell ref="AL3:AM3"/>
    <mergeCell ref="AP3:AQ3"/>
    <mergeCell ref="AR3:AS3"/>
    <mergeCell ref="AL4:AM4"/>
    <mergeCell ref="AP4:AQ4"/>
    <mergeCell ref="AR4:AS4"/>
    <mergeCell ref="AL5:AM5"/>
    <mergeCell ref="AP5:AQ5"/>
    <mergeCell ref="AR5:AS5"/>
    <mergeCell ref="AC8:AD8"/>
    <mergeCell ref="AG8:AH8"/>
    <mergeCell ref="AI8:AJ8"/>
    <mergeCell ref="AL8:AM8"/>
    <mergeCell ref="AP8:AQ8"/>
    <mergeCell ref="AR8:AS8"/>
    <mergeCell ref="AL6:AM6"/>
    <mergeCell ref="AP6:AQ6"/>
    <mergeCell ref="AR6:AS6"/>
    <mergeCell ref="AC7:AD7"/>
    <mergeCell ref="AG7:AH7"/>
    <mergeCell ref="AI7:AJ7"/>
    <mergeCell ref="AL7:AM7"/>
    <mergeCell ref="AP7:AQ7"/>
    <mergeCell ref="AR7:AS7"/>
    <mergeCell ref="G57:H57"/>
    <mergeCell ref="G58:H58"/>
    <mergeCell ref="G59:H59"/>
    <mergeCell ref="G60:H60"/>
    <mergeCell ref="G61:H61"/>
    <mergeCell ref="G62:H62"/>
    <mergeCell ref="B72:C72"/>
    <mergeCell ref="B70:C70"/>
    <mergeCell ref="B71:C71"/>
    <mergeCell ref="E71:F71"/>
    <mergeCell ref="E72:F72"/>
    <mergeCell ref="B62:C62"/>
    <mergeCell ref="B60:C60"/>
    <mergeCell ref="B61:C61"/>
    <mergeCell ref="B59:C59"/>
    <mergeCell ref="B66:C66"/>
    <mergeCell ref="B67:C67"/>
    <mergeCell ref="B68:C68"/>
    <mergeCell ref="B69:C69"/>
    <mergeCell ref="E68:F68"/>
    <mergeCell ref="E69:F69"/>
    <mergeCell ref="E70:F70"/>
    <mergeCell ref="B63:C63"/>
    <mergeCell ref="B64:C64"/>
    <mergeCell ref="G51:H51"/>
    <mergeCell ref="G52:H52"/>
    <mergeCell ref="G53:H53"/>
    <mergeCell ref="G54:H54"/>
    <mergeCell ref="G55:H55"/>
    <mergeCell ref="G56:H56"/>
    <mergeCell ref="B50:C50"/>
    <mergeCell ref="B48:C48"/>
    <mergeCell ref="B49:C49"/>
    <mergeCell ref="B56:C56"/>
    <mergeCell ref="B54:C54"/>
    <mergeCell ref="B55:C55"/>
    <mergeCell ref="B53:C53"/>
    <mergeCell ref="B51:C51"/>
    <mergeCell ref="B52:C52"/>
    <mergeCell ref="E51:F51"/>
    <mergeCell ref="E52:F52"/>
    <mergeCell ref="E53:F53"/>
    <mergeCell ref="E54:F54"/>
    <mergeCell ref="E55:F55"/>
    <mergeCell ref="E56:F56"/>
    <mergeCell ref="G45:H45"/>
    <mergeCell ref="G46:H46"/>
    <mergeCell ref="G47:H47"/>
    <mergeCell ref="G48:H48"/>
    <mergeCell ref="G49:H49"/>
    <mergeCell ref="G50:H50"/>
    <mergeCell ref="B44:C44"/>
    <mergeCell ref="B42:C42"/>
    <mergeCell ref="B43:C43"/>
    <mergeCell ref="B47:C47"/>
    <mergeCell ref="B45:C45"/>
    <mergeCell ref="B46:C46"/>
    <mergeCell ref="E45:F45"/>
    <mergeCell ref="E46:F46"/>
    <mergeCell ref="E47:F47"/>
    <mergeCell ref="E48:F48"/>
    <mergeCell ref="E49:F49"/>
    <mergeCell ref="E50:F50"/>
    <mergeCell ref="G42:H42"/>
    <mergeCell ref="G43:H43"/>
    <mergeCell ref="G44:H44"/>
    <mergeCell ref="E42:F42"/>
    <mergeCell ref="E43:F43"/>
    <mergeCell ref="E44:F44"/>
    <mergeCell ref="G37:H37"/>
    <mergeCell ref="G38:H38"/>
    <mergeCell ref="B32:C32"/>
    <mergeCell ref="G32:H32"/>
    <mergeCell ref="G33:H33"/>
    <mergeCell ref="G34:H34"/>
    <mergeCell ref="G39:H39"/>
    <mergeCell ref="G40:H40"/>
    <mergeCell ref="G41:H41"/>
    <mergeCell ref="B36:C36"/>
    <mergeCell ref="B38:C38"/>
    <mergeCell ref="B37:C37"/>
    <mergeCell ref="B35:C35"/>
    <mergeCell ref="B41:C41"/>
    <mergeCell ref="B39:C39"/>
    <mergeCell ref="B40:C40"/>
    <mergeCell ref="E39:F39"/>
    <mergeCell ref="E40:F40"/>
    <mergeCell ref="E41:F41"/>
    <mergeCell ref="B12:D12"/>
    <mergeCell ref="E12:F12"/>
    <mergeCell ref="G23:H23"/>
    <mergeCell ref="G24:H24"/>
    <mergeCell ref="G25:H25"/>
    <mergeCell ref="G26:H26"/>
    <mergeCell ref="G27:H27"/>
    <mergeCell ref="G28:H28"/>
    <mergeCell ref="B33:C33"/>
    <mergeCell ref="E33:F33"/>
    <mergeCell ref="B26:C26"/>
    <mergeCell ref="B29:C29"/>
    <mergeCell ref="B30:C30"/>
    <mergeCell ref="E26:F26"/>
    <mergeCell ref="E30:F30"/>
    <mergeCell ref="E31:F31"/>
    <mergeCell ref="E32:F32"/>
    <mergeCell ref="E28:F28"/>
    <mergeCell ref="E29:F29"/>
    <mergeCell ref="L13:M14"/>
    <mergeCell ref="L18:M19"/>
    <mergeCell ref="L16:M16"/>
    <mergeCell ref="B24:C24"/>
    <mergeCell ref="B25:C25"/>
    <mergeCell ref="L21:M21"/>
    <mergeCell ref="B16:D17"/>
    <mergeCell ref="E16:F17"/>
    <mergeCell ref="B14:D14"/>
    <mergeCell ref="E14:F14"/>
    <mergeCell ref="E23:F23"/>
    <mergeCell ref="B23:C23"/>
    <mergeCell ref="E24:F24"/>
    <mergeCell ref="E25:F25"/>
    <mergeCell ref="B21:D21"/>
    <mergeCell ref="E21:F21"/>
    <mergeCell ref="E74:F74"/>
    <mergeCell ref="E75:F75"/>
    <mergeCell ref="B65:C65"/>
    <mergeCell ref="B27:C27"/>
    <mergeCell ref="B28:C28"/>
    <mergeCell ref="B31:C31"/>
    <mergeCell ref="B34:C34"/>
    <mergeCell ref="E34:F34"/>
    <mergeCell ref="E37:F37"/>
    <mergeCell ref="E38:F38"/>
    <mergeCell ref="B57:C57"/>
    <mergeCell ref="B58:C58"/>
    <mergeCell ref="E57:F57"/>
    <mergeCell ref="E58:F58"/>
    <mergeCell ref="E59:F59"/>
    <mergeCell ref="E60:F60"/>
    <mergeCell ref="E61:F61"/>
    <mergeCell ref="E62:F62"/>
    <mergeCell ref="E35:F35"/>
    <mergeCell ref="E36:F36"/>
    <mergeCell ref="E63:F63"/>
    <mergeCell ref="E64:F64"/>
    <mergeCell ref="E65:F65"/>
    <mergeCell ref="E27:F27"/>
    <mergeCell ref="E76:F76"/>
    <mergeCell ref="G74:H74"/>
    <mergeCell ref="G75:H75"/>
    <mergeCell ref="G76:H76"/>
    <mergeCell ref="B76:C76"/>
    <mergeCell ref="B98:C98"/>
    <mergeCell ref="B95:C95"/>
    <mergeCell ref="E66:F66"/>
    <mergeCell ref="E67:F67"/>
    <mergeCell ref="B86:C86"/>
    <mergeCell ref="B87:C87"/>
    <mergeCell ref="B77:C77"/>
    <mergeCell ref="B78:C78"/>
    <mergeCell ref="B79:C79"/>
    <mergeCell ref="B80:C80"/>
    <mergeCell ref="B81:C81"/>
    <mergeCell ref="B82:C82"/>
    <mergeCell ref="B83:C83"/>
    <mergeCell ref="B84:C84"/>
    <mergeCell ref="B85:C85"/>
    <mergeCell ref="B73:C73"/>
    <mergeCell ref="B74:C74"/>
    <mergeCell ref="B75:C75"/>
    <mergeCell ref="E73:F73"/>
    <mergeCell ref="B100:C100"/>
    <mergeCell ref="B101:C101"/>
    <mergeCell ref="B102:C102"/>
    <mergeCell ref="B103:C103"/>
    <mergeCell ref="B104:C104"/>
    <mergeCell ref="B105:C105"/>
    <mergeCell ref="B106:C106"/>
    <mergeCell ref="B88:C88"/>
    <mergeCell ref="B89:C89"/>
    <mergeCell ref="B90:C90"/>
    <mergeCell ref="B91:C91"/>
    <mergeCell ref="B92:C92"/>
    <mergeCell ref="B93:C93"/>
    <mergeCell ref="B94:C94"/>
    <mergeCell ref="B96:C96"/>
    <mergeCell ref="E9:F9"/>
    <mergeCell ref="B8:D10"/>
    <mergeCell ref="B22:N22"/>
    <mergeCell ref="L10:M11"/>
    <mergeCell ref="N10:N11"/>
    <mergeCell ref="E108:F108"/>
    <mergeCell ref="G29:H29"/>
    <mergeCell ref="G30:H30"/>
    <mergeCell ref="G31:H31"/>
    <mergeCell ref="G35:H35"/>
    <mergeCell ref="G36:H36"/>
    <mergeCell ref="G63:H63"/>
    <mergeCell ref="G64:H64"/>
    <mergeCell ref="G65:H65"/>
    <mergeCell ref="G66:H66"/>
    <mergeCell ref="G67:H67"/>
    <mergeCell ref="G68:H68"/>
    <mergeCell ref="G69:H69"/>
    <mergeCell ref="G70:H70"/>
    <mergeCell ref="G71:H71"/>
    <mergeCell ref="G72:H72"/>
    <mergeCell ref="G73:H73"/>
    <mergeCell ref="G108:H108"/>
    <mergeCell ref="B99:C99"/>
  </mergeCells>
  <conditionalFormatting sqref="B23:H108">
    <cfRule type="expression" dxfId="41" priority="10">
      <formula>$X$2=1</formula>
    </cfRule>
  </conditionalFormatting>
  <conditionalFormatting sqref="B36:H36">
    <cfRule type="expression" dxfId="40" priority="11">
      <formula>$E$12=12</formula>
    </cfRule>
  </conditionalFormatting>
  <conditionalFormatting sqref="B48:H48">
    <cfRule type="expression" dxfId="39" priority="12">
      <formula>$E$12=24</formula>
    </cfRule>
  </conditionalFormatting>
  <conditionalFormatting sqref="B60:H60">
    <cfRule type="expression" dxfId="38" priority="13">
      <formula>$E$12=36</formula>
    </cfRule>
  </conditionalFormatting>
  <conditionalFormatting sqref="B72:H72">
    <cfRule type="expression" dxfId="37" priority="14">
      <formula>$E$12=48</formula>
    </cfRule>
  </conditionalFormatting>
  <conditionalFormatting sqref="B84:H84">
    <cfRule type="expression" dxfId="36" priority="15">
      <formula>$E$12=60</formula>
    </cfRule>
  </conditionalFormatting>
  <conditionalFormatting sqref="B96:H96">
    <cfRule type="expression" dxfId="35" priority="16">
      <formula>$E$12=72</formula>
    </cfRule>
  </conditionalFormatting>
  <conditionalFormatting sqref="B108:H108">
    <cfRule type="expression" dxfId="34" priority="17">
      <formula>$E$12=84</formula>
    </cfRule>
  </conditionalFormatting>
  <conditionalFormatting sqref="E4">
    <cfRule type="expression" dxfId="33" priority="21">
      <formula>$V$3=0</formula>
    </cfRule>
  </conditionalFormatting>
  <conditionalFormatting sqref="E9">
    <cfRule type="cellIs" dxfId="32" priority="20" stopIfTrue="1" operator="equal">
      <formula>0.001</formula>
    </cfRule>
  </conditionalFormatting>
  <conditionalFormatting sqref="E14">
    <cfRule type="cellIs" dxfId="31" priority="56" stopIfTrue="1" operator="equal">
      <formula>0.001</formula>
    </cfRule>
  </conditionalFormatting>
  <conditionalFormatting sqref="E19">
    <cfRule type="cellIs" dxfId="30" priority="52" stopIfTrue="1" operator="equal">
      <formula>0.001</formula>
    </cfRule>
  </conditionalFormatting>
  <conditionalFormatting sqref="E21">
    <cfRule type="expression" dxfId="29" priority="5">
      <formula>$X$2=1</formula>
    </cfRule>
  </conditionalFormatting>
  <conditionalFormatting sqref="E4:F4">
    <cfRule type="cellIs" dxfId="28" priority="19" operator="equal">
      <formula>0</formula>
    </cfRule>
  </conditionalFormatting>
  <conditionalFormatting sqref="E12:F12">
    <cfRule type="cellIs" dxfId="27" priority="18" operator="equal">
      <formula>0</formula>
    </cfRule>
  </conditionalFormatting>
  <conditionalFormatting sqref="E14:F14">
    <cfRule type="expression" dxfId="26" priority="28" stopIfTrue="1">
      <formula>$X$2=1</formula>
    </cfRule>
  </conditionalFormatting>
  <conditionalFormatting sqref="E16:F17">
    <cfRule type="expression" dxfId="25" priority="27">
      <formula>$X$2=1</formula>
    </cfRule>
  </conditionalFormatting>
  <conditionalFormatting sqref="E19:F19">
    <cfRule type="expression" dxfId="24" priority="44">
      <formula>$X$2=1</formula>
    </cfRule>
  </conditionalFormatting>
  <conditionalFormatting sqref="F8">
    <cfRule type="expression" dxfId="23" priority="49">
      <formula>$X$3=0</formula>
    </cfRule>
  </conditionalFormatting>
  <conditionalFormatting sqref="F10">
    <cfRule type="expression" dxfId="22" priority="47">
      <formula>$X$3=0</formula>
    </cfRule>
  </conditionalFormatting>
  <conditionalFormatting sqref="N2">
    <cfRule type="expression" dxfId="21" priority="38">
      <formula>$U$4=1</formula>
    </cfRule>
  </conditionalFormatting>
  <conditionalFormatting sqref="N4">
    <cfRule type="expression" dxfId="20" priority="1" stopIfTrue="1">
      <formula>$U$4=1</formula>
    </cfRule>
    <cfRule type="expression" dxfId="19" priority="2">
      <formula>$X$4=1</formula>
    </cfRule>
  </conditionalFormatting>
  <conditionalFormatting sqref="N6">
    <cfRule type="expression" dxfId="18" priority="31">
      <formula>$X$2=1</formula>
    </cfRule>
    <cfRule type="expression" dxfId="17" priority="32">
      <formula>$U$4=1</formula>
    </cfRule>
  </conditionalFormatting>
  <conditionalFormatting sqref="N8">
    <cfRule type="expression" dxfId="16" priority="42">
      <formula>$X$2=1</formula>
    </cfRule>
  </conditionalFormatting>
  <conditionalFormatting sqref="N10">
    <cfRule type="expression" dxfId="15" priority="22">
      <formula>$X$2=1</formula>
    </cfRule>
  </conditionalFormatting>
  <conditionalFormatting sqref="N13:N14">
    <cfRule type="expression" dxfId="14" priority="26">
      <formula>$X$2=1</formula>
    </cfRule>
  </conditionalFormatting>
  <conditionalFormatting sqref="N16">
    <cfRule type="expression" dxfId="13" priority="30">
      <formula>$X$2=1</formula>
    </cfRule>
  </conditionalFormatting>
  <conditionalFormatting sqref="N18:N19">
    <cfRule type="expression" dxfId="12" priority="25">
      <formula>$X$2=1</formula>
    </cfRule>
  </conditionalFormatting>
  <conditionalFormatting sqref="N21">
    <cfRule type="expression" dxfId="11" priority="33">
      <formula>$X$2=1</formula>
    </cfRule>
  </conditionalFormatting>
  <conditionalFormatting sqref="U2">
    <cfRule type="cellIs" dxfId="10" priority="55" stopIfTrue="1" operator="equal">
      <formula>"Авансовий платіж достатній"</formula>
    </cfRule>
  </conditionalFormatting>
  <conditionalFormatting sqref="X18">
    <cfRule type="cellIs" dxfId="9" priority="79" stopIfTrue="1" operator="equal">
      <formula>#REF!=$S$28</formula>
    </cfRule>
  </conditionalFormatting>
  <dataValidations count="4">
    <dataValidation type="decimal" operator="greaterThan" allowBlank="1" showInputMessage="1" showErrorMessage="1" sqref="F8 F10" xr:uid="{47F66D45-05AC-46E1-95BB-D0EDDF2CDA85}">
      <formula1>0</formula1>
    </dataValidation>
    <dataValidation type="list" allowBlank="1" showInputMessage="1" showErrorMessage="1" sqref="E12:F12" xr:uid="{B3F6EED4-230E-4171-99D6-182E46ECDE8C}">
      <formula1>$R$2:$R$8</formula1>
    </dataValidation>
    <dataValidation type="list" allowBlank="1" showInputMessage="1" showErrorMessage="1" sqref="E6:F6" xr:uid="{C1DB39A5-225A-4E9A-AE54-CA7C74E11595}">
      <formula1>$X$14:$X$15</formula1>
    </dataValidation>
    <dataValidation type="decimal" operator="greaterThanOrEqual" allowBlank="1" showInputMessage="1" showErrorMessage="1" sqref="E4:F4" xr:uid="{BCF261AF-BD78-418C-8354-5C2FBFACC111}">
      <formula1>100000</formula1>
    </dataValidation>
  </dataValidations>
  <pageMargins left="0.7" right="0.7" top="0.75" bottom="0.75" header="0.3" footer="0.3"/>
  <pageSetup paperSize="9" scale="4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FA86D-6DEB-4CFC-8485-5AF0E6C67E4E}">
  <sheetPr codeName="Аркуш2"/>
  <dimension ref="A1:CP90"/>
  <sheetViews>
    <sheetView topLeftCell="CG1" zoomScale="80" zoomScaleNormal="80" zoomScaleSheetLayoutView="80" workbookViewId="0">
      <selection activeCell="DB26" sqref="DB26"/>
    </sheetView>
  </sheetViews>
  <sheetFormatPr defaultRowHeight="14.4" x14ac:dyDescent="0.3"/>
  <cols>
    <col min="1" max="1" width="8.88671875" style="186" hidden="1" customWidth="1"/>
    <col min="2" max="2" width="8.88671875" style="160" hidden="1" customWidth="1"/>
    <col min="3" max="3" width="13.109375" style="160" hidden="1" customWidth="1"/>
    <col min="4" max="4" width="12.33203125" style="160" hidden="1" customWidth="1"/>
    <col min="5" max="83" width="8.88671875" style="160" hidden="1" customWidth="1"/>
    <col min="84" max="84" width="0" style="160" hidden="1" customWidth="1"/>
    <col min="85" max="16384" width="8.88671875" style="160"/>
  </cols>
  <sheetData>
    <row r="1" spans="2:94" x14ac:dyDescent="0.3">
      <c r="B1" s="158"/>
      <c r="C1" s="159"/>
      <c r="D1" s="159"/>
      <c r="Q1" s="160" t="s">
        <v>412</v>
      </c>
      <c r="AB1" s="160" t="s">
        <v>345</v>
      </c>
      <c r="AK1" s="160" t="s">
        <v>351</v>
      </c>
    </row>
    <row r="2" spans="2:94" x14ac:dyDescent="0.3">
      <c r="B2" s="161" t="s">
        <v>413</v>
      </c>
      <c r="C2" s="162"/>
      <c r="D2" s="162"/>
      <c r="G2" s="160" t="s">
        <v>456</v>
      </c>
      <c r="I2" s="160" t="s">
        <v>7</v>
      </c>
      <c r="N2" s="160" t="s">
        <v>414</v>
      </c>
      <c r="Q2" s="160">
        <v>12</v>
      </c>
      <c r="AB2" s="160" t="s">
        <v>415</v>
      </c>
      <c r="AK2" s="160" t="s">
        <v>415</v>
      </c>
    </row>
    <row r="3" spans="2:94" x14ac:dyDescent="0.3">
      <c r="C3" s="163"/>
      <c r="D3" s="163"/>
      <c r="Q3" s="160">
        <v>24</v>
      </c>
      <c r="AA3" s="160" t="s">
        <v>416</v>
      </c>
      <c r="AB3" s="160" t="s">
        <v>321</v>
      </c>
      <c r="AD3" s="160" t="s">
        <v>417</v>
      </c>
      <c r="AE3" s="160" t="s">
        <v>418</v>
      </c>
      <c r="AF3" s="160" t="s">
        <v>419</v>
      </c>
      <c r="AH3" s="160" t="s">
        <v>420</v>
      </c>
      <c r="AJ3" s="160" t="s">
        <v>416</v>
      </c>
      <c r="AK3" s="160" t="s">
        <v>321</v>
      </c>
      <c r="AM3" s="160" t="s">
        <v>417</v>
      </c>
      <c r="AN3" s="160" t="s">
        <v>418</v>
      </c>
      <c r="AO3" s="160" t="s">
        <v>419</v>
      </c>
      <c r="AQ3" s="160" t="s">
        <v>420</v>
      </c>
      <c r="AS3" s="160" t="s">
        <v>327</v>
      </c>
    </row>
    <row r="4" spans="2:94" x14ac:dyDescent="0.3">
      <c r="B4" s="160" t="s">
        <v>421</v>
      </c>
      <c r="C4" s="163"/>
      <c r="D4" s="163"/>
      <c r="G4" s="160">
        <f>'Калькулятор '!E4</f>
        <v>1000000</v>
      </c>
      <c r="I4" s="160" t="s">
        <v>422</v>
      </c>
      <c r="N4" s="160" t="str">
        <f>IF($G$4&gt;0,$P$40,"Ні")</f>
        <v/>
      </c>
      <c r="Q4" s="160">
        <v>36</v>
      </c>
      <c r="S4" s="160">
        <f>IF($G$6=0,1,IF($G$4*$G$6=$G$7,2,3))</f>
        <v>3</v>
      </c>
      <c r="T4" s="160">
        <f>IF(G2="Сума авансового платежу перевищує вартість авто",1,IF(G2="Сума авансового платежу дорівнює вартості авто",1,IF(G2="Сума авансового платежу недостатня",1,0)))</f>
        <v>0</v>
      </c>
      <c r="AA4" s="160">
        <f ca="1">Ануїтетна_графік_Авто!G5</f>
        <v>45871</v>
      </c>
      <c r="AB4" s="160">
        <v>1</v>
      </c>
      <c r="AD4" s="160">
        <f ca="1">Ануїтетна_графік_Авто!J5</f>
        <v>27412.083333333332</v>
      </c>
      <c r="AF4" s="160">
        <f ca="1">Ануїтетна_графік_Авто!K5</f>
        <v>5592.916666666667</v>
      </c>
      <c r="AH4" s="160">
        <f ca="1">Ануїтетна_графік_Авто!M5</f>
        <v>33005</v>
      </c>
      <c r="AJ4" s="160">
        <f ca="1">Ануїтетна_графік_Авто!G5</f>
        <v>45871</v>
      </c>
      <c r="AK4" s="160">
        <v>1</v>
      </c>
      <c r="AM4" s="160">
        <f ca="1">Ануїтетна_графік_Авто!J5</f>
        <v>27412.083333333332</v>
      </c>
      <c r="AO4" s="160">
        <f ca="1">Ануїтетна_графік_Авто!K5</f>
        <v>5592.916666666667</v>
      </c>
      <c r="AQ4" s="160">
        <f ca="1">Ануїтетна_графік_Авто!M5</f>
        <v>33005</v>
      </c>
    </row>
    <row r="5" spans="2:94" x14ac:dyDescent="0.3">
      <c r="C5" s="163"/>
      <c r="D5" s="163"/>
      <c r="Q5" s="160">
        <v>48</v>
      </c>
      <c r="AA5" s="160">
        <f ca="1">Ануїтетна_графік_Авто!G6</f>
        <v>45902</v>
      </c>
      <c r="AB5" s="160">
        <v>2</v>
      </c>
      <c r="AD5" s="160">
        <f ca="1">Ануїтетна_графік_Авто!J6</f>
        <v>27718.710328819445</v>
      </c>
      <c r="AF5" s="160">
        <f ca="1">Ануїтетна_графік_Авто!K6</f>
        <v>5286.2896711805561</v>
      </c>
      <c r="AH5" s="160">
        <f ca="1">Ануїтетна_графік_Авто!M6</f>
        <v>33005</v>
      </c>
      <c r="AJ5" s="160">
        <f t="shared" ref="AJ5:AJ68" ca="1" si="0">IF(AK5="","",DATE(YEAR(AJ4),MONTH(AJ4)+2,DAY(1)-1))</f>
        <v>45930</v>
      </c>
      <c r="AK5" s="160">
        <v>2</v>
      </c>
      <c r="AM5" s="160">
        <f ca="1">Ануїтетна_графік_Авто!J6</f>
        <v>27718.710328819445</v>
      </c>
      <c r="AO5" s="160">
        <f ca="1">Ануїтетна_графік_Авто!K6</f>
        <v>5286.2896711805561</v>
      </c>
      <c r="AQ5" s="160">
        <f ca="1">Ануїтетна_графік_Авто!M6</f>
        <v>33005</v>
      </c>
      <c r="AS5" s="160">
        <f ca="1">$G$19-AM4</f>
        <v>672587.91666666663</v>
      </c>
    </row>
    <row r="6" spans="2:94" x14ac:dyDescent="0.3">
      <c r="B6" s="160" t="s">
        <v>507</v>
      </c>
      <c r="C6" s="163"/>
      <c r="D6" s="163"/>
      <c r="G6" s="160">
        <v>300000</v>
      </c>
      <c r="I6" s="160" t="s">
        <v>423</v>
      </c>
      <c r="N6" s="160">
        <f>Q40</f>
        <v>12.99</v>
      </c>
      <c r="Q6" s="160">
        <v>60</v>
      </c>
      <c r="AA6" s="160">
        <f ca="1">Ануїтетна_графік_Авто!G7</f>
        <v>45932</v>
      </c>
      <c r="AB6" s="160">
        <v>3</v>
      </c>
      <c r="AD6" s="160">
        <f ca="1">Ануїтетна_графік_Авто!J7</f>
        <v>28189.290841392805</v>
      </c>
      <c r="AF6" s="160">
        <f ca="1">Ануїтетна_графік_Авто!K7</f>
        <v>4815.7091586071956</v>
      </c>
      <c r="AH6" s="160">
        <f ca="1">Ануїтетна_графік_Авто!M7</f>
        <v>33005</v>
      </c>
      <c r="AJ6" s="160">
        <f t="shared" ca="1" si="0"/>
        <v>45961</v>
      </c>
      <c r="AK6" s="160">
        <v>3</v>
      </c>
      <c r="AM6" s="160">
        <f ca="1">Ануїтетна_графік_Авто!J7</f>
        <v>28189.290841392805</v>
      </c>
      <c r="AO6" s="160">
        <f ca="1">Ануїтетна_графік_Авто!K7</f>
        <v>4815.7091586071956</v>
      </c>
      <c r="AQ6" s="160">
        <f ca="1">Ануїтетна_графік_Авто!M7</f>
        <v>33005</v>
      </c>
      <c r="AS6" s="160">
        <f t="shared" ref="AS6:AS69" ca="1" si="1">AS5-AM5</f>
        <v>644869.20633784716</v>
      </c>
    </row>
    <row r="7" spans="2:94" x14ac:dyDescent="0.3">
      <c r="B7" s="160" t="s">
        <v>424</v>
      </c>
      <c r="C7" s="163"/>
      <c r="D7" s="163"/>
      <c r="G7" s="160">
        <f>IF(G6="","",IF(G6&lt;100,G4*G6,G6/G4))</f>
        <v>0.3</v>
      </c>
      <c r="AA7" s="160">
        <f ca="1">Ануїтетна_графік_Авто!G8</f>
        <v>45963</v>
      </c>
      <c r="AB7" s="160">
        <v>4</v>
      </c>
      <c r="AD7" s="160">
        <f ca="1">Ануїтетна_графік_Авто!J8</f>
        <v>28344.087911909242</v>
      </c>
      <c r="AF7" s="160">
        <f ca="1">Ануїтетна_графік_Авто!K8</f>
        <v>4660.9120880907567</v>
      </c>
      <c r="AH7" s="160">
        <f ca="1">Ануїтетна_графік_Авто!M8</f>
        <v>33005</v>
      </c>
      <c r="AJ7" s="160">
        <f t="shared" ca="1" si="0"/>
        <v>45991</v>
      </c>
      <c r="AK7" s="160">
        <v>4</v>
      </c>
      <c r="AM7" s="160">
        <f ca="1">Ануїтетна_графік_Авто!J8</f>
        <v>28344.087911909242</v>
      </c>
      <c r="AO7" s="160">
        <f ca="1">Ануїтетна_графік_Авто!K8</f>
        <v>4660.9120880907567</v>
      </c>
      <c r="AQ7" s="160">
        <f ca="1">Ануїтетна_графік_Авто!M8</f>
        <v>33005</v>
      </c>
      <c r="AS7" s="160">
        <f t="shared" ca="1" si="1"/>
        <v>616679.91549645434</v>
      </c>
      <c r="CP7" s="160" t="s">
        <v>501</v>
      </c>
    </row>
    <row r="8" spans="2:94" x14ac:dyDescent="0.3">
      <c r="C8" s="163"/>
      <c r="D8" s="163"/>
      <c r="I8" s="160" t="s">
        <v>425</v>
      </c>
      <c r="N8" s="160">
        <f>'Калькулятор '!E12</f>
        <v>72</v>
      </c>
      <c r="AA8" s="160">
        <f ca="1">Ануїтетна_графік_Авто!G9</f>
        <v>45993</v>
      </c>
      <c r="AB8" s="160">
        <v>5</v>
      </c>
      <c r="AD8" s="160">
        <f ca="1">Ануїтетна_графік_Авто!J9</f>
        <v>28801.264666397299</v>
      </c>
      <c r="AF8" s="160">
        <f ca="1">Ануїтетна_графік_Авто!K9</f>
        <v>4203.7353336027008</v>
      </c>
      <c r="AH8" s="160">
        <f ca="1">Ануїтетна_графік_Авто!M9</f>
        <v>33005</v>
      </c>
      <c r="AJ8" s="160">
        <f t="shared" ca="1" si="0"/>
        <v>46022</v>
      </c>
      <c r="AK8" s="160">
        <v>5</v>
      </c>
      <c r="AM8" s="160">
        <f ca="1">Ануїтетна_графік_Авто!J9</f>
        <v>28801.264666397299</v>
      </c>
      <c r="AO8" s="160">
        <f ca="1">Ануїтетна_графік_Авто!K9</f>
        <v>4203.7353336027008</v>
      </c>
      <c r="AQ8" s="160">
        <f ca="1">Ануїтетна_графік_Авто!M9</f>
        <v>33005</v>
      </c>
      <c r="AS8" s="160">
        <f t="shared" ca="1" si="1"/>
        <v>588335.82758454513</v>
      </c>
    </row>
    <row r="9" spans="2:94" x14ac:dyDescent="0.3">
      <c r="B9" s="160" t="s">
        <v>426</v>
      </c>
      <c r="C9" s="163"/>
      <c r="D9" s="163"/>
      <c r="G9" s="160">
        <v>9.9000000000000008E-3</v>
      </c>
      <c r="AA9" s="160">
        <f ca="1">Ануїтетна_графік_Авто!G10</f>
        <v>46024</v>
      </c>
      <c r="AB9" s="160">
        <v>6</v>
      </c>
      <c r="AD9" s="160">
        <f ca="1">Ануїтетна_графік_Авто!J10</f>
        <v>28983.306301624751</v>
      </c>
      <c r="AF9" s="160">
        <f ca="1">Ануїтетна_графік_Авто!K10</f>
        <v>4021.6936983752485</v>
      </c>
      <c r="AH9" s="160">
        <f ca="1">Ануїтетна_графік_Авто!M10</f>
        <v>33005</v>
      </c>
      <c r="AJ9" s="160">
        <f t="shared" ca="1" si="0"/>
        <v>46053</v>
      </c>
      <c r="AK9" s="160">
        <v>6</v>
      </c>
      <c r="AM9" s="160">
        <f ca="1">Ануїтетна_графік_Авто!J10</f>
        <v>28983.306301624751</v>
      </c>
      <c r="AO9" s="160">
        <f ca="1">Ануїтетна_графік_Авто!K10</f>
        <v>4021.6936983752485</v>
      </c>
      <c r="AQ9" s="160">
        <f ca="1">Ануїтетна_графік_Авто!M10</f>
        <v>33005</v>
      </c>
      <c r="AS9" s="160">
        <f t="shared" ca="1" si="1"/>
        <v>559534.56291814777</v>
      </c>
    </row>
    <row r="10" spans="2:94" x14ac:dyDescent="0.3">
      <c r="C10" s="163"/>
      <c r="D10" s="163"/>
      <c r="G10" s="160">
        <f>IF(Q15="",0,ROUND(Q15*G9,2))</f>
        <v>6930</v>
      </c>
      <c r="AA10" s="160">
        <f ca="1">Ануїтетна_графік_Авто!G11</f>
        <v>46055</v>
      </c>
      <c r="AB10" s="160">
        <v>7</v>
      </c>
      <c r="AD10" s="160">
        <f ca="1">Ануїтетна_графік_Авто!J11</f>
        <v>29307.508735363677</v>
      </c>
      <c r="AF10" s="160">
        <f ca="1">Ануїтетна_графік_Авто!K11</f>
        <v>3697.4912646363246</v>
      </c>
      <c r="AH10" s="160">
        <f ca="1">Ануїтетна_графік_Авто!M11</f>
        <v>33005</v>
      </c>
      <c r="AJ10" s="160">
        <f t="shared" ca="1" si="0"/>
        <v>46081</v>
      </c>
      <c r="AK10" s="160">
        <v>7</v>
      </c>
      <c r="AM10" s="160">
        <f ca="1">Ануїтетна_графік_Авто!J11</f>
        <v>29307.508735363677</v>
      </c>
      <c r="AO10" s="160">
        <f ca="1">Ануїтетна_графік_Авто!K11</f>
        <v>3697.4912646363246</v>
      </c>
      <c r="AQ10" s="160">
        <f ca="1">Ануїтетна_графік_Авто!M11</f>
        <v>33005</v>
      </c>
      <c r="AS10" s="160">
        <f t="shared" ca="1" si="1"/>
        <v>530551.25661652302</v>
      </c>
    </row>
    <row r="11" spans="2:94" x14ac:dyDescent="0.3">
      <c r="H11" s="160" t="s">
        <v>427</v>
      </c>
      <c r="Q11" s="160" t="s">
        <v>428</v>
      </c>
      <c r="AA11" s="160">
        <f ca="1">Ануїтетна_графік_Авто!G12</f>
        <v>46083</v>
      </c>
      <c r="AB11" s="160">
        <v>8</v>
      </c>
      <c r="AD11" s="160">
        <f ca="1">Ануїтетна_графік_Авто!J12</f>
        <v>29961.43400057402</v>
      </c>
      <c r="AF11" s="160">
        <f ca="1">Ануїтетна_графік_Авто!K12</f>
        <v>3043.5659994259809</v>
      </c>
      <c r="AH11" s="160">
        <f ca="1">Ануїтетна_графік_Авто!M12</f>
        <v>33005</v>
      </c>
      <c r="AJ11" s="160">
        <f t="shared" ca="1" si="0"/>
        <v>46112</v>
      </c>
      <c r="AK11" s="160">
        <v>8</v>
      </c>
      <c r="AM11" s="160">
        <f ca="1">Ануїтетна_графік_Авто!J12</f>
        <v>29961.43400057402</v>
      </c>
      <c r="AO11" s="160">
        <f ca="1">Ануїтетна_графік_Авто!K12</f>
        <v>3043.5659994259809</v>
      </c>
      <c r="AQ11" s="160">
        <f ca="1">Ануїтетна_графік_Авто!M12</f>
        <v>33005</v>
      </c>
      <c r="AS11" s="160">
        <f t="shared" ca="1" si="1"/>
        <v>501243.74788115936</v>
      </c>
    </row>
    <row r="12" spans="2:94" x14ac:dyDescent="0.3">
      <c r="B12" s="161" t="s">
        <v>429</v>
      </c>
      <c r="C12" s="161"/>
      <c r="H12" s="160">
        <v>0</v>
      </c>
      <c r="I12" s="160" t="s">
        <v>430</v>
      </c>
      <c r="N12" s="160">
        <f>ROUND(Q16*G12,2)+(G12*IF(G16="Так",N15,0))</f>
        <v>0</v>
      </c>
      <c r="Q12" s="160">
        <f>IF(OR(Q2=N8,Q3=N8),2.99%,0%)</f>
        <v>0</v>
      </c>
      <c r="AA12" s="160">
        <f ca="1">Ануїтетна_графік_Авто!G13</f>
        <v>46114</v>
      </c>
      <c r="AB12" s="160">
        <v>9</v>
      </c>
      <c r="AD12" s="160">
        <f ca="1">Ануїтетна_графік_Авто!J13</f>
        <v>29970.481250650751</v>
      </c>
      <c r="AF12" s="160">
        <f ca="1">Ануїтетна_графік_Авто!K13</f>
        <v>3034.518749349249</v>
      </c>
      <c r="AH12" s="160">
        <f ca="1">Ануїтетна_графік_Авто!M13</f>
        <v>33005</v>
      </c>
      <c r="AJ12" s="160">
        <f t="shared" ca="1" si="0"/>
        <v>46142</v>
      </c>
      <c r="AK12" s="160">
        <v>9</v>
      </c>
      <c r="AM12" s="160">
        <f ca="1">Ануїтетна_графік_Авто!J13</f>
        <v>29970.481250650751</v>
      </c>
      <c r="AO12" s="160">
        <f ca="1">Ануїтетна_графік_Авто!K13</f>
        <v>3034.518749349249</v>
      </c>
      <c r="AQ12" s="160">
        <f ca="1">Ануїтетна_графік_Авто!M13</f>
        <v>33005</v>
      </c>
      <c r="AS12" s="160">
        <f t="shared" ca="1" si="1"/>
        <v>471282.31388058537</v>
      </c>
    </row>
    <row r="13" spans="2:94" x14ac:dyDescent="0.3">
      <c r="B13" s="160" t="s">
        <v>431</v>
      </c>
      <c r="C13" s="163"/>
      <c r="Q13" s="160">
        <f>IF(Q12=0,0%,5.99%)</f>
        <v>0</v>
      </c>
      <c r="AA13" s="160">
        <f ca="1">Ануїтетна_графік_Авто!G14</f>
        <v>46144</v>
      </c>
      <c r="AB13" s="160">
        <v>10</v>
      </c>
      <c r="AD13" s="160">
        <f ca="1">Ануїтетна_графік_Авто!J14</f>
        <v>30392.799411780958</v>
      </c>
      <c r="AF13" s="160">
        <f ca="1">Ануїтетна_графік_Авто!K14</f>
        <v>2612.2005882190429</v>
      </c>
      <c r="AH13" s="160">
        <f ca="1">Ануїтетна_графік_Авто!M14</f>
        <v>33005</v>
      </c>
      <c r="AJ13" s="160">
        <f t="shared" ca="1" si="0"/>
        <v>46173</v>
      </c>
      <c r="AK13" s="160">
        <v>10</v>
      </c>
      <c r="AM13" s="160">
        <f ca="1">Ануїтетна_графік_Авто!J14</f>
        <v>30392.799411780958</v>
      </c>
      <c r="AO13" s="160">
        <f ca="1">Ануїтетна_графік_Авто!K14</f>
        <v>2612.2005882190429</v>
      </c>
      <c r="AQ13" s="160">
        <f ca="1">Ануїтетна_графік_Авто!M14</f>
        <v>33005</v>
      </c>
      <c r="AS13" s="160">
        <f t="shared" ca="1" si="1"/>
        <v>441311.83262993459</v>
      </c>
    </row>
    <row r="14" spans="2:94" x14ac:dyDescent="0.3">
      <c r="C14" s="163"/>
      <c r="Q14" s="160" t="s">
        <v>313</v>
      </c>
      <c r="W14" s="160" t="s">
        <v>432</v>
      </c>
      <c r="AA14" s="160">
        <f ca="1">Ануїтетна_графік_Авто!G15</f>
        <v>46175</v>
      </c>
      <c r="AB14" s="160">
        <v>11</v>
      </c>
      <c r="AD14" s="160">
        <f ca="1">Ануїтетна_графік_Авто!J15</f>
        <v>30645.694847593935</v>
      </c>
      <c r="AF14" s="160">
        <f ca="1">Ануїтетна_графік_Авто!K15</f>
        <v>2359.3051524060647</v>
      </c>
      <c r="AH14" s="160">
        <f ca="1">Ануїтетна_графік_Авто!M15</f>
        <v>33005</v>
      </c>
      <c r="AJ14" s="160">
        <f t="shared" ca="1" si="0"/>
        <v>46203</v>
      </c>
      <c r="AK14" s="160">
        <v>11</v>
      </c>
      <c r="AM14" s="160">
        <f ca="1">Ануїтетна_графік_Авто!J15</f>
        <v>30645.694847593935</v>
      </c>
      <c r="AO14" s="160">
        <f ca="1">Ануїтетна_графік_Авто!K15</f>
        <v>2359.3051524060647</v>
      </c>
      <c r="AQ14" s="160">
        <f ca="1">Ануїтетна_графік_Авто!M15</f>
        <v>33005</v>
      </c>
      <c r="AS14" s="160">
        <f t="shared" ca="1" si="1"/>
        <v>410919.03321815364</v>
      </c>
    </row>
    <row r="15" spans="2:94" x14ac:dyDescent="0.3">
      <c r="B15" s="160" t="s">
        <v>433</v>
      </c>
      <c r="C15" s="163"/>
      <c r="G15" s="160">
        <v>5.16E-2</v>
      </c>
      <c r="I15" s="160" t="s">
        <v>434</v>
      </c>
      <c r="N15" s="160">
        <f>ROUND(G4*G15,2)</f>
        <v>51600</v>
      </c>
      <c r="P15" s="160" t="s">
        <v>435</v>
      </c>
      <c r="Q15" s="160">
        <f>$G$4-IF($S$4=1,0,IF($S$4=3,$G$6,IF($S$4=2,$G$4*$G$6)))+IF($G$13="Так",$N$12,0)+IF($G$16="Так",$N$15,0)</f>
        <v>700000</v>
      </c>
      <c r="W15" s="160" t="s">
        <v>398</v>
      </c>
      <c r="AA15" s="160">
        <f ca="1">Ануїтетна_графік_Авто!G16</f>
        <v>46205</v>
      </c>
      <c r="AB15" s="160">
        <v>12</v>
      </c>
      <c r="AD15" s="160">
        <f ca="1">Ануїтетна_графік_Авто!J16</f>
        <v>31053.54111213869</v>
      </c>
      <c r="AF15" s="160">
        <f ca="1">Ануїтетна_графік_Авто!K16</f>
        <v>1951.4588878613099</v>
      </c>
      <c r="AH15" s="160">
        <f ca="1">Ануїтетна_графік_Авто!M16</f>
        <v>33005</v>
      </c>
      <c r="AJ15" s="160">
        <f t="shared" ca="1" si="0"/>
        <v>46234</v>
      </c>
      <c r="AK15" s="160">
        <v>12</v>
      </c>
      <c r="AM15" s="160">
        <f ca="1">Ануїтетна_графік_Авто!J16</f>
        <v>31053.54111213869</v>
      </c>
      <c r="AO15" s="160">
        <f ca="1">Ануїтетна_графік_Авто!K16</f>
        <v>1951.4588878613099</v>
      </c>
      <c r="AQ15" s="160">
        <f ca="1">Ануїтетна_графік_Авто!M16</f>
        <v>33005</v>
      </c>
      <c r="AS15" s="160">
        <f t="shared" ca="1" si="1"/>
        <v>380273.33837055968</v>
      </c>
    </row>
    <row r="16" spans="2:94" x14ac:dyDescent="0.3">
      <c r="C16" s="163"/>
      <c r="P16" s="160" t="s">
        <v>436</v>
      </c>
      <c r="Q16" s="160">
        <f>$G$4-IF($S$4=3,$G$6,IF($S$4=2,$G$4*$G$6))</f>
        <v>700000</v>
      </c>
      <c r="AA16" s="160">
        <f ca="1">Ануїтетна_графік_Авто!G17</f>
        <v>46236</v>
      </c>
      <c r="AB16" s="160">
        <v>13</v>
      </c>
      <c r="AD16" s="160">
        <f ca="1">Ануїтетна_графік_Авто!J17</f>
        <v>31335.852217833512</v>
      </c>
      <c r="AF16" s="160">
        <f ca="1">Ануїтетна_графік_Авто!K17</f>
        <v>1669.1477821664889</v>
      </c>
      <c r="AH16" s="160">
        <f ca="1">Ануїтетна_графік_Авто!M17</f>
        <v>33005</v>
      </c>
      <c r="AJ16" s="160">
        <f t="shared" ca="1" si="0"/>
        <v>46265</v>
      </c>
      <c r="AK16" s="160">
        <v>13</v>
      </c>
      <c r="AM16" s="160">
        <f ca="1">Ануїтетна_графік_Авто!J17</f>
        <v>31335.852217833512</v>
      </c>
      <c r="AO16" s="160">
        <f ca="1">Ануїтетна_графік_Авто!K17</f>
        <v>1669.1477821664889</v>
      </c>
      <c r="AQ16" s="160">
        <f ca="1">Ануїтетна_графік_Авто!M17</f>
        <v>33005</v>
      </c>
      <c r="AS16" s="160">
        <f t="shared" ca="1" si="1"/>
        <v>349219.79725842096</v>
      </c>
    </row>
    <row r="17" spans="2:45" x14ac:dyDescent="0.3">
      <c r="C17" s="163"/>
      <c r="W17" s="160" t="s">
        <v>414</v>
      </c>
      <c r="AA17" s="160">
        <f ca="1">Ануїтетна_графік_Авто!G18</f>
        <v>46267</v>
      </c>
      <c r="AB17" s="160">
        <v>14</v>
      </c>
      <c r="AD17" s="160">
        <f ca="1">Ануїтетна_графік_Авто!J18</f>
        <v>31686.36983810016</v>
      </c>
      <c r="AF17" s="160">
        <f ca="1">Ануїтетна_графік_Авто!K18</f>
        <v>1318.6301618998395</v>
      </c>
      <c r="AH17" s="160">
        <f ca="1">Ануїтетна_графік_Авто!M18</f>
        <v>33005</v>
      </c>
      <c r="AJ17" s="160">
        <f t="shared" ca="1" si="0"/>
        <v>46295</v>
      </c>
      <c r="AK17" s="160">
        <v>14</v>
      </c>
      <c r="AM17" s="160">
        <f ca="1">Ануїтетна_графік_Авто!J18</f>
        <v>31686.36983810016</v>
      </c>
      <c r="AO17" s="160">
        <f ca="1">Ануїтетна_графік_Авто!K18</f>
        <v>1318.6301618998395</v>
      </c>
      <c r="AQ17" s="160">
        <f ca="1">Ануїтетна_графік_Авто!M18</f>
        <v>33005</v>
      </c>
      <c r="AS17" s="160">
        <f t="shared" ca="1" si="1"/>
        <v>317883.94504058745</v>
      </c>
    </row>
    <row r="18" spans="2:45" x14ac:dyDescent="0.3">
      <c r="W18" s="160" t="str">
        <f>IF(OR(G2=R28,G2=R31),"Класична","")</f>
        <v/>
      </c>
      <c r="AA18" s="160">
        <f ca="1">Ануїтетна_графік_Авто!G19</f>
        <v>46297</v>
      </c>
      <c r="AB18" s="160">
        <v>15</v>
      </c>
      <c r="AD18" s="160">
        <f ca="1">Ануїтетна_графік_Авто!J19</f>
        <v>32071.911248433073</v>
      </c>
      <c r="AF18" s="160">
        <f ca="1">Ануїтетна_графік_Авто!K19</f>
        <v>933.08875156692659</v>
      </c>
      <c r="AH18" s="160">
        <f ca="1">Ануїтетна_графік_Авто!M19</f>
        <v>33005</v>
      </c>
      <c r="AJ18" s="160">
        <f t="shared" ca="1" si="0"/>
        <v>46326</v>
      </c>
      <c r="AK18" s="160">
        <v>15</v>
      </c>
      <c r="AM18" s="160">
        <f ca="1">Ануїтетна_графік_Авто!J19</f>
        <v>32071.911248433073</v>
      </c>
      <c r="AO18" s="160">
        <f ca="1">Ануїтетна_графік_Авто!K19</f>
        <v>933.08875156692659</v>
      </c>
      <c r="AQ18" s="160">
        <f ca="1">Ануїтетна_графік_Авто!M19</f>
        <v>33005</v>
      </c>
      <c r="AS18" s="160">
        <f t="shared" ca="1" si="1"/>
        <v>286197.57520248729</v>
      </c>
    </row>
    <row r="19" spans="2:45" x14ac:dyDescent="0.3">
      <c r="B19" s="160" t="s">
        <v>313</v>
      </c>
      <c r="G19" s="160">
        <f>G4-IF(S4=1,0,IF(S4=2,G4*G6,IF(S4=3,G6)))+IF(N10="Так",G10,0)</f>
        <v>700000</v>
      </c>
      <c r="Q19" s="160" t="s">
        <v>437</v>
      </c>
      <c r="T19" s="160" t="s">
        <v>438</v>
      </c>
      <c r="U19" s="160">
        <f ca="1">TODAY()</f>
        <v>45840</v>
      </c>
      <c r="W19" s="160">
        <v>1</v>
      </c>
      <c r="X19" s="160">
        <v>31</v>
      </c>
      <c r="AA19" s="160">
        <f ca="1">Ануїтетна_графік_Авто!G20</f>
        <v>46328</v>
      </c>
      <c r="AB19" s="160">
        <v>16</v>
      </c>
      <c r="AD19" s="160">
        <f ca="1">Ануїтетна_графік_Авто!J20</f>
        <v>32399.559343953941</v>
      </c>
      <c r="AF19" s="160">
        <f ca="1">Ануїтетна_графік_Авто!K20</f>
        <v>605.44065604605987</v>
      </c>
      <c r="AH19" s="160">
        <f ca="1">Ануїтетна_графік_Авто!M20</f>
        <v>33005</v>
      </c>
      <c r="AJ19" s="160">
        <f t="shared" ca="1" si="0"/>
        <v>46356</v>
      </c>
      <c r="AK19" s="160">
        <v>16</v>
      </c>
      <c r="AM19" s="160">
        <f ca="1">Ануїтетна_графік_Авто!J20</f>
        <v>32399.559343953941</v>
      </c>
      <c r="AO19" s="160">
        <f ca="1">Ануїтетна_графік_Авто!K20</f>
        <v>605.44065604605987</v>
      </c>
      <c r="AQ19" s="160">
        <f ca="1">Ануїтетна_графік_Авто!M20</f>
        <v>33005</v>
      </c>
      <c r="AS19" s="160">
        <f t="shared" ca="1" si="1"/>
        <v>254125.66395405421</v>
      </c>
    </row>
    <row r="20" spans="2:45" x14ac:dyDescent="0.3">
      <c r="Q20" s="160">
        <f>IF($G$13="Так",ROUND((G4-G6+N15)*G12/100,2),IF($G$16="Ні",ROUND((G4-G6)*G12/100,2),0))</f>
        <v>0</v>
      </c>
      <c r="T20" s="160" t="s">
        <v>439</v>
      </c>
      <c r="U20" s="160">
        <f ca="1">DAY(U19)</f>
        <v>2</v>
      </c>
      <c r="W20" s="160">
        <v>2</v>
      </c>
      <c r="X20" s="160">
        <v>28</v>
      </c>
      <c r="AA20" s="160">
        <f ca="1">Ануїтетна_графік_Авто!G21</f>
        <v>46358</v>
      </c>
      <c r="AB20" s="160">
        <v>17</v>
      </c>
      <c r="AD20" s="160">
        <f ca="1">Ануїтетна_графік_Авто!J21</f>
        <v>32769.814917595664</v>
      </c>
      <c r="AF20" s="160">
        <f ca="1">Ануїтетна_графік_Авто!K21</f>
        <v>235.18508240433715</v>
      </c>
      <c r="AH20" s="160">
        <f ca="1">Ануїтетна_графік_Авто!M21</f>
        <v>33005</v>
      </c>
      <c r="AJ20" s="160">
        <f t="shared" ca="1" si="0"/>
        <v>46387</v>
      </c>
      <c r="AK20" s="160">
        <v>17</v>
      </c>
      <c r="AM20" s="160">
        <f ca="1">Ануїтетна_графік_Авто!J21</f>
        <v>32769.814917595664</v>
      </c>
      <c r="AO20" s="160">
        <f ca="1">Ануїтетна_графік_Авто!K21</f>
        <v>235.18508240433715</v>
      </c>
      <c r="AQ20" s="160">
        <f ca="1">Ануїтетна_графік_Авто!M21</f>
        <v>33005</v>
      </c>
      <c r="AS20" s="160">
        <f t="shared" ca="1" si="1"/>
        <v>221726.10461010027</v>
      </c>
    </row>
    <row r="21" spans="2:45" x14ac:dyDescent="0.3">
      <c r="B21" s="160" t="s">
        <v>440</v>
      </c>
      <c r="T21" s="160" t="s">
        <v>416</v>
      </c>
      <c r="U21" s="160">
        <f ca="1">MONTH(U19)</f>
        <v>7</v>
      </c>
      <c r="W21" s="160">
        <v>3</v>
      </c>
      <c r="X21" s="160">
        <v>31</v>
      </c>
      <c r="AA21" s="160">
        <f ca="1">Ануїтетна_графік_Авто!G22</f>
        <v>46389</v>
      </c>
      <c r="AB21" s="160">
        <v>18</v>
      </c>
      <c r="AD21" s="160">
        <f ca="1">Ануїтетна_графік_Авто!J22</f>
        <v>33128.533102881258</v>
      </c>
      <c r="AF21" s="160">
        <f ca="1">Ануїтетна_графік_Авто!K22</f>
        <v>-123.53310288125711</v>
      </c>
      <c r="AH21" s="160">
        <f ca="1">Ануїтетна_графік_Авто!M22</f>
        <v>33005</v>
      </c>
      <c r="AJ21" s="160">
        <f t="shared" ca="1" si="0"/>
        <v>46418</v>
      </c>
      <c r="AK21" s="160">
        <v>18</v>
      </c>
      <c r="AM21" s="160">
        <f ca="1">Ануїтетна_графік_Авто!J22</f>
        <v>33128.533102881258</v>
      </c>
      <c r="AO21" s="160">
        <f ca="1">Ануїтетна_графік_Авто!K22</f>
        <v>-123.53310288125711</v>
      </c>
      <c r="AQ21" s="160">
        <f ca="1">Ануїтетна_графік_Авто!M22</f>
        <v>33005</v>
      </c>
      <c r="AS21" s="160">
        <f t="shared" ca="1" si="1"/>
        <v>188956.28969250462</v>
      </c>
    </row>
    <row r="22" spans="2:45" x14ac:dyDescent="0.3">
      <c r="B22" s="160" t="s">
        <v>415</v>
      </c>
      <c r="T22" s="160" t="s">
        <v>441</v>
      </c>
      <c r="U22" s="160">
        <v>1200000</v>
      </c>
      <c r="W22" s="160">
        <v>4</v>
      </c>
      <c r="X22" s="160">
        <v>30</v>
      </c>
      <c r="AA22" s="160">
        <f ca="1">Ануїтетна_графік_Авто!G23</f>
        <v>46420</v>
      </c>
      <c r="AB22" s="160">
        <v>19</v>
      </c>
      <c r="AD22" s="160">
        <f ca="1">Ануїтетна_графік_Авто!J23</f>
        <v>33499.103352747901</v>
      </c>
      <c r="AF22" s="160">
        <f ca="1">Ануїтетна_графік_Авто!K23</f>
        <v>-494.10335274790305</v>
      </c>
      <c r="AH22" s="160">
        <f ca="1">Ануїтетна_графік_Авто!M23</f>
        <v>33005</v>
      </c>
      <c r="AJ22" s="160">
        <f t="shared" ca="1" si="0"/>
        <v>46446</v>
      </c>
      <c r="AK22" s="160">
        <v>19</v>
      </c>
      <c r="AM22" s="160">
        <f ca="1">Ануїтетна_графік_Авто!J23</f>
        <v>33499.103352747901</v>
      </c>
      <c r="AO22" s="160">
        <f ca="1">Ануїтетна_графік_Авто!K23</f>
        <v>-494.10335274790305</v>
      </c>
      <c r="AQ22" s="160">
        <f ca="1">Ануїтетна_графік_Авто!M23</f>
        <v>33005</v>
      </c>
      <c r="AS22" s="160">
        <f t="shared" ca="1" si="1"/>
        <v>155827.75658962337</v>
      </c>
    </row>
    <row r="23" spans="2:45" x14ac:dyDescent="0.3">
      <c r="B23" s="160" t="s">
        <v>416</v>
      </c>
      <c r="D23" s="160" t="s">
        <v>417</v>
      </c>
      <c r="E23" s="160" t="s">
        <v>418</v>
      </c>
      <c r="F23" s="160" t="s">
        <v>419</v>
      </c>
      <c r="H23" s="160" t="s">
        <v>508</v>
      </c>
      <c r="T23" s="160" t="s">
        <v>442</v>
      </c>
      <c r="U23" s="160">
        <f>'Калькулятор '!V23</f>
        <v>50</v>
      </c>
      <c r="W23" s="160">
        <v>5</v>
      </c>
      <c r="X23" s="160">
        <v>31</v>
      </c>
      <c r="AA23" s="160">
        <f ca="1">Ануїтетна_графік_Авто!G24</f>
        <v>46448</v>
      </c>
      <c r="AB23" s="160">
        <v>20</v>
      </c>
      <c r="AD23" s="160">
        <f ca="1">Ануїтетна_графік_Авто!J24</f>
        <v>33789.739506796766</v>
      </c>
      <c r="AF23" s="160">
        <f ca="1">Ануїтетна_графік_Авто!K24</f>
        <v>-784.73950679676682</v>
      </c>
      <c r="AH23" s="160">
        <f ca="1">Ануїтетна_графік_Авто!M24</f>
        <v>33005</v>
      </c>
      <c r="AJ23" s="160">
        <f t="shared" ca="1" si="0"/>
        <v>46477</v>
      </c>
      <c r="AK23" s="160">
        <v>20</v>
      </c>
      <c r="AM23" s="160">
        <f ca="1">Ануїтетна_графік_Авто!J24</f>
        <v>33789.739506796766</v>
      </c>
      <c r="AO23" s="160">
        <f ca="1">Ануїтетна_графік_Авто!K24</f>
        <v>-784.73950679676682</v>
      </c>
      <c r="AQ23" s="160">
        <f ca="1">Ануїтетна_графік_Авто!M24</f>
        <v>33005</v>
      </c>
      <c r="AS23" s="160">
        <f t="shared" ca="1" si="1"/>
        <v>122328.65323687547</v>
      </c>
    </row>
    <row r="24" spans="2:45" x14ac:dyDescent="0.3">
      <c r="P24" s="160">
        <f ca="1">TODAY()</f>
        <v>45840</v>
      </c>
      <c r="Q24" s="160" t="s">
        <v>438</v>
      </c>
      <c r="R24" s="160" t="s">
        <v>443</v>
      </c>
      <c r="AA24" s="160">
        <f ca="1">Ануїтетна_графік_Авто!G25</f>
        <v>46479</v>
      </c>
      <c r="AB24" s="160">
        <v>21</v>
      </c>
      <c r="AD24" s="160">
        <f ca="1">Ануїтетна_графік_Авто!J25</f>
        <v>34251.785134167629</v>
      </c>
      <c r="AF24" s="160">
        <f ca="1">Ануїтетна_графік_Авто!K25</f>
        <v>-1246.7851341676264</v>
      </c>
      <c r="AH24" s="160">
        <f ca="1">Ануїтетна_графік_Авто!M25</f>
        <v>33005</v>
      </c>
      <c r="AJ24" s="160">
        <f t="shared" ca="1" si="0"/>
        <v>46507</v>
      </c>
      <c r="AK24" s="160">
        <v>21</v>
      </c>
      <c r="AM24" s="160">
        <f ca="1">Ануїтетна_графік_Авто!J25</f>
        <v>34251.785134167629</v>
      </c>
      <c r="AO24" s="160">
        <f ca="1">Ануїтетна_графік_Авто!K25</f>
        <v>-1246.7851341676264</v>
      </c>
      <c r="AQ24" s="160">
        <f ca="1">Ануїтетна_графік_Авто!M25</f>
        <v>33005</v>
      </c>
      <c r="AS24" s="160">
        <f t="shared" ca="1" si="1"/>
        <v>88538.913730078697</v>
      </c>
    </row>
    <row r="25" spans="2:45" x14ac:dyDescent="0.3">
      <c r="B25" s="160">
        <v>1</v>
      </c>
      <c r="D25" s="160">
        <v>15820.916666666668</v>
      </c>
      <c r="F25" s="160">
        <v>7830.083333333333</v>
      </c>
      <c r="H25" s="160">
        <v>23651</v>
      </c>
      <c r="K25" s="160" t="s">
        <v>444</v>
      </c>
      <c r="N25" s="160">
        <f>IF($S$4=3,$G$6,IF($S$4=2,$G$4*$G$6,IF($S$4=1,0)))</f>
        <v>300000</v>
      </c>
      <c r="P25" s="160">
        <f ca="1">IF(P24&lt;Q26,R25,IF(P24&lt;Q27,R26,R27))</f>
        <v>2589</v>
      </c>
      <c r="Q25" s="160">
        <v>44562</v>
      </c>
      <c r="R25" s="160">
        <v>2589</v>
      </c>
      <c r="W25" s="160">
        <v>6</v>
      </c>
      <c r="X25" s="160">
        <v>30</v>
      </c>
      <c r="AA25" s="160">
        <f ca="1">Ануїтетна_графік_Авто!G26</f>
        <v>46509</v>
      </c>
      <c r="AB25" s="160">
        <v>22</v>
      </c>
      <c r="AD25" s="160">
        <f ca="1">Ануїтетна_графік_Авто!J26</f>
        <v>34582.341832949263</v>
      </c>
      <c r="AF25" s="160">
        <f ca="1">Ануїтетна_графік_Авто!K26</f>
        <v>-1577.3418329492613</v>
      </c>
      <c r="AH25" s="160">
        <f ca="1">Ануїтетна_графік_Авто!M26</f>
        <v>33005</v>
      </c>
      <c r="AJ25" s="160">
        <f t="shared" ca="1" si="0"/>
        <v>46538</v>
      </c>
      <c r="AK25" s="160">
        <v>22</v>
      </c>
      <c r="AM25" s="160">
        <f ca="1">Ануїтетна_графік_Авто!J26</f>
        <v>34582.341832949263</v>
      </c>
      <c r="AO25" s="160">
        <f ca="1">Ануїтетна_графік_Авто!K26</f>
        <v>-1577.3418329492613</v>
      </c>
      <c r="AQ25" s="160">
        <f ca="1">Ануїтетна_графік_Авто!M26</f>
        <v>33005</v>
      </c>
      <c r="AS25" s="160">
        <f t="shared" ca="1" si="1"/>
        <v>54287.128595911068</v>
      </c>
    </row>
    <row r="26" spans="2:45" x14ac:dyDescent="0.3">
      <c r="B26" s="160">
        <v>2</v>
      </c>
      <c r="D26" s="160">
        <v>16244.761422916667</v>
      </c>
      <c r="F26" s="160">
        <v>7406.2385770833334</v>
      </c>
      <c r="H26" s="160">
        <v>23651</v>
      </c>
      <c r="Q26" s="160">
        <v>44562</v>
      </c>
      <c r="R26" s="160">
        <v>2589</v>
      </c>
      <c r="W26" s="160">
        <v>7</v>
      </c>
      <c r="X26" s="160">
        <v>31</v>
      </c>
      <c r="AA26" s="160">
        <f ca="1">Ануїтетна_графік_Авто!G27</f>
        <v>46540</v>
      </c>
      <c r="AB26" s="160">
        <f>AB25+1</f>
        <v>23</v>
      </c>
      <c r="AD26" s="160">
        <f ca="1">Ануїтетна_графік_Авто!J27</f>
        <v>35021.7522060673</v>
      </c>
      <c r="AF26" s="160">
        <f ca="1">Ануїтетна_графік_Авто!K27</f>
        <v>-2016.7522060673018</v>
      </c>
      <c r="AH26" s="160">
        <f ca="1">Ануїтетна_графік_Авто!M27</f>
        <v>33005</v>
      </c>
      <c r="AJ26" s="160">
        <f t="shared" ca="1" si="0"/>
        <v>46568</v>
      </c>
      <c r="AK26" s="160">
        <v>23</v>
      </c>
      <c r="AM26" s="160">
        <f ca="1">Ануїтетна_графік_Авто!J27</f>
        <v>35021.7522060673</v>
      </c>
      <c r="AO26" s="160">
        <f ca="1">Ануїтетна_графік_Авто!K27</f>
        <v>-2016.7522060673018</v>
      </c>
      <c r="AQ26" s="160">
        <f ca="1">Ануїтетна_графік_Авто!M27</f>
        <v>33005</v>
      </c>
      <c r="AS26" s="160">
        <f t="shared" ca="1" si="1"/>
        <v>19704.786762961805</v>
      </c>
    </row>
    <row r="27" spans="2:45" x14ac:dyDescent="0.3">
      <c r="B27" s="160">
        <v>3</v>
      </c>
      <c r="D27" s="160">
        <v>16179.597997497063</v>
      </c>
      <c r="F27" s="160">
        <v>7471.4020025029367</v>
      </c>
      <c r="H27" s="160">
        <v>23651</v>
      </c>
      <c r="Q27" s="160">
        <v>44562</v>
      </c>
      <c r="R27" s="160">
        <v>2589</v>
      </c>
      <c r="W27" s="160">
        <v>8</v>
      </c>
      <c r="X27" s="160">
        <v>31</v>
      </c>
      <c r="AA27" s="160">
        <f ca="1">Ануїтетна_графік_Авто!G28</f>
        <v>46570</v>
      </c>
      <c r="AB27" s="160">
        <f>AB26+1</f>
        <v>24</v>
      </c>
      <c r="AD27" s="160">
        <f ca="1">Ануїтетна_графік_Авто!J28</f>
        <v>35347.335491534759</v>
      </c>
      <c r="AF27" s="160">
        <f ca="1">Ануїтетна_графік_Авто!K28</f>
        <v>-2330.8061509216154</v>
      </c>
      <c r="AH27" s="160">
        <f ca="1">Ануїтетна_графік_Авто!M28</f>
        <v>33016.529340613146</v>
      </c>
      <c r="AJ27" s="160">
        <f t="shared" ca="1" si="0"/>
        <v>46599</v>
      </c>
      <c r="AK27" s="160">
        <v>24</v>
      </c>
      <c r="AM27" s="160">
        <f ca="1">Ануїтетна_графік_Авто!J28</f>
        <v>35347.335491534759</v>
      </c>
      <c r="AO27" s="160">
        <f ca="1">Ануїтетна_графік_Авто!K28</f>
        <v>-2330.8061509216154</v>
      </c>
      <c r="AQ27" s="160">
        <f ca="1">Ануїтетна_графік_Авто!M28</f>
        <v>33016.529340613146</v>
      </c>
      <c r="AS27" s="160">
        <f t="shared" ca="1" si="1"/>
        <v>-15316.965443105495</v>
      </c>
    </row>
    <row r="28" spans="2:45" x14ac:dyDescent="0.3">
      <c r="B28" s="160">
        <v>4</v>
      </c>
      <c r="D28" s="160">
        <v>16360.580284097399</v>
      </c>
      <c r="F28" s="160">
        <v>7290.4197159026007</v>
      </c>
      <c r="H28" s="160">
        <v>23651</v>
      </c>
      <c r="K28" s="160" t="s">
        <v>445</v>
      </c>
      <c r="N28" s="160">
        <f>G10</f>
        <v>6930</v>
      </c>
      <c r="W28" s="160">
        <v>9</v>
      </c>
      <c r="X28" s="160">
        <v>30</v>
      </c>
      <c r="AA28" s="160">
        <f ca="1">Ануїтетна_графік_Авто!G29</f>
        <v>46601</v>
      </c>
      <c r="AB28" s="160">
        <f t="shared" ref="AB28:AB78" si="2">AB27+1</f>
        <v>25</v>
      </c>
      <c r="AD28" s="160">
        <f ca="1">Ануїтетна_графік_Авто!J29</f>
        <v>35808.889092871395</v>
      </c>
      <c r="AF28" s="160">
        <f ca="1">Ануїтетна_графік_Авто!K29</f>
        <v>-2803.8890928713954</v>
      </c>
      <c r="AH28" s="160">
        <f ca="1">Ануїтетна_графік_Авто!M29</f>
        <v>33005</v>
      </c>
      <c r="AJ28" s="160">
        <f t="shared" ca="1" si="0"/>
        <v>46630</v>
      </c>
      <c r="AK28" s="160">
        <v>25</v>
      </c>
      <c r="AM28" s="160">
        <f ca="1">Ануїтетна_графік_Авто!J29</f>
        <v>35808.889092871395</v>
      </c>
      <c r="AO28" s="160">
        <f ca="1">Ануїтетна_графік_Авто!K29</f>
        <v>-2803.8890928713954</v>
      </c>
      <c r="AQ28" s="160">
        <f ca="1">Ануїтетна_графік_Авто!M29</f>
        <v>33005</v>
      </c>
      <c r="AS28" s="160">
        <f t="shared" ca="1" si="1"/>
        <v>-50664.300934640254</v>
      </c>
    </row>
    <row r="29" spans="2:45" x14ac:dyDescent="0.3">
      <c r="B29" s="160">
        <v>5</v>
      </c>
      <c r="D29" s="160">
        <v>16772.858395217998</v>
      </c>
      <c r="F29" s="160">
        <v>6878.1416047820012</v>
      </c>
      <c r="H29" s="160">
        <v>23651</v>
      </c>
      <c r="W29" s="160">
        <v>10</v>
      </c>
      <c r="X29" s="160">
        <v>31</v>
      </c>
      <c r="AA29" s="160">
        <f ca="1">Ануїтетна_графік_Авто!G30</f>
        <v>46632</v>
      </c>
      <c r="AB29" s="160">
        <f t="shared" si="2"/>
        <v>26</v>
      </c>
      <c r="AD29" s="160">
        <f ca="1">Ануїтетна_графік_Авто!J30</f>
        <v>36209.44135811607</v>
      </c>
      <c r="AF29" s="160">
        <f ca="1">Ануїтетна_графік_Авто!K30</f>
        <v>-3204.4413581160725</v>
      </c>
      <c r="AH29" s="160">
        <f ca="1">Ануїтетна_графік_Авто!M30</f>
        <v>33005</v>
      </c>
      <c r="AJ29" s="160">
        <f t="shared" ca="1" si="0"/>
        <v>46660</v>
      </c>
      <c r="AK29" s="160">
        <v>26</v>
      </c>
      <c r="AM29" s="160">
        <f ca="1">Ануїтетна_графік_Авто!J30</f>
        <v>36209.44135811607</v>
      </c>
      <c r="AO29" s="160">
        <f ca="1">Ануїтетна_графік_Авто!K30</f>
        <v>-3204.4413581160725</v>
      </c>
      <c r="AQ29" s="160">
        <f ca="1">Ануїтетна_графік_Авто!M30</f>
        <v>33005</v>
      </c>
      <c r="AS29" s="160">
        <f t="shared" ca="1" si="1"/>
        <v>-86473.19002751165</v>
      </c>
    </row>
    <row r="30" spans="2:45" x14ac:dyDescent="0.3">
      <c r="B30" s="160">
        <v>6</v>
      </c>
      <c r="D30" s="160">
        <v>16731.20540692444</v>
      </c>
      <c r="F30" s="160">
        <v>6919.7945930755586</v>
      </c>
      <c r="H30" s="160">
        <v>23651</v>
      </c>
      <c r="W30" s="160">
        <v>11</v>
      </c>
      <c r="X30" s="160">
        <v>30</v>
      </c>
      <c r="AA30" s="160">
        <f ca="1">Ануїтетна_графік_Авто!G31</f>
        <v>46662</v>
      </c>
      <c r="AB30" s="160">
        <f t="shared" si="2"/>
        <v>27</v>
      </c>
      <c r="AD30" s="160">
        <f ca="1">Ануїтетна_графік_Авто!J31</f>
        <v>36498.039484749417</v>
      </c>
      <c r="AF30" s="160">
        <f ca="1">Ануїтетна_графік_Авто!K31</f>
        <v>-3493.0394847494185</v>
      </c>
      <c r="AH30" s="160">
        <f ca="1">Ануїтетна_графік_Авто!M31</f>
        <v>33005</v>
      </c>
      <c r="AJ30" s="160">
        <f t="shared" ca="1" si="0"/>
        <v>46691</v>
      </c>
      <c r="AK30" s="160">
        <v>27</v>
      </c>
      <c r="AM30" s="160">
        <f ca="1">Ануїтетна_графік_Авто!J31</f>
        <v>36498.039484749417</v>
      </c>
      <c r="AO30" s="160">
        <f ca="1">Ануїтетна_графік_Авто!K31</f>
        <v>-3493.0394847494185</v>
      </c>
      <c r="AQ30" s="160">
        <f ca="1">Ануїтетна_графік_Авто!M31</f>
        <v>33005</v>
      </c>
      <c r="AS30" s="160">
        <f t="shared" ca="1" si="1"/>
        <v>-122682.63138562773</v>
      </c>
    </row>
    <row r="31" spans="2:45" x14ac:dyDescent="0.3">
      <c r="B31" s="160">
        <v>7</v>
      </c>
      <c r="D31" s="160">
        <v>17135.539885876191</v>
      </c>
      <c r="F31" s="160">
        <v>6515.460114123809</v>
      </c>
      <c r="H31" s="160">
        <v>23651</v>
      </c>
      <c r="K31" s="160" t="s">
        <v>448</v>
      </c>
      <c r="N31" s="160">
        <f>N15</f>
        <v>51600</v>
      </c>
      <c r="W31" s="160">
        <v>12</v>
      </c>
      <c r="X31" s="160">
        <v>31</v>
      </c>
      <c r="AA31" s="160">
        <f ca="1">Ануїтетна_графік_Авто!G32</f>
        <v>46693</v>
      </c>
      <c r="AB31" s="160">
        <f t="shared" si="2"/>
        <v>28</v>
      </c>
      <c r="AD31" s="160">
        <f ca="1">Ануїтетна_графік_Авто!J32</f>
        <v>37022.735120910889</v>
      </c>
      <c r="AF31" s="160">
        <f ca="1">Ануїтетна_графік_Авто!K32</f>
        <v>-4017.7351209108915</v>
      </c>
      <c r="AH31" s="160">
        <f ca="1">Ануїтетна_графік_Авто!M32</f>
        <v>33005</v>
      </c>
      <c r="AJ31" s="160">
        <f t="shared" ca="1" si="0"/>
        <v>46721</v>
      </c>
      <c r="AK31" s="160">
        <v>28</v>
      </c>
      <c r="AM31" s="160">
        <f ca="1">Ануїтетна_графік_Авто!J32</f>
        <v>37022.735120910889</v>
      </c>
      <c r="AO31" s="160">
        <f ca="1">Ануїтетна_графік_Авто!K32</f>
        <v>-4017.7351209108915</v>
      </c>
      <c r="AQ31" s="160">
        <f ca="1">Ануїтетна_графік_Авто!M32</f>
        <v>33005</v>
      </c>
      <c r="AS31" s="160">
        <f t="shared" ca="1" si="1"/>
        <v>-159180.67087037716</v>
      </c>
    </row>
    <row r="32" spans="2:45" x14ac:dyDescent="0.3">
      <c r="B32" s="160">
        <v>8</v>
      </c>
      <c r="D32" s="160">
        <v>17110.033175312161</v>
      </c>
      <c r="F32" s="160">
        <v>6540.9668246878382</v>
      </c>
      <c r="H32" s="160">
        <v>23651</v>
      </c>
      <c r="P32" s="160" t="s">
        <v>446</v>
      </c>
      <c r="AA32" s="160">
        <f ca="1">Ануїтетна_графік_Авто!G33</f>
        <v>46723</v>
      </c>
      <c r="AB32" s="160">
        <f t="shared" si="2"/>
        <v>29</v>
      </c>
      <c r="AD32" s="160">
        <f ca="1">Ануїтетна_графік_Авто!J33</f>
        <v>37293.90186985569</v>
      </c>
      <c r="AF32" s="160">
        <f ca="1">Ануїтетна_графік_Авто!K33</f>
        <v>-4288.901869855692</v>
      </c>
      <c r="AH32" s="160">
        <f ca="1">Ануїтетна_графік_Авто!M33</f>
        <v>33005</v>
      </c>
      <c r="AJ32" s="160">
        <f t="shared" ca="1" si="0"/>
        <v>46752</v>
      </c>
      <c r="AK32" s="160">
        <v>29</v>
      </c>
      <c r="AM32" s="160">
        <f ca="1">Ануїтетна_графік_Авто!J33</f>
        <v>37293.90186985569</v>
      </c>
      <c r="AO32" s="160">
        <f ca="1">Ануїтетна_графік_Авто!K33</f>
        <v>-4288.901869855692</v>
      </c>
      <c r="AQ32" s="160">
        <f ca="1">Ануїтетна_графік_Авто!M33</f>
        <v>33005</v>
      </c>
      <c r="AS32" s="160">
        <f t="shared" ca="1" si="1"/>
        <v>-196203.40599128805</v>
      </c>
    </row>
    <row r="33" spans="2:45" x14ac:dyDescent="0.3">
      <c r="B33" s="160">
        <v>9</v>
      </c>
      <c r="D33" s="160">
        <v>17301.423154739008</v>
      </c>
      <c r="F33" s="160">
        <v>6349.5768452609918</v>
      </c>
      <c r="H33" s="160">
        <v>23651</v>
      </c>
      <c r="P33" s="160" t="s">
        <v>447</v>
      </c>
      <c r="AA33" s="160">
        <f ca="1">Ануїтетна_графік_Авто!G34</f>
        <v>46754</v>
      </c>
      <c r="AB33" s="160">
        <f t="shared" si="2"/>
        <v>30</v>
      </c>
      <c r="AD33" s="160">
        <f ca="1">Ануїтетна_графік_Авто!J34</f>
        <v>37854.028636183444</v>
      </c>
      <c r="AF33" s="160">
        <f ca="1">Ануїтетна_графік_Авто!K34</f>
        <v>-4849.0286361834424</v>
      </c>
      <c r="AH33" s="160">
        <f ca="1">Ануїтетна_графік_Авто!M34</f>
        <v>33005</v>
      </c>
      <c r="AJ33" s="160">
        <f t="shared" ca="1" si="0"/>
        <v>46783</v>
      </c>
      <c r="AK33" s="160">
        <v>30</v>
      </c>
      <c r="AM33" s="160">
        <f ca="1">Ануїтетна_графік_Авто!J34</f>
        <v>37854.028636183444</v>
      </c>
      <c r="AO33" s="160">
        <f ca="1">Ануїтетна_графік_Авто!K34</f>
        <v>-4849.0286361834424</v>
      </c>
      <c r="AQ33" s="160">
        <f ca="1">Ануїтетна_графік_Авто!M34</f>
        <v>33005</v>
      </c>
      <c r="AS33" s="160">
        <f t="shared" ca="1" si="1"/>
        <v>-233497.30786114372</v>
      </c>
    </row>
    <row r="34" spans="2:45" x14ac:dyDescent="0.3">
      <c r="B34" s="160">
        <v>10</v>
      </c>
      <c r="D34" s="160">
        <v>18090.700378586032</v>
      </c>
      <c r="F34" s="160">
        <v>5560.2996214139675</v>
      </c>
      <c r="H34" s="160">
        <v>23651</v>
      </c>
      <c r="K34" s="160" t="s">
        <v>449</v>
      </c>
      <c r="N34" s="160">
        <f>IF(N12=0,0,IF(G13="Ні",N12,IF(G13="Так","НВ включено у суму кредиту",0)))</f>
        <v>0</v>
      </c>
      <c r="AA34" s="160">
        <f ca="1">Ануїтетна_графік_Авто!G35</f>
        <v>46785</v>
      </c>
      <c r="AB34" s="160">
        <f t="shared" si="2"/>
        <v>31</v>
      </c>
      <c r="AD34" s="160">
        <f ca="1">Ануїтетна_графік_Авто!J35</f>
        <v>38277.457491503017</v>
      </c>
      <c r="AF34" s="160">
        <f ca="1">Ануїтетна_графік_Авто!K35</f>
        <v>-5272.457491503018</v>
      </c>
      <c r="AH34" s="160">
        <f ca="1">Ануїтетна_графік_Авто!M35</f>
        <v>33005</v>
      </c>
      <c r="AJ34" s="160">
        <f t="shared" ca="1" si="0"/>
        <v>46812</v>
      </c>
      <c r="AK34" s="160">
        <v>31</v>
      </c>
      <c r="AM34" s="160">
        <f ca="1">Ануїтетна_графік_Авто!J35</f>
        <v>38277.457491503017</v>
      </c>
      <c r="AO34" s="160">
        <f ca="1">Ануїтетна_графік_Авто!K35</f>
        <v>-5272.457491503018</v>
      </c>
      <c r="AQ34" s="160">
        <f ca="1">Ануїтетна_графік_Авто!M35</f>
        <v>33005</v>
      </c>
      <c r="AS34" s="160">
        <f t="shared" ca="1" si="1"/>
        <v>-271351.3364973272</v>
      </c>
    </row>
    <row r="35" spans="2:45" x14ac:dyDescent="0.3">
      <c r="B35" s="160">
        <v>11</v>
      </c>
      <c r="D35" s="160">
        <v>17697.313549895527</v>
      </c>
      <c r="F35" s="160">
        <v>5953.6864501044738</v>
      </c>
      <c r="H35" s="160">
        <v>23651</v>
      </c>
      <c r="AA35" s="160">
        <f ca="1">Ануїтетна_графік_Авто!G36</f>
        <v>46814</v>
      </c>
      <c r="AB35" s="160">
        <f t="shared" si="2"/>
        <v>32</v>
      </c>
      <c r="AD35" s="160">
        <f ca="1">Ануїтетна_графік_Авто!J36</f>
        <v>38337.840638431451</v>
      </c>
      <c r="AF35" s="160">
        <f ca="1">Ануїтетна_графік_Авто!K36</f>
        <v>-5332.8406384314494</v>
      </c>
      <c r="AH35" s="160">
        <f ca="1">Ануїтетна_графік_Авто!M36</f>
        <v>33005</v>
      </c>
      <c r="AJ35" s="160">
        <f t="shared" ca="1" si="0"/>
        <v>46843</v>
      </c>
      <c r="AK35" s="160">
        <v>32</v>
      </c>
      <c r="AM35" s="160">
        <f ca="1">Ануїтетна_графік_Авто!J36</f>
        <v>38337.840638431451</v>
      </c>
      <c r="AO35" s="160">
        <f ca="1">Ануїтетна_графік_Авто!K36</f>
        <v>-5332.8406384314494</v>
      </c>
      <c r="AQ35" s="160">
        <f ca="1">Ануїтетна_графік_Авто!M36</f>
        <v>33005</v>
      </c>
      <c r="AS35" s="160">
        <f t="shared" ca="1" si="1"/>
        <v>-309628.79398883024</v>
      </c>
    </row>
    <row r="36" spans="2:45" x14ac:dyDescent="0.3">
      <c r="B36" s="160">
        <v>12</v>
      </c>
      <c r="D36" s="160">
        <v>18080.941370689419</v>
      </c>
      <c r="F36" s="160">
        <v>5570.0586293105807</v>
      </c>
      <c r="H36" s="160">
        <v>23651</v>
      </c>
      <c r="AA36" s="160">
        <f ca="1">Ануїтетна_графік_Авто!G37</f>
        <v>46845</v>
      </c>
      <c r="AB36" s="160">
        <f t="shared" si="2"/>
        <v>33</v>
      </c>
      <c r="AD36" s="160">
        <f ca="1">Ануїтетна_графік_Авто!J37</f>
        <v>39134.463447168113</v>
      </c>
      <c r="AF36" s="160">
        <f ca="1">Ануїтетна_графік_Авто!K37</f>
        <v>-6129.4634471681102</v>
      </c>
      <c r="AH36" s="160">
        <f ca="1">Ануїтетна_графік_Авто!M37</f>
        <v>33005</v>
      </c>
      <c r="AJ36" s="160">
        <f t="shared" ca="1" si="0"/>
        <v>46873</v>
      </c>
      <c r="AK36" s="160">
        <v>33</v>
      </c>
      <c r="AM36" s="160">
        <f ca="1">Ануїтетна_графік_Авто!J37</f>
        <v>39134.463447168113</v>
      </c>
      <c r="AO36" s="160">
        <f ca="1">Ануїтетна_графік_Авто!K37</f>
        <v>-6129.4634471681102</v>
      </c>
      <c r="AQ36" s="160">
        <f ca="1">Ануїтетна_графік_Авто!M37</f>
        <v>33005</v>
      </c>
      <c r="AS36" s="160">
        <f t="shared" ca="1" si="1"/>
        <v>-347966.63462726166</v>
      </c>
    </row>
    <row r="37" spans="2:45" x14ac:dyDescent="0.3">
      <c r="B37" s="160">
        <v>13</v>
      </c>
      <c r="D37" s="160">
        <v>18097.523146394706</v>
      </c>
      <c r="F37" s="160">
        <v>5553.4768536052961</v>
      </c>
      <c r="H37" s="160">
        <v>23651</v>
      </c>
      <c r="K37" s="160" t="s">
        <v>450</v>
      </c>
      <c r="N37" s="160">
        <v>0</v>
      </c>
      <c r="AA37" s="160">
        <f ca="1">Ануїтетна_графік_Авто!G38</f>
        <v>46875</v>
      </c>
      <c r="AB37" s="160">
        <f t="shared" si="2"/>
        <v>34</v>
      </c>
      <c r="AD37" s="160">
        <f ca="1">Ануїтетна_графік_Авто!J38</f>
        <v>39360.369386655701</v>
      </c>
      <c r="AF37" s="160">
        <f ca="1">Ануїтетна_графік_Авто!K38</f>
        <v>-6355.3693866557014</v>
      </c>
      <c r="AH37" s="160">
        <f ca="1">Ануїтетна_графік_Авто!M38</f>
        <v>33005</v>
      </c>
      <c r="AJ37" s="160">
        <f t="shared" ca="1" si="0"/>
        <v>46904</v>
      </c>
      <c r="AK37" s="160">
        <v>34</v>
      </c>
      <c r="AM37" s="160">
        <f ca="1">Ануїтетна_графік_Авто!J38</f>
        <v>39360.369386655701</v>
      </c>
      <c r="AO37" s="160">
        <f ca="1">Ануїтетна_графік_Авто!K38</f>
        <v>-6355.3693866557014</v>
      </c>
      <c r="AQ37" s="160">
        <f ca="1">Ануїтетна_графік_Авто!M38</f>
        <v>33005</v>
      </c>
      <c r="AS37" s="160">
        <f t="shared" ca="1" si="1"/>
        <v>-387101.09807442978</v>
      </c>
    </row>
    <row r="38" spans="2:45" x14ac:dyDescent="0.3">
      <c r="B38" s="160">
        <v>14</v>
      </c>
      <c r="D38" s="160">
        <v>18472.573249086854</v>
      </c>
      <c r="F38" s="160">
        <v>5178.426750913145</v>
      </c>
      <c r="H38" s="160">
        <v>23651</v>
      </c>
      <c r="AA38" s="160">
        <f ca="1">Ануїтетна_графік_Авто!G39</f>
        <v>46906</v>
      </c>
      <c r="AB38" s="160">
        <f t="shared" si="2"/>
        <v>35</v>
      </c>
      <c r="AD38" s="160">
        <f ca="1">Ануїтетна_графік_Авто!J39</f>
        <v>40012.493564775126</v>
      </c>
      <c r="AF38" s="160">
        <f ca="1">Ануїтетна_графік_Авто!K39</f>
        <v>-7007.4935647751245</v>
      </c>
      <c r="AH38" s="160">
        <f ca="1">Ануїтетна_графік_Авто!M39</f>
        <v>33005</v>
      </c>
      <c r="AJ38" s="160">
        <f t="shared" ca="1" si="0"/>
        <v>46934</v>
      </c>
      <c r="AK38" s="160">
        <v>35</v>
      </c>
      <c r="AM38" s="160">
        <f ca="1">Ануїтетна_графік_Авто!J39</f>
        <v>40012.493564775126</v>
      </c>
      <c r="AO38" s="160">
        <f ca="1">Ануїтетна_графік_Авто!K39</f>
        <v>-7007.4935647751245</v>
      </c>
      <c r="AQ38" s="160">
        <f ca="1">Ануїтетна_графік_Авто!M39</f>
        <v>33005</v>
      </c>
      <c r="AS38" s="160">
        <f t="shared" ca="1" si="1"/>
        <v>-426461.46746108547</v>
      </c>
    </row>
    <row r="39" spans="2:45" x14ac:dyDescent="0.3">
      <c r="B39" s="160">
        <v>15</v>
      </c>
      <c r="D39" s="160">
        <v>18506.590149658492</v>
      </c>
      <c r="F39" s="160">
        <v>5144.4098503415062</v>
      </c>
      <c r="H39" s="160">
        <v>23651</v>
      </c>
      <c r="S39" s="160" t="s">
        <v>407</v>
      </c>
      <c r="T39" s="160">
        <f>G4/6*5</f>
        <v>833333.33333333326</v>
      </c>
      <c r="AA39" s="160">
        <f ca="1">Ануїтетна_графік_Авто!G40</f>
        <v>46936</v>
      </c>
      <c r="AB39" s="160">
        <f t="shared" si="2"/>
        <v>36</v>
      </c>
      <c r="AD39" s="160">
        <f ca="1">Ануїтетна_графік_Авто!J40</f>
        <v>40219.580628104937</v>
      </c>
      <c r="AF39" s="160">
        <f ca="1">Ануїтетна_графік_Авто!K40</f>
        <v>-7214.5806281049399</v>
      </c>
      <c r="AH39" s="160">
        <f ca="1">Ануїтетна_графік_Авто!M40</f>
        <v>33005</v>
      </c>
      <c r="AJ39" s="160">
        <f t="shared" ca="1" si="0"/>
        <v>46965</v>
      </c>
      <c r="AK39" s="160">
        <v>36</v>
      </c>
      <c r="AM39" s="160">
        <f ca="1">Ануїтетна_графік_Авто!J40</f>
        <v>40219.580628104937</v>
      </c>
      <c r="AO39" s="160">
        <f ca="1">Ануїтетна_графік_Авто!K40</f>
        <v>-7214.5806281049399</v>
      </c>
      <c r="AQ39" s="160">
        <f ca="1">Ануїтетна_графік_Авто!M40</f>
        <v>33005</v>
      </c>
      <c r="AS39" s="160">
        <f t="shared" ca="1" si="1"/>
        <v>-466473.96102586063</v>
      </c>
    </row>
    <row r="40" spans="2:45" x14ac:dyDescent="0.3">
      <c r="B40" s="160">
        <v>16</v>
      </c>
      <c r="D40" s="160">
        <v>18713.601782640882</v>
      </c>
      <c r="F40" s="160">
        <v>4937.3982173591176</v>
      </c>
      <c r="H40" s="160">
        <v>23651</v>
      </c>
      <c r="K40" s="160" t="s">
        <v>451</v>
      </c>
      <c r="P40" s="160" t="str">
        <f>CONCATENATE(P42,P43,P44,P45,P46)</f>
        <v/>
      </c>
      <c r="Q40" s="160">
        <f>SUM(Q42:Q46)</f>
        <v>12.99</v>
      </c>
      <c r="Z40" s="160">
        <f>SUM(Z42:Z46)</f>
        <v>0</v>
      </c>
      <c r="AA40" s="160">
        <f ca="1">Ануїтетна_графік_Авто!G41</f>
        <v>46967</v>
      </c>
      <c r="AB40" s="160">
        <f t="shared" si="2"/>
        <v>37</v>
      </c>
      <c r="AD40" s="160">
        <f ca="1">Ануїтетна_графік_Авто!J41</f>
        <v>40909.956174684317</v>
      </c>
      <c r="AF40" s="160">
        <f ca="1">Ануїтетна_графік_Авто!K41</f>
        <v>-7904.9561746843156</v>
      </c>
      <c r="AH40" s="160">
        <f ca="1">Ануїтетна_графік_Авто!M41</f>
        <v>33005</v>
      </c>
      <c r="AJ40" s="160">
        <f t="shared" ca="1" si="0"/>
        <v>46996</v>
      </c>
      <c r="AK40" s="160">
        <v>37</v>
      </c>
      <c r="AM40" s="160">
        <f ca="1">Ануїтетна_графік_Авто!J41</f>
        <v>40909.956174684317</v>
      </c>
      <c r="AO40" s="160">
        <f ca="1">Ануїтетна_графік_Авто!K41</f>
        <v>-7904.9561746843156</v>
      </c>
      <c r="AQ40" s="160">
        <f ca="1">Ануїтетна_графік_Авто!M41</f>
        <v>33005</v>
      </c>
      <c r="AS40" s="160">
        <f t="shared" ca="1" si="1"/>
        <v>-506693.54165396554</v>
      </c>
    </row>
    <row r="41" spans="2:45" x14ac:dyDescent="0.3">
      <c r="B41" s="160">
        <v>17</v>
      </c>
      <c r="D41" s="160">
        <v>19075.447432175359</v>
      </c>
      <c r="F41" s="160">
        <v>4575.5525678246395</v>
      </c>
      <c r="H41" s="160">
        <v>23651</v>
      </c>
      <c r="P41" s="160" t="s">
        <v>455</v>
      </c>
      <c r="Q41" s="160" t="s">
        <v>477</v>
      </c>
      <c r="R41" s="160" t="s">
        <v>478</v>
      </c>
      <c r="S41" s="160">
        <v>12</v>
      </c>
      <c r="T41" s="160">
        <v>24</v>
      </c>
      <c r="U41" s="160">
        <v>36</v>
      </c>
      <c r="V41" s="160">
        <v>48</v>
      </c>
      <c r="W41" s="160">
        <v>60</v>
      </c>
      <c r="X41" s="160">
        <v>72</v>
      </c>
      <c r="Y41" s="160">
        <v>84</v>
      </c>
      <c r="Z41" s="160" t="s">
        <v>479</v>
      </c>
      <c r="AA41" s="160">
        <f ca="1">Ануїтетна_графік_Авто!G42</f>
        <v>46998</v>
      </c>
      <c r="AB41" s="160">
        <f t="shared" si="2"/>
        <v>38</v>
      </c>
      <c r="AD41" s="160">
        <f ca="1">Ануїтетна_графік_Авто!J42</f>
        <v>41367.568126128303</v>
      </c>
      <c r="AF41" s="160">
        <f ca="1">Ануїтетна_графік_Авто!K42</f>
        <v>-8362.5681261283062</v>
      </c>
      <c r="AH41" s="160">
        <f ca="1">Ануїтетна_графік_Авто!M42</f>
        <v>33005</v>
      </c>
      <c r="AJ41" s="160">
        <f t="shared" ca="1" si="0"/>
        <v>47026</v>
      </c>
      <c r="AK41" s="160">
        <v>38</v>
      </c>
      <c r="AM41" s="160">
        <f ca="1">Ануїтетна_графік_Авто!J42</f>
        <v>41367.568126128303</v>
      </c>
      <c r="AO41" s="160">
        <f ca="1">Ануїтетна_графік_Авто!K42</f>
        <v>-8362.5681261283062</v>
      </c>
      <c r="AQ41" s="160">
        <f ca="1">Ануїтетна_графік_Авто!M42</f>
        <v>33005</v>
      </c>
      <c r="AS41" s="160">
        <f t="shared" ca="1" si="1"/>
        <v>-547603.49782864982</v>
      </c>
    </row>
    <row r="42" spans="2:45" x14ac:dyDescent="0.3">
      <c r="B42" s="160">
        <v>18</v>
      </c>
      <c r="D42" s="160">
        <v>19136.303788982947</v>
      </c>
      <c r="F42" s="160">
        <v>4514.6962110170525</v>
      </c>
      <c r="H42" s="160">
        <v>23651</v>
      </c>
      <c r="P42" s="160" t="str">
        <f>IF($G$2=R42,IF(AND($G$2=R42,$U$23&lt;20),"Авансовий платіж має бути не менше 20%",IF(AND($G$2=R42,$U$23&gt;29.999),"Авансовий платіж має бути менше 30%","Авансовий платіж достатній")),"")</f>
        <v/>
      </c>
      <c r="Q42" s="160">
        <f>IF(AND(U23&lt;50,$N$8=$S$41),S42,
IF(AND(U23&lt;50,$N$8=$T$41),T42,
IF(AND(U23&lt;50,$N$8=$U$41),U42,
IF(AND(U23&lt;50,$N$8=$V$41),V42,
IF(AND(U23&lt;50,$N$8=$W$41),W42,
IF(AND(U23&lt;50,$N$8=$X$41),X42,
IF(AND(U23&lt;50,$N$8=$Y$41),Y42,0)))))))</f>
        <v>0</v>
      </c>
      <c r="R42" s="160" t="s">
        <v>480</v>
      </c>
      <c r="S42" s="160">
        <v>9.99</v>
      </c>
      <c r="T42" s="160">
        <v>11.99</v>
      </c>
      <c r="U42" s="160">
        <v>12.99</v>
      </c>
      <c r="V42" s="160">
        <v>13.99</v>
      </c>
      <c r="W42" s="160">
        <v>13.99</v>
      </c>
      <c r="X42" s="160">
        <v>13.99</v>
      </c>
      <c r="Y42" s="160">
        <v>13.99</v>
      </c>
      <c r="Z42" s="160">
        <f>IF(AND($G$2=R42,OR($N$8=$S$41,$N$8=$T$41,$N$8=$U$41)),0.0299,
IF(AND($G$2=R42,OR($N$8=$X$41,$N$8=$W$41,$N$8=$V$41,$N$8=$Y$41)),0,0))</f>
        <v>0</v>
      </c>
      <c r="AA42" s="160">
        <f ca="1">Ануїтетна_графік_Авто!G43</f>
        <v>47028</v>
      </c>
      <c r="AB42" s="160">
        <f t="shared" si="2"/>
        <v>39</v>
      </c>
      <c r="AD42" s="160">
        <f ca="1">Ануїтетна_графік_Авто!J43</f>
        <v>41545.611788960472</v>
      </c>
      <c r="AF42" s="160">
        <f ca="1">Ануїтетна_графік_Авто!K43</f>
        <v>-8540.6117889604739</v>
      </c>
      <c r="AH42" s="160">
        <f ca="1">Ануїтетна_графік_Авто!M43</f>
        <v>33005</v>
      </c>
      <c r="AJ42" s="160">
        <f t="shared" ca="1" si="0"/>
        <v>47057</v>
      </c>
      <c r="AK42" s="160">
        <v>39</v>
      </c>
      <c r="AM42" s="160">
        <f ca="1">Ануїтетна_графік_Авто!J43</f>
        <v>41545.611788960472</v>
      </c>
      <c r="AO42" s="160">
        <f ca="1">Ануїтетна_графік_Авто!K43</f>
        <v>-8540.6117889604739</v>
      </c>
      <c r="AQ42" s="160">
        <f ca="1">Ануїтетна_графік_Авто!M43</f>
        <v>33005</v>
      </c>
      <c r="AS42" s="160">
        <f t="shared" ca="1" si="1"/>
        <v>-588971.06595477811</v>
      </c>
    </row>
    <row r="43" spans="2:45" x14ac:dyDescent="0.3">
      <c r="B43" s="160">
        <v>19</v>
      </c>
      <c r="D43" s="160">
        <v>19489.0896391444</v>
      </c>
      <c r="F43" s="160">
        <v>4161.9103608556006</v>
      </c>
      <c r="H43" s="160">
        <v>23651</v>
      </c>
      <c r="K43" s="160" t="s">
        <v>452</v>
      </c>
      <c r="P43" s="160" t="str">
        <f>IF($G$2=R43,IF(AND($G$2=R43,$U$23&lt;30),"Авансовий платіж має бути не менше 30%",IF(AND($G$2=R43,$U$23&gt;39.999),"Авансовий платіж має бути менше 40%","Авансовий платіж достатній")),"")</f>
        <v/>
      </c>
      <c r="Q43" s="160">
        <f>IF(AND(U23&gt;=50,$N$8=$S$41),S43,
IF(AND(U23&gt;=50,$N$8=$T$41),T43,
IF(AND(U23&gt;=50,$N$8=$U$41),U43,
IF(AND(U23&gt;=50,$N$8=$V$41),V43,
IF(AND(U23&gt;=50,$N$8=$W$41),W43,
IF(AND(U23&gt;=50,$N$8=$X$41),X43,
IF(AND(U23&gt;=50,$N$8=$Y$41),Y43,0)))))))</f>
        <v>12.99</v>
      </c>
      <c r="R43" s="160" t="s">
        <v>481</v>
      </c>
      <c r="S43" s="160">
        <v>7.99</v>
      </c>
      <c r="T43" s="160">
        <v>9.99</v>
      </c>
      <c r="U43" s="160">
        <v>10.99</v>
      </c>
      <c r="V43" s="160">
        <v>12.49</v>
      </c>
      <c r="W43" s="160">
        <v>12.99</v>
      </c>
      <c r="X43" s="160">
        <v>12.99</v>
      </c>
      <c r="Y43" s="160">
        <v>12.99</v>
      </c>
      <c r="Z43" s="160">
        <f>IF(AND($G$2=R43,OR($N$8=$S$41,$N$8=$T$41,$N$8=$U$41)),0.0299,
IF(AND($G$2=R43,OR($N$8=$X$41,$N$8=$W$41,$N$8=$V$41,$N$8=$Y$41)),0,0))</f>
        <v>0</v>
      </c>
      <c r="AA43" s="160">
        <f ca="1">Ануїтетна_графік_Авто!G44</f>
        <v>47059</v>
      </c>
      <c r="AB43" s="160">
        <f>AB42+1</f>
        <v>40</v>
      </c>
      <c r="AD43" s="160">
        <f ca="1">Ануїтетна_графік_Авто!J44</f>
        <v>42295.021137795171</v>
      </c>
      <c r="AF43" s="160">
        <f ca="1">Ануїтетна_графік_Авто!K44</f>
        <v>-9290.0211377951709</v>
      </c>
      <c r="AH43" s="160">
        <f ca="1">Ануїтетна_графік_Авто!M44</f>
        <v>33005</v>
      </c>
      <c r="AJ43" s="160">
        <f t="shared" ca="1" si="0"/>
        <v>47087</v>
      </c>
      <c r="AK43" s="160">
        <v>40</v>
      </c>
      <c r="AM43" s="160">
        <f ca="1">Ануїтетна_графік_Авто!J44</f>
        <v>42295.021137795171</v>
      </c>
      <c r="AO43" s="160">
        <f ca="1">Ануїтетна_графік_Авто!K44</f>
        <v>-9290.0211377951709</v>
      </c>
      <c r="AQ43" s="160">
        <f ca="1">Ануїтетна_графік_Авто!M44</f>
        <v>33005</v>
      </c>
      <c r="AS43" s="160">
        <f t="shared" ca="1" si="1"/>
        <v>-630516.67774373863</v>
      </c>
    </row>
    <row r="44" spans="2:45" x14ac:dyDescent="0.3">
      <c r="B44" s="160">
        <v>20</v>
      </c>
      <c r="D44" s="160">
        <v>19568.361002304409</v>
      </c>
      <c r="F44" s="160">
        <v>4082.6389976955902</v>
      </c>
      <c r="H44" s="160">
        <v>23651</v>
      </c>
      <c r="AA44" s="160">
        <f ca="1">Ануїтетна_графік_Авто!G45</f>
        <v>47089</v>
      </c>
      <c r="AB44" s="160">
        <f t="shared" si="2"/>
        <v>41</v>
      </c>
      <c r="AD44" s="160">
        <f ca="1">Ануїтетна_графік_Авто!J45</f>
        <v>42453.186640392603</v>
      </c>
      <c r="AF44" s="160">
        <f ca="1">Ануїтетна_графік_Авто!K45</f>
        <v>-9448.1866403926051</v>
      </c>
      <c r="AH44" s="160">
        <f ca="1">Ануїтетна_графік_Авто!M45</f>
        <v>33005</v>
      </c>
      <c r="AJ44" s="160">
        <f t="shared" ca="1" si="0"/>
        <v>47118</v>
      </c>
      <c r="AK44" s="160">
        <v>41</v>
      </c>
      <c r="AM44" s="160">
        <f ca="1">Ануїтетна_графік_Авто!J45</f>
        <v>42453.186640392603</v>
      </c>
      <c r="AO44" s="160">
        <f ca="1">Ануїтетна_графік_Авто!K45</f>
        <v>-9448.1866403926051</v>
      </c>
      <c r="AQ44" s="160">
        <f ca="1">Ануїтетна_графік_Авто!M45</f>
        <v>33005</v>
      </c>
      <c r="AS44" s="160">
        <f t="shared" ca="1" si="1"/>
        <v>-672811.69888153381</v>
      </c>
    </row>
    <row r="45" spans="2:45" x14ac:dyDescent="0.3">
      <c r="B45" s="160">
        <v>21</v>
      </c>
      <c r="D45" s="160">
        <v>19787.249427082686</v>
      </c>
      <c r="F45" s="160">
        <v>3863.7505729173145</v>
      </c>
      <c r="H45" s="160">
        <v>23651</v>
      </c>
      <c r="AA45" s="160">
        <f ca="1">Ануїтетна_графік_Авто!G46</f>
        <v>47120</v>
      </c>
      <c r="AB45" s="160">
        <f t="shared" si="2"/>
        <v>42</v>
      </c>
      <c r="AD45" s="160">
        <f ca="1">Ануїтетна_графік_Авто!J46</f>
        <v>43243.000465300684</v>
      </c>
      <c r="AF45" s="160">
        <f ca="1">Ануїтетна_графік_Авто!K46</f>
        <v>-10238.000465300682</v>
      </c>
      <c r="AH45" s="160">
        <f ca="1">Ануїтетна_графік_Авто!M46</f>
        <v>33005</v>
      </c>
      <c r="AJ45" s="160">
        <f t="shared" ca="1" si="0"/>
        <v>47149</v>
      </c>
      <c r="AK45" s="160">
        <v>42</v>
      </c>
      <c r="AM45" s="160">
        <f ca="1">Ануїтетна_графік_Авто!J46</f>
        <v>43243.000465300684</v>
      </c>
      <c r="AO45" s="160">
        <f ca="1">Ануїтетна_графік_Авто!K46</f>
        <v>-10238.000465300682</v>
      </c>
      <c r="AQ45" s="160">
        <f ca="1">Ануїтетна_графік_Авто!M46</f>
        <v>33005</v>
      </c>
      <c r="AS45" s="160">
        <f t="shared" ca="1" si="1"/>
        <v>-715264.88552192645</v>
      </c>
    </row>
    <row r="46" spans="2:45" x14ac:dyDescent="0.3">
      <c r="B46" s="160">
        <v>22</v>
      </c>
      <c r="D46" s="160">
        <v>20361.077949560502</v>
      </c>
      <c r="F46" s="160">
        <v>3289.9220504394975</v>
      </c>
      <c r="H46" s="160">
        <v>23651</v>
      </c>
      <c r="K46" s="160" t="s">
        <v>457</v>
      </c>
      <c r="N46" s="160">
        <f>'Калькулятор (реал. ставка)'!C18</f>
        <v>33333.333333333328</v>
      </c>
      <c r="AA46" s="160">
        <f ca="1">Ануїтетна_графік_Авто!G47</f>
        <v>47151</v>
      </c>
      <c r="AB46" s="160">
        <f t="shared" si="2"/>
        <v>43</v>
      </c>
      <c r="AD46" s="160">
        <f ca="1">Ануїтетна_графік_Авто!J47</f>
        <v>43726.709461338789</v>
      </c>
      <c r="AF46" s="160">
        <f ca="1">Ануїтетна_графік_Авто!K47</f>
        <v>-10721.709461338791</v>
      </c>
      <c r="AH46" s="160">
        <f ca="1">Ануїтетна_графік_Авто!M47</f>
        <v>33005</v>
      </c>
      <c r="AJ46" s="160">
        <f t="shared" ca="1" si="0"/>
        <v>47177</v>
      </c>
      <c r="AK46" s="160">
        <v>43</v>
      </c>
      <c r="AM46" s="160">
        <f ca="1">Ануїтетна_графік_Авто!J47</f>
        <v>43726.709461338789</v>
      </c>
      <c r="AO46" s="160">
        <f ca="1">Ануїтетна_графік_Авто!K47</f>
        <v>-10721.709461338791</v>
      </c>
      <c r="AQ46" s="160">
        <f ca="1">Ануїтетна_графік_Авто!M47</f>
        <v>33005</v>
      </c>
      <c r="AS46" s="160">
        <f t="shared" ca="1" si="1"/>
        <v>-758507.88598722708</v>
      </c>
    </row>
    <row r="47" spans="2:45" x14ac:dyDescent="0.3">
      <c r="B47" s="160">
        <v>23</v>
      </c>
      <c r="D47" s="160">
        <v>20236.341925729921</v>
      </c>
      <c r="F47" s="160">
        <v>3414.6580742700799</v>
      </c>
      <c r="H47" s="160">
        <v>23651</v>
      </c>
      <c r="AA47" s="160">
        <f ca="1">Ануїтетна_графік_Авто!G48</f>
        <v>47179</v>
      </c>
      <c r="AB47" s="160">
        <f t="shared" si="2"/>
        <v>44</v>
      </c>
      <c r="AD47" s="160">
        <f ca="1">Ануїтетна_графік_Авто!J48</f>
        <v>43130.910196015342</v>
      </c>
      <c r="AF47" s="160">
        <f ca="1">Ануїтетна_графік_Авто!K48</f>
        <v>-10125.910196015344</v>
      </c>
      <c r="AH47" s="160">
        <f ca="1">Ануїтетна_графік_Авто!M48</f>
        <v>33005</v>
      </c>
      <c r="AJ47" s="160">
        <f t="shared" ca="1" si="0"/>
        <v>47208</v>
      </c>
      <c r="AK47" s="160">
        <v>44</v>
      </c>
      <c r="AM47" s="160">
        <f ca="1">Ануїтетна_графік_Авто!J48</f>
        <v>43130.910196015342</v>
      </c>
      <c r="AO47" s="160">
        <f ca="1">Ануїтетна_графік_Авто!K48</f>
        <v>-10125.910196015344</v>
      </c>
      <c r="AQ47" s="160">
        <f ca="1">Ануїтетна_графік_Авто!M48</f>
        <v>33005</v>
      </c>
      <c r="AS47" s="160">
        <f t="shared" ca="1" si="1"/>
        <v>-802234.5954485659</v>
      </c>
    </row>
    <row r="48" spans="2:45" x14ac:dyDescent="0.3">
      <c r="B48" s="160">
        <v>24</v>
      </c>
      <c r="D48" s="160">
        <v>20565.550587536272</v>
      </c>
      <c r="F48" s="160">
        <v>3085.4494124637276</v>
      </c>
      <c r="H48" s="160">
        <v>23651</v>
      </c>
      <c r="AA48" s="160">
        <f ca="1">Ануїтетна_графік_Авто!G49</f>
        <v>47210</v>
      </c>
      <c r="AB48" s="160">
        <f t="shared" si="2"/>
        <v>45</v>
      </c>
      <c r="AD48" s="160">
        <f ca="1">Ануїтетна_графік_Авто!J49</f>
        <v>44698.284318556012</v>
      </c>
      <c r="AF48" s="160">
        <f ca="1">Ануїтетна_графік_Авто!K49</f>
        <v>-11693.28431855601</v>
      </c>
      <c r="AH48" s="160">
        <f ca="1">Ануїтетна_графік_Авто!M49</f>
        <v>33005</v>
      </c>
      <c r="AJ48" s="160">
        <f t="shared" ca="1" si="0"/>
        <v>47238</v>
      </c>
      <c r="AK48" s="160">
        <v>45</v>
      </c>
      <c r="AM48" s="160">
        <f ca="1">Ануїтетна_графік_Авто!J49</f>
        <v>44698.284318556012</v>
      </c>
      <c r="AO48" s="160">
        <f ca="1">Ануїтетна_графік_Авто!K49</f>
        <v>-11693.28431855601</v>
      </c>
      <c r="AQ48" s="160">
        <f ca="1">Ануїтетна_графік_Авто!M49</f>
        <v>33005</v>
      </c>
      <c r="AS48" s="160">
        <f t="shared" ca="1" si="1"/>
        <v>-845365.50564458128</v>
      </c>
    </row>
    <row r="49" spans="2:45" x14ac:dyDescent="0.3">
      <c r="B49" s="160">
        <v>25</v>
      </c>
      <c r="D49" s="160">
        <v>20692.745095067898</v>
      </c>
      <c r="F49" s="160">
        <v>2958.2549049321033</v>
      </c>
      <c r="H49" s="160">
        <v>23651</v>
      </c>
      <c r="K49" s="160" t="s">
        <v>453</v>
      </c>
      <c r="N49" s="160">
        <f>N25+N37+N40+N43+N46+IF(N31=N15,N31,0)+IF(N34=N12,N34,0)+IF(N28=G10,N28,0)</f>
        <v>391863.33333333331</v>
      </c>
      <c r="AA49" s="160">
        <f ca="1">Ануїтетна_графік_Авто!G50</f>
        <v>47240</v>
      </c>
      <c r="AB49" s="160">
        <f t="shared" si="2"/>
        <v>46</v>
      </c>
      <c r="AD49" s="160">
        <f ca="1">Ануїтетна_графік_Авто!J50</f>
        <v>44804.940526350962</v>
      </c>
      <c r="AF49" s="160">
        <f ca="1">Ануїтетна_графік_Авто!K50</f>
        <v>-11799.940526350962</v>
      </c>
      <c r="AH49" s="160">
        <f ca="1">Ануїтетна_графік_Авто!M50</f>
        <v>33005</v>
      </c>
      <c r="AJ49" s="160">
        <f t="shared" ca="1" si="0"/>
        <v>47269</v>
      </c>
      <c r="AK49" s="160">
        <v>46</v>
      </c>
      <c r="AM49" s="160">
        <f ca="1">Ануїтетна_графік_Авто!J50</f>
        <v>44804.940526350962</v>
      </c>
      <c r="AO49" s="160">
        <f ca="1">Ануїтетна_графік_Авто!K50</f>
        <v>-11799.940526350962</v>
      </c>
      <c r="AQ49" s="160">
        <f ca="1">Ануїтетна_графік_Авто!M50</f>
        <v>33005</v>
      </c>
      <c r="AS49" s="160">
        <f t="shared" ca="1" si="1"/>
        <v>-890063.78996313724</v>
      </c>
    </row>
    <row r="50" spans="2:45" x14ac:dyDescent="0.3">
      <c r="B50" s="160">
        <v>26</v>
      </c>
      <c r="D50" s="160">
        <v>21012.17163830046</v>
      </c>
      <c r="F50" s="160">
        <v>2638.8283616995386</v>
      </c>
      <c r="H50" s="160">
        <v>23651</v>
      </c>
      <c r="AA50" s="160">
        <f ca="1">Ануїтетна_графік_Авто!G51</f>
        <v>47271</v>
      </c>
      <c r="AB50" s="160">
        <f t="shared" si="2"/>
        <v>47</v>
      </c>
      <c r="AD50" s="160">
        <f ca="1">Ануїтетна_графік_Авто!J51</f>
        <v>45699.452474466998</v>
      </c>
      <c r="AF50" s="160">
        <f ca="1">Ануїтетна_графік_Авто!K51</f>
        <v>-12694.452474467</v>
      </c>
      <c r="AH50" s="160">
        <f ca="1">Ануїтетна_графік_Авто!M51</f>
        <v>33005</v>
      </c>
      <c r="AJ50" s="160">
        <f t="shared" ca="1" si="0"/>
        <v>47299</v>
      </c>
      <c r="AK50" s="160">
        <v>47</v>
      </c>
      <c r="AM50" s="160">
        <f ca="1">Ануїтетна_графік_Авто!J51</f>
        <v>45699.452474466998</v>
      </c>
      <c r="AO50" s="160">
        <f ca="1">Ануїтетна_графік_Авто!K51</f>
        <v>-12694.452474467</v>
      </c>
      <c r="AQ50" s="160">
        <f ca="1">Ануїтетна_графік_Авто!M51</f>
        <v>33005</v>
      </c>
      <c r="AS50" s="160">
        <f t="shared" ca="1" si="1"/>
        <v>-934868.73048948823</v>
      </c>
    </row>
    <row r="51" spans="2:45" x14ac:dyDescent="0.3">
      <c r="B51" s="160">
        <v>27</v>
      </c>
      <c r="D51" s="160">
        <v>21159.249342827898</v>
      </c>
      <c r="F51" s="160">
        <v>2491.7506571721005</v>
      </c>
      <c r="H51" s="160">
        <v>23651</v>
      </c>
      <c r="AA51" s="160">
        <f ca="1">Ануїтетна_графік_Авто!G52</f>
        <v>47301</v>
      </c>
      <c r="AB51" s="160">
        <f t="shared" si="2"/>
        <v>48</v>
      </c>
      <c r="AD51" s="160">
        <f ca="1">Ануїтетна_графік_Авто!J52</f>
        <v>45784.650580584814</v>
      </c>
      <c r="AF51" s="160">
        <f ca="1">Ануїтетна_графік_Авто!K52</f>
        <v>-12779.650580584816</v>
      </c>
      <c r="AH51" s="160">
        <f ca="1">Ануїтетна_графік_Авто!M52</f>
        <v>33005</v>
      </c>
      <c r="AJ51" s="160">
        <f t="shared" ca="1" si="0"/>
        <v>47330</v>
      </c>
      <c r="AK51" s="160">
        <v>48</v>
      </c>
      <c r="AM51" s="160">
        <f ca="1">Ануїтетна_графік_Авто!J52</f>
        <v>45784.650580584814</v>
      </c>
      <c r="AO51" s="160">
        <f ca="1">Ануїтетна_графік_Авто!K52</f>
        <v>-12779.650580584816</v>
      </c>
      <c r="AQ51" s="160">
        <f ca="1">Ануїтетна_графік_Авто!M52</f>
        <v>33005</v>
      </c>
      <c r="AS51" s="160">
        <f t="shared" ca="1" si="1"/>
        <v>-980568.18296395522</v>
      </c>
    </row>
    <row r="52" spans="2:45" x14ac:dyDescent="0.3">
      <c r="B52" s="160">
        <v>28</v>
      </c>
      <c r="D52" s="160">
        <v>21395.933179435215</v>
      </c>
      <c r="F52" s="160">
        <v>2255.0668205647848</v>
      </c>
      <c r="H52" s="160">
        <v>23651</v>
      </c>
      <c r="AA52" s="160">
        <f ca="1">Ануїтетна_графік_Авто!G53</f>
        <v>47332</v>
      </c>
      <c r="AB52" s="160">
        <f t="shared" si="2"/>
        <v>49</v>
      </c>
      <c r="AD52" s="160">
        <f ca="1">Ануїтетна_графік_Авто!J53</f>
        <v>46722.778403890305</v>
      </c>
      <c r="AF52" s="160">
        <f ca="1">Ануїтетна_графік_Авто!K53</f>
        <v>-13717.778403890301</v>
      </c>
      <c r="AH52" s="160">
        <f ca="1">Ануїтетна_графік_Авто!M53</f>
        <v>33005</v>
      </c>
      <c r="AJ52" s="160">
        <f t="shared" ca="1" si="0"/>
        <v>47361</v>
      </c>
      <c r="AK52" s="160">
        <v>49</v>
      </c>
      <c r="AM52" s="160">
        <f ca="1">Ануїтетна_графік_Авто!J53</f>
        <v>46722.778403890305</v>
      </c>
      <c r="AO52" s="160">
        <f ca="1">Ануїтетна_графік_Авто!K53</f>
        <v>-13717.778403890301</v>
      </c>
      <c r="AQ52" s="160">
        <f ca="1">Ануїтетна_графік_Авто!M53</f>
        <v>33005</v>
      </c>
      <c r="AS52" s="160">
        <f t="shared" ca="1" si="1"/>
        <v>-1026352.83354454</v>
      </c>
    </row>
    <row r="53" spans="2:45" x14ac:dyDescent="0.3">
      <c r="B53" s="160">
        <v>29</v>
      </c>
      <c r="D53" s="160">
        <v>21700.288247088563</v>
      </c>
      <c r="F53" s="160">
        <v>1950.711752911438</v>
      </c>
      <c r="H53" s="160">
        <v>23651</v>
      </c>
      <c r="AA53" s="160">
        <f ca="1">Ануїтетна_графік_Авто!G54</f>
        <v>47363</v>
      </c>
      <c r="AB53" s="160">
        <f t="shared" si="2"/>
        <v>50</v>
      </c>
      <c r="AD53" s="160">
        <f ca="1">Ануїтетна_графік_Авто!J54</f>
        <v>47245.411615986479</v>
      </c>
      <c r="AF53" s="160">
        <f ca="1">Ануїтетна_графік_Авто!K54</f>
        <v>-14240.411615986483</v>
      </c>
      <c r="AH53" s="160">
        <f ca="1">Ануїтетна_графік_Авто!M54</f>
        <v>33005</v>
      </c>
      <c r="AJ53" s="160">
        <f t="shared" ca="1" si="0"/>
        <v>47391</v>
      </c>
      <c r="AK53" s="160">
        <v>50</v>
      </c>
      <c r="AM53" s="160">
        <f ca="1">Ануїтетна_графік_Авто!J54</f>
        <v>47245.411615986479</v>
      </c>
      <c r="AO53" s="160">
        <f ca="1">Ануїтетна_графік_Авто!K54</f>
        <v>-14240.411615986483</v>
      </c>
      <c r="AQ53" s="160">
        <f ca="1">Ануїтетна_графік_Авто!M54</f>
        <v>33005</v>
      </c>
      <c r="AS53" s="160">
        <f t="shared" ca="1" si="1"/>
        <v>-1073075.6119484303</v>
      </c>
    </row>
    <row r="54" spans="2:45" x14ac:dyDescent="0.3">
      <c r="B54" s="160">
        <v>30</v>
      </c>
      <c r="D54" s="160">
        <v>21878.000329608738</v>
      </c>
      <c r="F54" s="160">
        <v>1772.9996703912611</v>
      </c>
      <c r="H54" s="160">
        <v>23651</v>
      </c>
      <c r="AA54" s="160">
        <f ca="1">Ануїтетна_графік_Авто!G55</f>
        <v>47393</v>
      </c>
      <c r="AB54" s="160">
        <f t="shared" si="2"/>
        <v>51</v>
      </c>
      <c r="AD54" s="160">
        <f ca="1">Ануїтетна_графік_Авто!J55</f>
        <v>47297.475080084812</v>
      </c>
      <c r="AF54" s="160">
        <f ca="1">Ануїтетна_графік_Авто!K55</f>
        <v>-14292.475080084811</v>
      </c>
      <c r="AH54" s="160">
        <f ca="1">Ануїтетна_графік_Авто!M55</f>
        <v>33005</v>
      </c>
      <c r="AJ54" s="160">
        <f t="shared" ca="1" si="0"/>
        <v>47422</v>
      </c>
      <c r="AK54" s="160">
        <v>51</v>
      </c>
      <c r="AM54" s="160">
        <f ca="1">Ануїтетна_графік_Авто!J55</f>
        <v>47297.475080084812</v>
      </c>
      <c r="AO54" s="160">
        <f ca="1">Ануїтетна_графік_Авто!K55</f>
        <v>-14292.475080084811</v>
      </c>
      <c r="AQ54" s="160">
        <f ca="1">Ануїтетна_графік_Авто!M55</f>
        <v>33005</v>
      </c>
      <c r="AS54" s="160">
        <f t="shared" ca="1" si="1"/>
        <v>-1120321.0235644167</v>
      </c>
    </row>
    <row r="55" spans="2:45" x14ac:dyDescent="0.3">
      <c r="B55" s="160">
        <v>31</v>
      </c>
      <c r="D55" s="160">
        <v>22172.023220931311</v>
      </c>
      <c r="F55" s="160">
        <v>1478.9767790686897</v>
      </c>
      <c r="H55" s="160">
        <v>23651</v>
      </c>
      <c r="AA55" s="160">
        <f ca="1">Ануїтетна_графік_Авто!G56</f>
        <v>47424</v>
      </c>
      <c r="AB55" s="160">
        <f t="shared" si="2"/>
        <v>52</v>
      </c>
      <c r="AD55" s="160">
        <f ca="1">Ануїтетна_графік_Авто!J56</f>
        <v>48302.952589420951</v>
      </c>
      <c r="AF55" s="160">
        <f ca="1">Ануїтетна_графік_Авто!K56</f>
        <v>-15297.952589420953</v>
      </c>
      <c r="AH55" s="160">
        <f ca="1">Ануїтетна_графік_Авто!M56</f>
        <v>33005</v>
      </c>
      <c r="AJ55" s="160">
        <f t="shared" ca="1" si="0"/>
        <v>47452</v>
      </c>
      <c r="AK55" s="160">
        <v>52</v>
      </c>
      <c r="AM55" s="160">
        <f ca="1">Ануїтетна_графік_Авто!J56</f>
        <v>48302.952589420951</v>
      </c>
      <c r="AO55" s="160">
        <f ca="1">Ануїтетна_графік_Авто!K56</f>
        <v>-15297.952589420953</v>
      </c>
      <c r="AQ55" s="160">
        <f ca="1">Ануїтетна_графік_Авто!M56</f>
        <v>33005</v>
      </c>
      <c r="AS55" s="160">
        <f t="shared" ca="1" si="1"/>
        <v>-1167618.4986445014</v>
      </c>
    </row>
    <row r="56" spans="2:45" x14ac:dyDescent="0.3">
      <c r="B56" s="160">
        <v>32</v>
      </c>
      <c r="D56" s="160">
        <v>22370.736551374488</v>
      </c>
      <c r="F56" s="160">
        <v>1280.2634486255117</v>
      </c>
      <c r="H56" s="160">
        <v>23651</v>
      </c>
      <c r="AA56" s="160">
        <f ca="1">Ануїтетна_графік_Авто!G57</f>
        <v>47454</v>
      </c>
      <c r="AB56" s="160">
        <f t="shared" si="2"/>
        <v>53</v>
      </c>
      <c r="AD56" s="160">
        <f ca="1">Ануїтетна_графік_Авто!J57</f>
        <v>48332.34970960721</v>
      </c>
      <c r="AF56" s="160">
        <f ca="1">Ануїтетна_графік_Авто!K57</f>
        <v>-15327.34970960721</v>
      </c>
      <c r="AH56" s="160">
        <f ca="1">Ануїтетна_графік_Авто!M57</f>
        <v>33005</v>
      </c>
      <c r="AJ56" s="160">
        <f t="shared" ca="1" si="0"/>
        <v>47483</v>
      </c>
      <c r="AK56" s="160">
        <v>53</v>
      </c>
      <c r="AM56" s="160">
        <f ca="1">Ануїтетна_графік_Авто!J57</f>
        <v>48332.34970960721</v>
      </c>
      <c r="AO56" s="160">
        <f ca="1">Ануїтетна_графік_Авто!K57</f>
        <v>-15327.34970960721</v>
      </c>
      <c r="AQ56" s="160">
        <f ca="1">Ануїтетна_графік_Авто!M57</f>
        <v>33005</v>
      </c>
      <c r="AS56" s="160">
        <f t="shared" ca="1" si="1"/>
        <v>-1215921.4512339225</v>
      </c>
    </row>
    <row r="57" spans="2:45" x14ac:dyDescent="0.3">
      <c r="B57" s="160">
        <v>33</v>
      </c>
      <c r="D57" s="160">
        <v>22620.97188198207</v>
      </c>
      <c r="F57" s="160">
        <v>1030.0281180179286</v>
      </c>
      <c r="H57" s="160">
        <v>23651</v>
      </c>
      <c r="AA57" s="160">
        <f ca="1">Ануїтетна_графік_Авто!G58</f>
        <v>47485</v>
      </c>
      <c r="AB57" s="160">
        <f t="shared" si="2"/>
        <v>54</v>
      </c>
      <c r="AD57" s="160">
        <f ca="1">Ануїтетна_графік_Авто!J58</f>
        <v>49383.898975054166</v>
      </c>
      <c r="AF57" s="160">
        <f ca="1">Ануїтетна_графік_Авто!K58</f>
        <v>-16378.898975054164</v>
      </c>
      <c r="AH57" s="160">
        <f ca="1">Ануїтетна_графік_Авто!M58</f>
        <v>33005</v>
      </c>
      <c r="AJ57" s="160">
        <f t="shared" ca="1" si="0"/>
        <v>47514</v>
      </c>
      <c r="AK57" s="160">
        <v>54</v>
      </c>
      <c r="AM57" s="160">
        <f ca="1">Ануїтетна_графік_Авто!J58</f>
        <v>49383.898975054166</v>
      </c>
      <c r="AO57" s="160">
        <f ca="1">Ануїтетна_графік_Авто!K58</f>
        <v>-16378.898975054164</v>
      </c>
      <c r="AQ57" s="160">
        <f ca="1">Ануїтетна_графік_Авто!M58</f>
        <v>33005</v>
      </c>
      <c r="AS57" s="160">
        <f t="shared" ca="1" si="1"/>
        <v>-1264253.8009435297</v>
      </c>
    </row>
    <row r="58" spans="2:45" x14ac:dyDescent="0.3">
      <c r="B58" s="160">
        <v>34</v>
      </c>
      <c r="D58" s="160">
        <v>22924.134928886011</v>
      </c>
      <c r="F58" s="160">
        <v>726.8650711139893</v>
      </c>
      <c r="H58" s="160">
        <v>23651</v>
      </c>
      <c r="AA58" s="160">
        <f ca="1">Ануїтетна_графік_Авто!G59</f>
        <v>47516</v>
      </c>
      <c r="AB58" s="160">
        <f t="shared" si="2"/>
        <v>55</v>
      </c>
      <c r="AD58" s="160">
        <f ca="1">Ануїтетна_графік_Авто!J59</f>
        <v>49936.29903833929</v>
      </c>
      <c r="AF58" s="160">
        <f ca="1">Ануїтетна_графік_Авто!K59</f>
        <v>-16931.299038339293</v>
      </c>
      <c r="AH58" s="160">
        <f ca="1">Ануїтетна_графік_Авто!M59</f>
        <v>33005</v>
      </c>
      <c r="AJ58" s="160">
        <f t="shared" ca="1" si="0"/>
        <v>47542</v>
      </c>
      <c r="AK58" s="160">
        <v>55</v>
      </c>
      <c r="AM58" s="160">
        <f ca="1">Ануїтетна_графік_Авто!J59</f>
        <v>49936.29903833929</v>
      </c>
      <c r="AO58" s="160">
        <f ca="1">Ануїтетна_графік_Авто!K59</f>
        <v>-16931.299038339293</v>
      </c>
      <c r="AQ58" s="160">
        <f ca="1">Ануїтетна_графік_Авто!M59</f>
        <v>33005</v>
      </c>
      <c r="AS58" s="160">
        <f t="shared" ca="1" si="1"/>
        <v>-1313637.699918584</v>
      </c>
    </row>
    <row r="59" spans="2:45" x14ac:dyDescent="0.3">
      <c r="B59" s="160">
        <v>35</v>
      </c>
      <c r="D59" s="160">
        <v>23130.431855917308</v>
      </c>
      <c r="F59" s="160">
        <v>520.56814408269349</v>
      </c>
      <c r="H59" s="160">
        <v>23651</v>
      </c>
      <c r="AA59" s="160">
        <f ca="1">Ануїтетна_графік_Авто!G60</f>
        <v>47544</v>
      </c>
      <c r="AB59" s="160">
        <f t="shared" si="2"/>
        <v>56</v>
      </c>
      <c r="AD59" s="160">
        <f ca="1">Ануїтетна_графік_Авто!J60</f>
        <v>48802.309302794783</v>
      </c>
      <c r="AF59" s="160">
        <f ca="1">Ануїтетна_графік_Авто!K60</f>
        <v>-15797.309302794783</v>
      </c>
      <c r="AH59" s="160">
        <f ca="1">Ануїтетна_графік_Авто!M60</f>
        <v>33005</v>
      </c>
      <c r="AJ59" s="160">
        <f t="shared" ca="1" si="0"/>
        <v>47573</v>
      </c>
      <c r="AK59" s="160">
        <v>56</v>
      </c>
      <c r="AM59" s="160">
        <f ca="1">Ануїтетна_графік_Авто!J60</f>
        <v>48802.309302794783</v>
      </c>
      <c r="AO59" s="160">
        <f ca="1">Ануїтетна_графік_Авто!K60</f>
        <v>-15797.309302794783</v>
      </c>
      <c r="AQ59" s="160">
        <f ca="1">Ануїтетна_графік_Авто!M60</f>
        <v>33005</v>
      </c>
      <c r="AS59" s="160">
        <f t="shared" ca="1" si="1"/>
        <v>-1363573.9989569234</v>
      </c>
    </row>
    <row r="60" spans="2:45" x14ac:dyDescent="0.3">
      <c r="B60" s="160">
        <v>36</v>
      </c>
      <c r="D60" s="160">
        <v>23407.731959863977</v>
      </c>
      <c r="F60" s="160">
        <v>244.94240851667661</v>
      </c>
      <c r="H60" s="160">
        <v>23652.674368380653</v>
      </c>
      <c r="AA60" s="160">
        <f ca="1">Ануїтетна_графік_Авто!G61</f>
        <v>47575</v>
      </c>
      <c r="AB60" s="160">
        <f t="shared" si="2"/>
        <v>57</v>
      </c>
      <c r="AD60" s="160">
        <f ca="1">Ануїтетна_графік_Авто!J61</f>
        <v>51040.772654808497</v>
      </c>
      <c r="AF60" s="160">
        <f ca="1">Ануїтетна_графік_Авто!K61</f>
        <v>-18035.772654808497</v>
      </c>
      <c r="AH60" s="160">
        <f ca="1">Ануїтетна_графік_Авто!M61</f>
        <v>33005</v>
      </c>
      <c r="AJ60" s="160">
        <f t="shared" ca="1" si="0"/>
        <v>47603</v>
      </c>
      <c r="AK60" s="160">
        <v>57</v>
      </c>
      <c r="AM60" s="160">
        <f ca="1">Ануїтетна_графік_Авто!J61</f>
        <v>51040.772654808497</v>
      </c>
      <c r="AO60" s="160">
        <f ca="1">Ануїтетна_графік_Авто!K61</f>
        <v>-18035.772654808497</v>
      </c>
      <c r="AQ60" s="160">
        <f ca="1">Ануїтетна_графік_Авто!M61</f>
        <v>33005</v>
      </c>
      <c r="AS60" s="160">
        <f t="shared" ca="1" si="1"/>
        <v>-1412376.3082597181</v>
      </c>
    </row>
    <row r="61" spans="2:45" x14ac:dyDescent="0.3">
      <c r="B61" s="160" t="s">
        <v>454</v>
      </c>
      <c r="D61" s="160">
        <v>700000</v>
      </c>
      <c r="F61" s="160">
        <v>151437.67000000001</v>
      </c>
      <c r="H61" s="160">
        <v>851437.67</v>
      </c>
      <c r="AA61" s="160">
        <f ca="1">Ануїтетна_графік_Авто!G62</f>
        <v>47605</v>
      </c>
      <c r="AB61" s="160">
        <f t="shared" si="2"/>
        <v>58</v>
      </c>
      <c r="AD61" s="160">
        <f ca="1">Ануїтетна_графік_Авто!J62</f>
        <v>51011.489900899753</v>
      </c>
      <c r="AF61" s="160">
        <f ca="1">Ануїтетна_графік_Авто!K62</f>
        <v>-18006.489900899753</v>
      </c>
      <c r="AH61" s="160">
        <f ca="1">Ануїтетна_графік_Авто!M62</f>
        <v>33005</v>
      </c>
      <c r="AJ61" s="160">
        <f t="shared" ca="1" si="0"/>
        <v>47634</v>
      </c>
      <c r="AK61" s="160">
        <v>58</v>
      </c>
      <c r="AM61" s="160">
        <f ca="1">Ануїтетна_графік_Авто!J62</f>
        <v>51011.489900899753</v>
      </c>
      <c r="AO61" s="160">
        <f ca="1">Ануїтетна_графік_Авто!K62</f>
        <v>-18006.489900899753</v>
      </c>
      <c r="AQ61" s="160">
        <f ca="1">Ануїтетна_графік_Авто!M62</f>
        <v>33005</v>
      </c>
      <c r="AS61" s="160">
        <f t="shared" ca="1" si="1"/>
        <v>-1463417.0809145267</v>
      </c>
    </row>
    <row r="62" spans="2:45" x14ac:dyDescent="0.3">
      <c r="AA62" s="160">
        <f ca="1">Ануїтетна_графік_Авто!G63</f>
        <v>47636</v>
      </c>
      <c r="AB62" s="160">
        <f t="shared" si="2"/>
        <v>59</v>
      </c>
      <c r="AD62" s="160">
        <f ca="1">Ануїтетна_графік_Авто!J63</f>
        <v>52182.312255046229</v>
      </c>
      <c r="AF62" s="160">
        <f ca="1">Ануїтетна_графік_Авто!K63</f>
        <v>-19177.312255046225</v>
      </c>
      <c r="AH62" s="160">
        <f ca="1">Ануїтетна_графік_Авто!M63</f>
        <v>33005</v>
      </c>
      <c r="AJ62" s="160">
        <f t="shared" ca="1" si="0"/>
        <v>47664</v>
      </c>
      <c r="AK62" s="160">
        <v>59</v>
      </c>
      <c r="AM62" s="160">
        <f ca="1">Ануїтетна_графік_Авто!J63</f>
        <v>52182.312255046229</v>
      </c>
      <c r="AO62" s="160">
        <f ca="1">Ануїтетна_графік_Авто!K63</f>
        <v>-19177.312255046225</v>
      </c>
      <c r="AQ62" s="160">
        <f ca="1">Ануїтетна_графік_Авто!M63</f>
        <v>33005</v>
      </c>
      <c r="AS62" s="160">
        <f t="shared" ca="1" si="1"/>
        <v>-1514428.5708154265</v>
      </c>
    </row>
    <row r="63" spans="2:45" x14ac:dyDescent="0.3">
      <c r="AA63" s="160">
        <f ca="1">Ануїтетна_графік_Авто!G64</f>
        <v>47666</v>
      </c>
      <c r="AB63" s="160">
        <f t="shared" si="2"/>
        <v>60</v>
      </c>
      <c r="AD63" s="160">
        <f ca="1">Ануїтетна_графік_Авто!J64</f>
        <v>52128.562809237868</v>
      </c>
      <c r="AF63" s="160">
        <f ca="1">Ануїтетна_графік_Авто!K64</f>
        <v>-19123.562809237868</v>
      </c>
      <c r="AH63" s="160">
        <f ca="1">Ануїтетна_графік_Авто!M64</f>
        <v>33005</v>
      </c>
      <c r="AJ63" s="160">
        <f t="shared" ca="1" si="0"/>
        <v>47695</v>
      </c>
      <c r="AK63" s="160">
        <v>60</v>
      </c>
      <c r="AM63" s="160">
        <f ca="1">Ануїтетна_графік_Авто!J64</f>
        <v>52128.562809237868</v>
      </c>
      <c r="AO63" s="160">
        <f ca="1">Ануїтетна_графік_Авто!K64</f>
        <v>-19123.562809237868</v>
      </c>
      <c r="AQ63" s="160">
        <f ca="1">Ануїтетна_графік_Авто!M64</f>
        <v>33005</v>
      </c>
      <c r="AS63" s="160">
        <f t="shared" ca="1" si="1"/>
        <v>-1566610.8830704729</v>
      </c>
    </row>
    <row r="64" spans="2:45" x14ac:dyDescent="0.3">
      <c r="AA64" s="160">
        <f ca="1">Ануїтетна_графік_Авто!G65</f>
        <v>47697</v>
      </c>
      <c r="AB64" s="160">
        <f t="shared" si="2"/>
        <v>61</v>
      </c>
      <c r="AD64" s="160">
        <f ca="1">Ануїтетна_графік_Авто!J65</f>
        <v>53349.116318369466</v>
      </c>
      <c r="AF64" s="160">
        <f ca="1">Ануїтетна_графік_Авто!K65</f>
        <v>-20344.116318369466</v>
      </c>
      <c r="AH64" s="160">
        <f ca="1">Ануїтетна_графік_Авто!M65</f>
        <v>33005</v>
      </c>
      <c r="AJ64" s="160">
        <f t="shared" ca="1" si="0"/>
        <v>47726</v>
      </c>
      <c r="AK64" s="160">
        <v>61</v>
      </c>
      <c r="AM64" s="160">
        <f ca="1">Ануїтетна_графік_Авто!J65</f>
        <v>53349.116318369466</v>
      </c>
      <c r="AO64" s="160">
        <f ca="1">Ануїтетна_графік_Авто!K65</f>
        <v>-20344.116318369466</v>
      </c>
      <c r="AQ64" s="160">
        <f ca="1">Ануїтетна_графік_Авто!M65</f>
        <v>33005</v>
      </c>
      <c r="AS64" s="160">
        <f t="shared" ca="1" si="1"/>
        <v>-1618739.4458797108</v>
      </c>
    </row>
    <row r="65" spans="27:45" x14ac:dyDescent="0.3">
      <c r="AA65" s="160">
        <f ca="1">Ануїтетна_графік_Авто!G66</f>
        <v>47728</v>
      </c>
      <c r="AB65" s="160">
        <f t="shared" si="2"/>
        <v>62</v>
      </c>
      <c r="AD65" s="160">
        <f ca="1">Ануїтетна_графік_Авто!J66</f>
        <v>53945.870641987363</v>
      </c>
      <c r="AF65" s="160">
        <f ca="1">Ануїтетна_графік_Авто!K66</f>
        <v>-20940.87064198736</v>
      </c>
      <c r="AH65" s="160">
        <f ca="1">Ануїтетна_графік_Авто!M66</f>
        <v>33005</v>
      </c>
      <c r="AJ65" s="160">
        <f t="shared" ca="1" si="0"/>
        <v>47756</v>
      </c>
      <c r="AK65" s="160">
        <v>62</v>
      </c>
      <c r="AM65" s="160">
        <f ca="1">Ануїтетна_графік_Авто!J66</f>
        <v>53945.870641987363</v>
      </c>
      <c r="AO65" s="160">
        <f ca="1">Ануїтетна_графік_Авто!K66</f>
        <v>-20940.87064198736</v>
      </c>
      <c r="AQ65" s="160">
        <f ca="1">Ануїтетна_графік_Авто!M66</f>
        <v>33005</v>
      </c>
      <c r="AS65" s="160">
        <f t="shared" ca="1" si="1"/>
        <v>-1672088.5621980804</v>
      </c>
    </row>
    <row r="66" spans="27:45" x14ac:dyDescent="0.3">
      <c r="AA66" s="160">
        <f ca="1">Ануїтетна_графік_Авто!G67</f>
        <v>47758</v>
      </c>
      <c r="AB66" s="160">
        <f t="shared" si="2"/>
        <v>63</v>
      </c>
      <c r="AD66" s="160">
        <f ca="1">Ануїтетна_графік_Авто!J67</f>
        <v>53854.322735493733</v>
      </c>
      <c r="AF66" s="160">
        <f ca="1">Ануїтетна_графік_Авто!K67</f>
        <v>-20849.322735493733</v>
      </c>
      <c r="AH66" s="160">
        <f ca="1">Ануїтетна_графік_Авто!M67</f>
        <v>33005</v>
      </c>
      <c r="AJ66" s="160">
        <f t="shared" ca="1" si="0"/>
        <v>47787</v>
      </c>
      <c r="AK66" s="160">
        <v>63</v>
      </c>
      <c r="AM66" s="160">
        <f ca="1">Ануїтетна_графік_Авто!J67</f>
        <v>53854.322735493733</v>
      </c>
      <c r="AO66" s="160">
        <f ca="1">Ануїтетна_графік_Авто!K67</f>
        <v>-20849.322735493733</v>
      </c>
      <c r="AQ66" s="160">
        <f ca="1">Ануїтетна_графік_Авто!M67</f>
        <v>33005</v>
      </c>
      <c r="AS66" s="160">
        <f t="shared" ca="1" si="1"/>
        <v>-1726034.4328400677</v>
      </c>
    </row>
    <row r="67" spans="27:45" x14ac:dyDescent="0.3">
      <c r="AA67" s="160">
        <f ca="1">Ануїтетна_графік_Авто!G68</f>
        <v>47789</v>
      </c>
      <c r="AB67" s="160">
        <f t="shared" si="2"/>
        <v>64</v>
      </c>
      <c r="AD67" s="160">
        <f ca="1">Ануїтетна_графік_Авто!J68</f>
        <v>55151.705638408966</v>
      </c>
      <c r="AF67" s="160">
        <f ca="1">Ануїтетна_графік_Авто!K68</f>
        <v>-22146.705638408966</v>
      </c>
      <c r="AH67" s="160">
        <f ca="1">Ануїтетна_графік_Авто!M68</f>
        <v>33005</v>
      </c>
      <c r="AJ67" s="160">
        <f t="shared" ca="1" si="0"/>
        <v>47817</v>
      </c>
      <c r="AK67" s="160">
        <v>64</v>
      </c>
      <c r="AM67" s="160">
        <f ca="1">Ануїтетна_графік_Авто!J68</f>
        <v>55151.705638408966</v>
      </c>
      <c r="AO67" s="160">
        <f ca="1">Ануїтетна_графік_Авто!K68</f>
        <v>-22146.705638408966</v>
      </c>
      <c r="AQ67" s="160">
        <f ca="1">Ануїтетна_графік_Авто!M68</f>
        <v>33005</v>
      </c>
      <c r="AS67" s="160">
        <f t="shared" ca="1" si="1"/>
        <v>-1779888.7555755614</v>
      </c>
    </row>
    <row r="68" spans="27:45" x14ac:dyDescent="0.3">
      <c r="AA68" s="160">
        <f ca="1">Ануїтетна_графік_Авто!G69</f>
        <v>47819</v>
      </c>
      <c r="AB68" s="160">
        <f t="shared" si="2"/>
        <v>65</v>
      </c>
      <c r="AD68" s="160">
        <f ca="1">Ануїтетна_графік_Авто!J69</f>
        <v>55034.312992641229</v>
      </c>
      <c r="AF68" s="160">
        <f ca="1">Ануїтетна_графік_Авто!K69</f>
        <v>-22029.312992641229</v>
      </c>
      <c r="AH68" s="160">
        <f ca="1">Ануїтетна_графік_Авто!M69</f>
        <v>33005</v>
      </c>
      <c r="AJ68" s="160">
        <f t="shared" ca="1" si="0"/>
        <v>47848</v>
      </c>
      <c r="AK68" s="160">
        <v>65</v>
      </c>
      <c r="AM68" s="160">
        <f ca="1">Ануїтетна_графік_Авто!J69</f>
        <v>55034.312992641229</v>
      </c>
      <c r="AO68" s="160">
        <f ca="1">Ануїтетна_графік_Авто!K69</f>
        <v>-22029.312992641229</v>
      </c>
      <c r="AQ68" s="160">
        <f ca="1">Ануїтетна_графік_Авто!M69</f>
        <v>33005</v>
      </c>
      <c r="AS68" s="160">
        <f t="shared" ca="1" si="1"/>
        <v>-1835040.4612139703</v>
      </c>
    </row>
    <row r="69" spans="27:45" x14ac:dyDescent="0.3">
      <c r="AA69" s="160">
        <f ca="1">Ануїтетна_графік_Авто!G70</f>
        <v>47850</v>
      </c>
      <c r="AB69" s="160">
        <f t="shared" si="2"/>
        <v>66</v>
      </c>
      <c r="AD69" s="160">
        <f ca="1">Ануїтетна_графік_Авто!J70</f>
        <v>56384.228078479457</v>
      </c>
      <c r="AF69" s="160">
        <f ca="1">Ануїтетна_графік_Авто!K70</f>
        <v>-23379.228078479457</v>
      </c>
      <c r="AH69" s="160">
        <f ca="1">Ануїтетна_графік_Авто!M70</f>
        <v>33005</v>
      </c>
      <c r="AJ69" s="160">
        <f t="shared" ref="AJ69:AJ89" ca="1" si="3">IF(AK69="","",DATE(YEAR(AJ68),MONTH(AJ68)+2,DAY(1)-1))</f>
        <v>47879</v>
      </c>
      <c r="AK69" s="160">
        <v>66</v>
      </c>
      <c r="AM69" s="160">
        <f ca="1">Ануїтетна_графік_Авто!J70</f>
        <v>56384.228078479457</v>
      </c>
      <c r="AO69" s="160">
        <f ca="1">Ануїтетна_графік_Авто!K70</f>
        <v>-23379.228078479457</v>
      </c>
      <c r="AQ69" s="160">
        <f ca="1">Ануїтетна_графік_Авто!M70</f>
        <v>33005</v>
      </c>
      <c r="AS69" s="160">
        <f t="shared" ca="1" si="1"/>
        <v>-1890074.7742066116</v>
      </c>
    </row>
    <row r="70" spans="27:45" x14ac:dyDescent="0.3">
      <c r="AA70" s="160">
        <f ca="1">Ануїтетна_графік_Авто!G71</f>
        <v>47881</v>
      </c>
      <c r="AB70" s="160">
        <f t="shared" si="2"/>
        <v>67</v>
      </c>
      <c r="AD70" s="160">
        <f ca="1">Ануїтетна_графік_Авто!J71</f>
        <v>57014.932656393983</v>
      </c>
      <c r="AF70" s="160">
        <f ca="1">Ануїтетна_графік_Авто!K71</f>
        <v>-24009.932656393987</v>
      </c>
      <c r="AH70" s="160">
        <f ca="1">Ануїтетна_графік_Авто!M71</f>
        <v>33005</v>
      </c>
      <c r="AJ70" s="160">
        <f t="shared" ca="1" si="3"/>
        <v>47907</v>
      </c>
      <c r="AK70" s="160">
        <v>67</v>
      </c>
      <c r="AM70" s="160">
        <f ca="1">Ануїтетна_графік_Авто!J71</f>
        <v>57014.932656393983</v>
      </c>
      <c r="AO70" s="160">
        <f ca="1">Ануїтетна_графік_Авто!K71</f>
        <v>-24009.932656393987</v>
      </c>
      <c r="AQ70" s="160">
        <f ca="1">Ануїтетна_графік_Авто!M71</f>
        <v>33005</v>
      </c>
      <c r="AS70" s="160">
        <f t="shared" ref="AS70:AS89" ca="1" si="4">AS69-AM69</f>
        <v>-1946459.002285091</v>
      </c>
    </row>
    <row r="71" spans="27:45" x14ac:dyDescent="0.3">
      <c r="AA71" s="160">
        <f ca="1">Ануїтетна_графік_Авто!G72</f>
        <v>47909</v>
      </c>
      <c r="AB71" s="160">
        <f t="shared" si="2"/>
        <v>68</v>
      </c>
      <c r="AD71" s="160">
        <f ca="1">Ануїтетна_графік_Авто!J72</f>
        <v>55267.431656025467</v>
      </c>
      <c r="AF71" s="160">
        <f ca="1">Ануїтетна_графік_Авто!K72</f>
        <v>-22262.43165602547</v>
      </c>
      <c r="AH71" s="160">
        <f ca="1">Ануїтетна_графік_Авто!M72</f>
        <v>33005</v>
      </c>
      <c r="AJ71" s="160">
        <f t="shared" ca="1" si="3"/>
        <v>47938</v>
      </c>
      <c r="AK71" s="160">
        <v>68</v>
      </c>
      <c r="AM71" s="160">
        <f ca="1">Ануїтетна_графік_Авто!J72</f>
        <v>55267.431656025467</v>
      </c>
      <c r="AO71" s="160">
        <f ca="1">Ануїтетна_графік_Авто!K72</f>
        <v>-22262.43165602547</v>
      </c>
      <c r="AQ71" s="160">
        <f ca="1">Ануїтетна_графік_Авто!M72</f>
        <v>33005</v>
      </c>
      <c r="AS71" s="160">
        <f t="shared" ca="1" si="4"/>
        <v>-2003473.9349414851</v>
      </c>
    </row>
    <row r="72" spans="27:45" x14ac:dyDescent="0.3">
      <c r="AA72" s="160">
        <f ca="1">Ануїтетна_графік_Авто!G73</f>
        <v>47940</v>
      </c>
      <c r="AB72" s="160">
        <f t="shared" si="2"/>
        <v>69</v>
      </c>
      <c r="AD72" s="160">
        <f ca="1">Ануїтетна_графік_Авто!J73</f>
        <v>58270.904469865316</v>
      </c>
      <c r="AF72" s="160">
        <f ca="1">Ануїтетна_графік_Авто!K73</f>
        <v>-25265.90446986532</v>
      </c>
      <c r="AH72" s="160">
        <f ca="1">Ануїтетна_графік_Авто!M73</f>
        <v>33005</v>
      </c>
      <c r="AJ72" s="160">
        <f t="shared" ca="1" si="3"/>
        <v>47968</v>
      </c>
      <c r="AK72" s="160">
        <v>69</v>
      </c>
      <c r="AM72" s="160">
        <f ca="1">Ануїтетна_графік_Авто!J73</f>
        <v>58270.904469865316</v>
      </c>
      <c r="AO72" s="160">
        <f ca="1">Ануїтетна_графік_Авто!K73</f>
        <v>-25265.90446986532</v>
      </c>
      <c r="AQ72" s="160">
        <f ca="1">Ануїтетна_графік_Авто!M73</f>
        <v>33005</v>
      </c>
      <c r="AS72" s="160">
        <f t="shared" ca="1" si="4"/>
        <v>-2058741.3665975104</v>
      </c>
    </row>
    <row r="73" spans="27:45" x14ac:dyDescent="0.3">
      <c r="AA73" s="160">
        <f ca="1">Ануїтетна_графік_Авто!G74</f>
        <v>47970</v>
      </c>
      <c r="AB73" s="160">
        <f t="shared" si="2"/>
        <v>70</v>
      </c>
      <c r="AD73" s="160">
        <f ca="1">Ануїтетна_графік_Авто!J74</f>
        <v>58086.657834304344</v>
      </c>
      <c r="AF73" s="160">
        <f ca="1">Ануїтетна_графік_Авто!K74</f>
        <v>-25081.657834304344</v>
      </c>
      <c r="AH73" s="160">
        <f ca="1">Ануїтетна_графік_Авто!M74</f>
        <v>33005</v>
      </c>
      <c r="AJ73" s="160">
        <f t="shared" ca="1" si="3"/>
        <v>47999</v>
      </c>
      <c r="AK73" s="160">
        <v>70</v>
      </c>
      <c r="AM73" s="160">
        <f ca="1">Ануїтетна_графік_Авто!J74</f>
        <v>58086.657834304344</v>
      </c>
      <c r="AO73" s="160">
        <f ca="1">Ануїтетна_графік_Авто!K74</f>
        <v>-25081.657834304344</v>
      </c>
      <c r="AQ73" s="160">
        <f ca="1">Ануїтетна_графік_Авто!M74</f>
        <v>33005</v>
      </c>
      <c r="AS73" s="160">
        <f t="shared" ca="1" si="4"/>
        <v>-2117012.2710673758</v>
      </c>
    </row>
    <row r="74" spans="27:45" x14ac:dyDescent="0.3">
      <c r="AA74" s="160">
        <f ca="1">Ануїтетна_графік_Авто!G75</f>
        <v>48001</v>
      </c>
      <c r="AB74" s="160">
        <f t="shared" si="2"/>
        <v>71</v>
      </c>
      <c r="AD74" s="160">
        <f ca="1">Ануїтетна_графік_Авто!J75</f>
        <v>59572.460768872712</v>
      </c>
      <c r="AF74" s="160">
        <f ca="1">Ануїтетна_графік_Авто!K75</f>
        <v>-26567.460768872708</v>
      </c>
      <c r="AH74" s="160">
        <f ca="1">Ануїтетна_графік_Авто!M75</f>
        <v>33005</v>
      </c>
      <c r="AJ74" s="160">
        <f t="shared" ca="1" si="3"/>
        <v>48029</v>
      </c>
      <c r="AK74" s="160">
        <v>71</v>
      </c>
      <c r="AM74" s="160">
        <f ca="1">Ануїтетна_графік_Авто!J75</f>
        <v>59572.460768872712</v>
      </c>
      <c r="AO74" s="160">
        <f ca="1">Ануїтетна_графік_Авто!K75</f>
        <v>-26567.460768872708</v>
      </c>
      <c r="AQ74" s="160">
        <f ca="1">Ануїтетна_графік_Авто!M75</f>
        <v>33005</v>
      </c>
      <c r="AS74" s="160">
        <f t="shared" ca="1" si="4"/>
        <v>-2175098.9289016803</v>
      </c>
    </row>
    <row r="75" spans="27:45" x14ac:dyDescent="0.3">
      <c r="AA75" s="160">
        <f ca="1">Ануїтетна_графік_Авто!G76</f>
        <v>48030</v>
      </c>
      <c r="AB75" s="160">
        <f t="shared" si="2"/>
        <v>72</v>
      </c>
      <c r="AD75" s="160">
        <f ca="1">Ануїтетна_графік_Авто!J76</f>
        <v>58481.807200077616</v>
      </c>
      <c r="AF75" s="160">
        <f ca="1">Ануїтетна_графік_Авто!K76</f>
        <v>-25476.807200077616</v>
      </c>
      <c r="AH75" s="160">
        <f ca="1">Ануїтетна_графік_Авто!M76</f>
        <v>33005</v>
      </c>
      <c r="AJ75" s="160">
        <f t="shared" ca="1" si="3"/>
        <v>48060</v>
      </c>
      <c r="AK75" s="160">
        <v>72</v>
      </c>
      <c r="AM75" s="160">
        <f ca="1">Ануїтетна_графік_Авто!J76</f>
        <v>58481.807200077616</v>
      </c>
      <c r="AO75" s="160">
        <f ca="1">Ануїтетна_графік_Авто!K76</f>
        <v>-25476.807200077616</v>
      </c>
      <c r="AQ75" s="160">
        <f ca="1">Ануїтетна_графік_Авто!M76</f>
        <v>33005</v>
      </c>
      <c r="AS75" s="160">
        <f t="shared" ca="1" si="4"/>
        <v>-2234671.3896705532</v>
      </c>
    </row>
    <row r="76" spans="27:45" x14ac:dyDescent="0.3">
      <c r="AA76" s="160" t="str">
        <f>Ануїтетна_графік_Авто!G77</f>
        <v>Всього:</v>
      </c>
      <c r="AB76" s="160">
        <f t="shared" si="2"/>
        <v>73</v>
      </c>
      <c r="AD76" s="160">
        <f ca="1">Ануїтетна_графік_Авто!J77</f>
        <v>2993153.1968706297</v>
      </c>
      <c r="AF76" s="160">
        <f ca="1">Ануїтетна_графік_Авто!K77</f>
        <v>-616781.66753001674</v>
      </c>
      <c r="AH76" s="160">
        <f ca="1">Ануїтетна_графік_Авто!M77</f>
        <v>2376371.5293406132</v>
      </c>
      <c r="AJ76" s="160">
        <f t="shared" ca="1" si="3"/>
        <v>48091</v>
      </c>
      <c r="AK76" s="160">
        <v>73</v>
      </c>
      <c r="AM76" s="160">
        <f ca="1">Ануїтетна_графік_Авто!J77</f>
        <v>2993153.1968706297</v>
      </c>
      <c r="AO76" s="160">
        <f ca="1">Ануїтетна_графік_Авто!K77</f>
        <v>-616781.66753001674</v>
      </c>
      <c r="AQ76" s="160">
        <f ca="1">Ануїтетна_графік_Авто!M77</f>
        <v>2376371.5293406132</v>
      </c>
      <c r="AS76" s="160">
        <f t="shared" ca="1" si="4"/>
        <v>-2293153.1968706306</v>
      </c>
    </row>
    <row r="77" spans="27:45" x14ac:dyDescent="0.3">
      <c r="AA77" s="160" t="e">
        <f ca="1">Ануїтетна_графік_Авто!G78</f>
        <v>#VALUE!</v>
      </c>
      <c r="AB77" s="160">
        <f t="shared" si="2"/>
        <v>74</v>
      </c>
      <c r="AD77" s="160" t="e">
        <f ca="1">Ануїтетна_графік_Авто!J78</f>
        <v>#VALUE!</v>
      </c>
      <c r="AF77" s="160" t="e">
        <f ca="1">Ануїтетна_графік_Авто!K78</f>
        <v>#VALUE!</v>
      </c>
      <c r="AH77" s="160" t="e">
        <f ca="1">Ануїтетна_графік_Авто!M78</f>
        <v>#VALUE!</v>
      </c>
      <c r="AJ77" s="160">
        <f t="shared" ca="1" si="3"/>
        <v>48121</v>
      </c>
      <c r="AK77" s="160">
        <v>74</v>
      </c>
      <c r="AM77" s="160" t="e">
        <f ca="1">Ануїтетна_графік_Авто!J78</f>
        <v>#VALUE!</v>
      </c>
      <c r="AO77" s="160" t="e">
        <f ca="1">Ануїтетна_графік_Авто!K78</f>
        <v>#VALUE!</v>
      </c>
      <c r="AQ77" s="160" t="e">
        <f ca="1">Ануїтетна_графік_Авто!M78</f>
        <v>#VALUE!</v>
      </c>
      <c r="AS77" s="160">
        <f t="shared" ca="1" si="4"/>
        <v>-5286306.3937412603</v>
      </c>
    </row>
    <row r="78" spans="27:45" x14ac:dyDescent="0.3">
      <c r="AA78" s="160" t="e">
        <f ca="1">Ануїтетна_графік_Авто!G79</f>
        <v>#VALUE!</v>
      </c>
      <c r="AB78" s="160">
        <f t="shared" si="2"/>
        <v>75</v>
      </c>
      <c r="AD78" s="160" t="e">
        <f ca="1">Ануїтетна_графік_Авто!J79</f>
        <v>#VALUE!</v>
      </c>
      <c r="AF78" s="160" t="e">
        <f ca="1">Ануїтетна_графік_Авто!K79</f>
        <v>#VALUE!</v>
      </c>
      <c r="AH78" s="160" t="e">
        <f ca="1">Ануїтетна_графік_Авто!M79</f>
        <v>#VALUE!</v>
      </c>
      <c r="AJ78" s="160">
        <f t="shared" ca="1" si="3"/>
        <v>48152</v>
      </c>
      <c r="AK78" s="160">
        <v>75</v>
      </c>
      <c r="AM78" s="160" t="e">
        <f ca="1">Ануїтетна_графік_Авто!J79</f>
        <v>#VALUE!</v>
      </c>
      <c r="AO78" s="160" t="e">
        <f ca="1">Ануїтетна_графік_Авто!K79</f>
        <v>#VALUE!</v>
      </c>
      <c r="AQ78" s="160" t="e">
        <f ca="1">Ануїтетна_графік_Авто!M79</f>
        <v>#VALUE!</v>
      </c>
      <c r="AS78" s="160" t="e">
        <f t="shared" ca="1" si="4"/>
        <v>#VALUE!</v>
      </c>
    </row>
    <row r="79" spans="27:45" x14ac:dyDescent="0.3">
      <c r="AA79" s="160" t="e">
        <f ca="1">Ануїтетна_графік_Авто!G80</f>
        <v>#VALUE!</v>
      </c>
      <c r="AB79" s="160">
        <f>AB78+1</f>
        <v>76</v>
      </c>
      <c r="AD79" s="160" t="e">
        <f ca="1">Ануїтетна_графік_Авто!J80</f>
        <v>#VALUE!</v>
      </c>
      <c r="AF79" s="160" t="e">
        <f ca="1">Ануїтетна_графік_Авто!K80</f>
        <v>#VALUE!</v>
      </c>
      <c r="AH79" s="160" t="e">
        <f ca="1">Ануїтетна_графік_Авто!M80</f>
        <v>#VALUE!</v>
      </c>
      <c r="AJ79" s="160">
        <f t="shared" ca="1" si="3"/>
        <v>48182</v>
      </c>
      <c r="AK79" s="160">
        <v>76</v>
      </c>
      <c r="AM79" s="160" t="e">
        <f ca="1">Ануїтетна_графік_Авто!J80</f>
        <v>#VALUE!</v>
      </c>
      <c r="AO79" s="160" t="e">
        <f ca="1">Ануїтетна_графік_Авто!K80</f>
        <v>#VALUE!</v>
      </c>
      <c r="AQ79" s="160" t="e">
        <f ca="1">Ануїтетна_графік_Авто!M80</f>
        <v>#VALUE!</v>
      </c>
      <c r="AS79" s="160" t="e">
        <f t="shared" ca="1" si="4"/>
        <v>#VALUE!</v>
      </c>
    </row>
    <row r="80" spans="27:45" x14ac:dyDescent="0.3">
      <c r="AA80" s="160" t="e">
        <f ca="1">Ануїтетна_графік_Авто!G81</f>
        <v>#VALUE!</v>
      </c>
      <c r="AB80" s="160">
        <f t="shared" ref="AB80:AB88" si="5">AB79+1</f>
        <v>77</v>
      </c>
      <c r="AD80" s="160" t="e">
        <f ca="1">Ануїтетна_графік_Авто!J81</f>
        <v>#VALUE!</v>
      </c>
      <c r="AF80" s="160" t="e">
        <f ca="1">Ануїтетна_графік_Авто!K81</f>
        <v>#VALUE!</v>
      </c>
      <c r="AH80" s="160" t="e">
        <f ca="1">Ануїтетна_графік_Авто!M81</f>
        <v>#VALUE!</v>
      </c>
      <c r="AJ80" s="160">
        <f t="shared" ca="1" si="3"/>
        <v>48213</v>
      </c>
      <c r="AK80" s="160">
        <v>77</v>
      </c>
      <c r="AM80" s="160" t="e">
        <f ca="1">Ануїтетна_графік_Авто!J81</f>
        <v>#VALUE!</v>
      </c>
      <c r="AO80" s="160" t="e">
        <f ca="1">Ануїтетна_графік_Авто!K81</f>
        <v>#VALUE!</v>
      </c>
      <c r="AQ80" s="160" t="e">
        <f ca="1">Ануїтетна_графік_Авто!M81</f>
        <v>#VALUE!</v>
      </c>
      <c r="AS80" s="160" t="e">
        <f t="shared" ca="1" si="4"/>
        <v>#VALUE!</v>
      </c>
    </row>
    <row r="81" spans="27:45" x14ac:dyDescent="0.3">
      <c r="AA81" s="160" t="e">
        <f ca="1">Ануїтетна_графік_Авто!G82</f>
        <v>#VALUE!</v>
      </c>
      <c r="AB81" s="160">
        <f t="shared" si="5"/>
        <v>78</v>
      </c>
      <c r="AD81" s="160" t="e">
        <f ca="1">Ануїтетна_графік_Авто!J82</f>
        <v>#VALUE!</v>
      </c>
      <c r="AF81" s="160" t="e">
        <f ca="1">Ануїтетна_графік_Авто!K82</f>
        <v>#VALUE!</v>
      </c>
      <c r="AH81" s="160" t="e">
        <f ca="1">Ануїтетна_графік_Авто!M82</f>
        <v>#VALUE!</v>
      </c>
      <c r="AJ81" s="160">
        <f t="shared" ca="1" si="3"/>
        <v>48244</v>
      </c>
      <c r="AK81" s="160">
        <v>78</v>
      </c>
      <c r="AM81" s="160" t="e">
        <f ca="1">Ануїтетна_графік_Авто!J82</f>
        <v>#VALUE!</v>
      </c>
      <c r="AO81" s="160" t="e">
        <f ca="1">Ануїтетна_графік_Авто!K82</f>
        <v>#VALUE!</v>
      </c>
      <c r="AQ81" s="160" t="e">
        <f ca="1">Ануїтетна_графік_Авто!M82</f>
        <v>#VALUE!</v>
      </c>
      <c r="AS81" s="160" t="e">
        <f t="shared" ca="1" si="4"/>
        <v>#VALUE!</v>
      </c>
    </row>
    <row r="82" spans="27:45" x14ac:dyDescent="0.3">
      <c r="AA82" s="160" t="e">
        <f ca="1">Ануїтетна_графік_Авто!G83</f>
        <v>#VALUE!</v>
      </c>
      <c r="AB82" s="160">
        <f t="shared" si="5"/>
        <v>79</v>
      </c>
      <c r="AD82" s="160" t="e">
        <f ca="1">Ануїтетна_графік_Авто!J83</f>
        <v>#VALUE!</v>
      </c>
      <c r="AF82" s="160" t="e">
        <f ca="1">Ануїтетна_графік_Авто!K83</f>
        <v>#VALUE!</v>
      </c>
      <c r="AH82" s="160" t="e">
        <f ca="1">Ануїтетна_графік_Авто!M83</f>
        <v>#VALUE!</v>
      </c>
      <c r="AJ82" s="160">
        <f t="shared" ca="1" si="3"/>
        <v>48273</v>
      </c>
      <c r="AK82" s="160">
        <v>79</v>
      </c>
      <c r="AM82" s="160" t="e">
        <f ca="1">Ануїтетна_графік_Авто!J83</f>
        <v>#VALUE!</v>
      </c>
      <c r="AO82" s="160" t="e">
        <f ca="1">Ануїтетна_графік_Авто!K83</f>
        <v>#VALUE!</v>
      </c>
      <c r="AQ82" s="160" t="e">
        <f ca="1">Ануїтетна_графік_Авто!M83</f>
        <v>#VALUE!</v>
      </c>
      <c r="AS82" s="160" t="e">
        <f t="shared" ca="1" si="4"/>
        <v>#VALUE!</v>
      </c>
    </row>
    <row r="83" spans="27:45" x14ac:dyDescent="0.3">
      <c r="AA83" s="160" t="e">
        <f ca="1">Ануїтетна_графік_Авто!G84</f>
        <v>#VALUE!</v>
      </c>
      <c r="AB83" s="160">
        <f t="shared" si="5"/>
        <v>80</v>
      </c>
      <c r="AD83" s="160" t="e">
        <f ca="1">Ануїтетна_графік_Авто!J84</f>
        <v>#VALUE!</v>
      </c>
      <c r="AF83" s="160" t="e">
        <f ca="1">Ануїтетна_графік_Авто!K84</f>
        <v>#VALUE!</v>
      </c>
      <c r="AH83" s="160" t="e">
        <f ca="1">Ануїтетна_графік_Авто!M84</f>
        <v>#VALUE!</v>
      </c>
      <c r="AJ83" s="160">
        <f t="shared" ca="1" si="3"/>
        <v>48304</v>
      </c>
      <c r="AK83" s="160">
        <v>80</v>
      </c>
      <c r="AM83" s="160" t="e">
        <f ca="1">Ануїтетна_графік_Авто!J84</f>
        <v>#VALUE!</v>
      </c>
      <c r="AO83" s="160" t="e">
        <f ca="1">Ануїтетна_графік_Авто!K84</f>
        <v>#VALUE!</v>
      </c>
      <c r="AQ83" s="160" t="e">
        <f ca="1">Ануїтетна_графік_Авто!M84</f>
        <v>#VALUE!</v>
      </c>
      <c r="AS83" s="160" t="e">
        <f t="shared" ca="1" si="4"/>
        <v>#VALUE!</v>
      </c>
    </row>
    <row r="84" spans="27:45" x14ac:dyDescent="0.3">
      <c r="AA84" s="160" t="e">
        <f ca="1">Ануїтетна_графік_Авто!G85</f>
        <v>#VALUE!</v>
      </c>
      <c r="AB84" s="160">
        <f t="shared" si="5"/>
        <v>81</v>
      </c>
      <c r="AD84" s="160" t="e">
        <f ca="1">Ануїтетна_графік_Авто!J85</f>
        <v>#VALUE!</v>
      </c>
      <c r="AF84" s="160" t="e">
        <f ca="1">Ануїтетна_графік_Авто!K85</f>
        <v>#VALUE!</v>
      </c>
      <c r="AH84" s="160" t="e">
        <f ca="1">Ануїтетна_графік_Авто!M85</f>
        <v>#VALUE!</v>
      </c>
      <c r="AJ84" s="160">
        <f t="shared" ca="1" si="3"/>
        <v>48334</v>
      </c>
      <c r="AK84" s="160">
        <v>81</v>
      </c>
      <c r="AM84" s="160" t="e">
        <f ca="1">Ануїтетна_графік_Авто!J85</f>
        <v>#VALUE!</v>
      </c>
      <c r="AO84" s="160" t="e">
        <f ca="1">Ануїтетна_графік_Авто!K85</f>
        <v>#VALUE!</v>
      </c>
      <c r="AQ84" s="160" t="e">
        <f ca="1">Ануїтетна_графік_Авто!M85</f>
        <v>#VALUE!</v>
      </c>
      <c r="AS84" s="160" t="e">
        <f t="shared" ca="1" si="4"/>
        <v>#VALUE!</v>
      </c>
    </row>
    <row r="85" spans="27:45" x14ac:dyDescent="0.3">
      <c r="AA85" s="160" t="e">
        <f ca="1">Ануїтетна_графік_Авто!G86</f>
        <v>#VALUE!</v>
      </c>
      <c r="AB85" s="160">
        <f t="shared" si="5"/>
        <v>82</v>
      </c>
      <c r="AD85" s="160" t="e">
        <f ca="1">Ануїтетна_графік_Авто!J86</f>
        <v>#VALUE!</v>
      </c>
      <c r="AF85" s="160" t="e">
        <f ca="1">Ануїтетна_графік_Авто!K86</f>
        <v>#VALUE!</v>
      </c>
      <c r="AH85" s="160" t="e">
        <f ca="1">Ануїтетна_графік_Авто!M86</f>
        <v>#VALUE!</v>
      </c>
      <c r="AJ85" s="160">
        <f t="shared" ca="1" si="3"/>
        <v>48365</v>
      </c>
      <c r="AK85" s="160">
        <v>82</v>
      </c>
      <c r="AM85" s="160" t="e">
        <f ca="1">Ануїтетна_графік_Авто!J86</f>
        <v>#VALUE!</v>
      </c>
      <c r="AO85" s="160" t="e">
        <f ca="1">Ануїтетна_графік_Авто!K86</f>
        <v>#VALUE!</v>
      </c>
      <c r="AQ85" s="160" t="e">
        <f ca="1">Ануїтетна_графік_Авто!M86</f>
        <v>#VALUE!</v>
      </c>
      <c r="AS85" s="160" t="e">
        <f t="shared" ca="1" si="4"/>
        <v>#VALUE!</v>
      </c>
    </row>
    <row r="86" spans="27:45" x14ac:dyDescent="0.3">
      <c r="AA86" s="160" t="e">
        <f ca="1">Ануїтетна_графік_Авто!G87</f>
        <v>#VALUE!</v>
      </c>
      <c r="AB86" s="160">
        <f t="shared" si="5"/>
        <v>83</v>
      </c>
      <c r="AD86" s="160" t="e">
        <f ca="1">Ануїтетна_графік_Авто!J87</f>
        <v>#VALUE!</v>
      </c>
      <c r="AF86" s="160" t="e">
        <f ca="1">Ануїтетна_графік_Авто!K87</f>
        <v>#VALUE!</v>
      </c>
      <c r="AH86" s="160" t="e">
        <f ca="1">Ануїтетна_графік_Авто!M87</f>
        <v>#VALUE!</v>
      </c>
      <c r="AJ86" s="160">
        <f t="shared" ca="1" si="3"/>
        <v>48395</v>
      </c>
      <c r="AK86" s="160">
        <v>83</v>
      </c>
      <c r="AM86" s="160" t="e">
        <f ca="1">Ануїтетна_графік_Авто!J87</f>
        <v>#VALUE!</v>
      </c>
      <c r="AO86" s="160" t="e">
        <f ca="1">Ануїтетна_графік_Авто!K87</f>
        <v>#VALUE!</v>
      </c>
      <c r="AQ86" s="160" t="e">
        <f ca="1">Ануїтетна_графік_Авто!M87</f>
        <v>#VALUE!</v>
      </c>
      <c r="AS86" s="160" t="e">
        <f t="shared" ca="1" si="4"/>
        <v>#VALUE!</v>
      </c>
    </row>
    <row r="87" spans="27:45" x14ac:dyDescent="0.3">
      <c r="AA87" s="160" t="e">
        <f ca="1">Ануїтетна_графік_Авто!G88</f>
        <v>#VALUE!</v>
      </c>
      <c r="AB87" s="160">
        <f>AB86+1</f>
        <v>84</v>
      </c>
      <c r="AD87" s="160" t="e">
        <f ca="1">Ануїтетна_графік_Авто!J88</f>
        <v>#VALUE!</v>
      </c>
      <c r="AF87" s="160" t="e">
        <f ca="1">Ануїтетна_графік_Авто!K88</f>
        <v>#VALUE!</v>
      </c>
      <c r="AH87" s="160" t="e">
        <f ca="1">Ануїтетна_графік_Авто!M88</f>
        <v>#VALUE!</v>
      </c>
      <c r="AJ87" s="160">
        <f t="shared" ca="1" si="3"/>
        <v>48426</v>
      </c>
      <c r="AK87" s="160">
        <v>84</v>
      </c>
      <c r="AM87" s="160" t="e">
        <f ca="1">Ануїтетна_графік_Авто!J88</f>
        <v>#VALUE!</v>
      </c>
      <c r="AO87" s="160" t="e">
        <f ca="1">Ануїтетна_графік_Авто!K88</f>
        <v>#VALUE!</v>
      </c>
      <c r="AQ87" s="160" t="e">
        <f ca="1">Ануїтетна_графік_Авто!M88</f>
        <v>#VALUE!</v>
      </c>
      <c r="AS87" s="160" t="e">
        <f t="shared" ca="1" si="4"/>
        <v>#VALUE!</v>
      </c>
    </row>
    <row r="88" spans="27:45" x14ac:dyDescent="0.3">
      <c r="AA88" s="160" t="e">
        <f ca="1">Ануїтетна_графік_Авто!G89</f>
        <v>#VALUE!</v>
      </c>
      <c r="AB88" s="160">
        <f t="shared" si="5"/>
        <v>85</v>
      </c>
      <c r="AD88" s="160" t="e">
        <f ca="1">Ануїтетна_графік_Авто!J89</f>
        <v>#VALUE!</v>
      </c>
      <c r="AF88" s="160" t="e">
        <f ca="1">Ануїтетна_графік_Авто!K89</f>
        <v>#VALUE!</v>
      </c>
      <c r="AH88" s="160" t="e">
        <f ca="1">Ануїтетна_графік_Авто!M89</f>
        <v>#VALUE!</v>
      </c>
      <c r="AJ88" s="160">
        <f t="shared" ca="1" si="3"/>
        <v>48457</v>
      </c>
      <c r="AK88" s="160">
        <v>85</v>
      </c>
      <c r="AM88" s="160" t="e">
        <f ca="1">Ануїтетна_графік_Авто!J89</f>
        <v>#VALUE!</v>
      </c>
      <c r="AO88" s="160" t="e">
        <f ca="1">Ануїтетна_графік_Авто!K89</f>
        <v>#VALUE!</v>
      </c>
      <c r="AQ88" s="160" t="e">
        <f ca="1">Ануїтетна_графік_Авто!M89</f>
        <v>#VALUE!</v>
      </c>
      <c r="AS88" s="160" t="e">
        <f t="shared" ca="1" si="4"/>
        <v>#VALUE!</v>
      </c>
    </row>
    <row r="89" spans="27:45" x14ac:dyDescent="0.3">
      <c r="AA89" s="160" t="e">
        <f ca="1">Ануїтетна_графік_Авто!G90</f>
        <v>#VALUE!</v>
      </c>
      <c r="AB89" s="160">
        <f>AB88+1</f>
        <v>86</v>
      </c>
      <c r="AD89" s="160" t="e">
        <f ca="1">Ануїтетна_графік_Авто!J90</f>
        <v>#VALUE!</v>
      </c>
      <c r="AF89" s="160" t="e">
        <f ca="1">Ануїтетна_графік_Авто!K90</f>
        <v>#VALUE!</v>
      </c>
      <c r="AH89" s="160" t="e">
        <f ca="1">Ануїтетна_графік_Авто!M90</f>
        <v>#VALUE!</v>
      </c>
      <c r="AJ89" s="160">
        <f t="shared" ca="1" si="3"/>
        <v>48487</v>
      </c>
      <c r="AK89" s="160">
        <v>86</v>
      </c>
      <c r="AM89" s="160" t="e">
        <f ca="1">Ануїтетна_графік_Авто!J90</f>
        <v>#VALUE!</v>
      </c>
      <c r="AO89" s="160" t="e">
        <f ca="1">Ануїтетна_графік_Авто!K90</f>
        <v>#VALUE!</v>
      </c>
      <c r="AQ89" s="160" t="e">
        <f ca="1">Ануїтетна_графік_Авто!M90</f>
        <v>#VALUE!</v>
      </c>
      <c r="AS89" s="160" t="e">
        <f t="shared" ca="1" si="4"/>
        <v>#VALUE!</v>
      </c>
    </row>
    <row r="90" spans="27:45" x14ac:dyDescent="0.3">
      <c r="AB90" s="160" t="s">
        <v>454</v>
      </c>
      <c r="AD90" s="160" t="e">
        <f ca="1">Ануїтетна_графік_Авто!J91</f>
        <v>#VALUE!</v>
      </c>
      <c r="AF90" s="160" t="e">
        <f ca="1">Ануїтетна_графік_Авто!K91</f>
        <v>#VALUE!</v>
      </c>
      <c r="AH90" s="160" t="e">
        <f ca="1">Ануїтетна_графік_Авто!M91</f>
        <v>#VALUE!</v>
      </c>
      <c r="AK90" s="160" t="s">
        <v>454</v>
      </c>
      <c r="AM90" s="160" t="e">
        <f ca="1">Ануїтетна_графік_Авто!J91</f>
        <v>#VALUE!</v>
      </c>
      <c r="AO90" s="160" t="e">
        <f ca="1">Ануїтетна_графік_Авто!K91</f>
        <v>#VALUE!</v>
      </c>
      <c r="AQ90" s="160" t="e">
        <f ca="1">Ануїтетна_графік_Авто!M91</f>
        <v>#VALUE!</v>
      </c>
    </row>
  </sheetData>
  <conditionalFormatting sqref="C112">
    <cfRule type="containsText" dxfId="8" priority="1" operator="containsText" text="Поручитель неплатоспроможний">
      <formula>NOT(ISERROR(SEARCH("Поручитель неплатоспроможний",C112)))</formula>
    </cfRule>
    <cfRule type="containsText" dxfId="7" priority="2" operator="containsText" text="Поручитель платоспроможний">
      <formula>NOT(ISERROR(SEARCH("Поручитель платоспроможний",C112)))</formula>
    </cfRule>
  </conditionalFormatting>
  <conditionalFormatting sqref="D1">
    <cfRule type="expression" dxfId="6" priority="3">
      <formula>IF(#REF!="Так",FALSE,TRUE)</formula>
    </cfRule>
  </conditionalFormatting>
  <dataValidations count="7">
    <dataValidation type="list" allowBlank="1" showInputMessage="1" showErrorMessage="1" sqref="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xr:uid="{7BB04F1B-873C-4F15-B1C1-4EE900D9E6CB}">
      <formula1>$Q$12:$Q$13</formula1>
    </dataValidation>
    <dataValidation type="list" allowBlank="1" showInputMessage="1" showErrorMessage="1" sqref="WVV98304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xr:uid="{A65779E3-1209-48B7-87D4-8BAD40C08B5E}">
      <formula1>$Q$2:$Q$8</formula1>
    </dataValidation>
    <dataValidation type="list" allowBlank="1" showInputMessage="1" showErrorMessage="1" sqref="WVV983050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WLZ983050 JJ10 TF10 ADB10 AMX10 AWT10 BGP10 BQL10 CAH10 CKD10 CTZ10 DDV10 DNR10 DXN10 EHJ10 ERF10 FBB10 FKX10 FUT10 GEP10 GOL10 GYH10 HID10 HRZ10 IBV10 ILR10 IVN10 JFJ10 JPF10 JZB10 KIX10 KST10 LCP10 LML10 LWH10 MGD10 MPZ10 MZV10 NJR10 NTN10 ODJ10 ONF10 OXB10 PGX10 PQT10 QAP10 QKL10 QUH10 RED10 RNZ10 RXV10 SHR10 SRN10 TBJ10 TLF10 TVB10 UEX10 UOT10 UYP10 VIL10 VSH10 WCD10 WLZ10 WVV10 N65546 JJ65546 TF65546 ADB65546 AMX65546 AWT65546 BGP65546 BQL65546 CAH65546 CKD65546 CTZ65546 DDV65546 DNR65546 DXN65546 EHJ65546 ERF65546 FBB65546 FKX65546 FUT65546 GEP65546 GOL65546 GYH65546 HID65546 HRZ65546 IBV65546 ILR65546 IVN65546 JFJ65546 JPF65546 JZB65546 KIX65546 KST65546 LCP65546 LML65546 LWH65546 MGD65546 MPZ65546 MZV65546 NJR65546 NTN65546 ODJ65546 ONF65546 OXB65546 PGX65546 PQT65546 QAP65546 QKL65546 QUH65546 RED65546 RNZ65546 RXV65546 SHR65546 SRN65546 TBJ65546 TLF65546 TVB65546 UEX65546 UOT65546 UYP65546 VIL65546 VSH65546 WCD65546 WLZ65546 WVV65546 N131082 JJ131082 TF131082 ADB131082 AMX131082 AWT131082 BGP131082 BQL131082 CAH131082 CKD131082 CTZ131082 DDV131082 DNR131082 DXN131082 EHJ131082 ERF131082 FBB131082 FKX131082 FUT131082 GEP131082 GOL131082 GYH131082 HID131082 HRZ131082 IBV131082 ILR131082 IVN131082 JFJ131082 JPF131082 JZB131082 KIX131082 KST131082 LCP131082 LML131082 LWH131082 MGD131082 MPZ131082 MZV131082 NJR131082 NTN131082 ODJ131082 ONF131082 OXB131082 PGX131082 PQT131082 QAP131082 QKL131082 QUH131082 RED131082 RNZ131082 RXV131082 SHR131082 SRN131082 TBJ131082 TLF131082 TVB131082 UEX131082 UOT131082 UYP131082 VIL131082 VSH131082 WCD131082 WLZ131082 WVV131082 N196618 JJ196618 TF196618 ADB196618 AMX196618 AWT196618 BGP196618 BQL196618 CAH196618 CKD196618 CTZ196618 DDV196618 DNR196618 DXN196618 EHJ196618 ERF196618 FBB196618 FKX196618 FUT196618 GEP196618 GOL196618 GYH196618 HID196618 HRZ196618 IBV196618 ILR196618 IVN196618 JFJ196618 JPF196618 JZB196618 KIX196618 KST196618 LCP196618 LML196618 LWH196618 MGD196618 MPZ196618 MZV196618 NJR196618 NTN196618 ODJ196618 ONF196618 OXB196618 PGX196618 PQT196618 QAP196618 QKL196618 QUH196618 RED196618 RNZ196618 RXV196618 SHR196618 SRN196618 TBJ196618 TLF196618 TVB196618 UEX196618 UOT196618 UYP196618 VIL196618 VSH196618 WCD196618 WLZ196618 WVV196618 N262154 JJ262154 TF262154 ADB262154 AMX262154 AWT262154 BGP262154 BQL262154 CAH262154 CKD262154 CTZ262154 DDV262154 DNR262154 DXN262154 EHJ262154 ERF262154 FBB262154 FKX262154 FUT262154 GEP262154 GOL262154 GYH262154 HID262154 HRZ262154 IBV262154 ILR262154 IVN262154 JFJ262154 JPF262154 JZB262154 KIX262154 KST262154 LCP262154 LML262154 LWH262154 MGD262154 MPZ262154 MZV262154 NJR262154 NTN262154 ODJ262154 ONF262154 OXB262154 PGX262154 PQT262154 QAP262154 QKL262154 QUH262154 RED262154 RNZ262154 RXV262154 SHR262154 SRN262154 TBJ262154 TLF262154 TVB262154 UEX262154 UOT262154 UYP262154 VIL262154 VSH262154 WCD262154 WLZ262154 WVV262154 N327690 JJ327690 TF327690 ADB327690 AMX327690 AWT327690 BGP327690 BQL327690 CAH327690 CKD327690 CTZ327690 DDV327690 DNR327690 DXN327690 EHJ327690 ERF327690 FBB327690 FKX327690 FUT327690 GEP327690 GOL327690 GYH327690 HID327690 HRZ327690 IBV327690 ILR327690 IVN327690 JFJ327690 JPF327690 JZB327690 KIX327690 KST327690 LCP327690 LML327690 LWH327690 MGD327690 MPZ327690 MZV327690 NJR327690 NTN327690 ODJ327690 ONF327690 OXB327690 PGX327690 PQT327690 QAP327690 QKL327690 QUH327690 RED327690 RNZ327690 RXV327690 SHR327690 SRN327690 TBJ327690 TLF327690 TVB327690 UEX327690 UOT327690 UYP327690 VIL327690 VSH327690 WCD327690 WLZ327690 WVV327690 N393226 JJ393226 TF393226 ADB393226 AMX393226 AWT393226 BGP393226 BQL393226 CAH393226 CKD393226 CTZ393226 DDV393226 DNR393226 DXN393226 EHJ393226 ERF393226 FBB393226 FKX393226 FUT393226 GEP393226 GOL393226 GYH393226 HID393226 HRZ393226 IBV393226 ILR393226 IVN393226 JFJ393226 JPF393226 JZB393226 KIX393226 KST393226 LCP393226 LML393226 LWH393226 MGD393226 MPZ393226 MZV393226 NJR393226 NTN393226 ODJ393226 ONF393226 OXB393226 PGX393226 PQT393226 QAP393226 QKL393226 QUH393226 RED393226 RNZ393226 RXV393226 SHR393226 SRN393226 TBJ393226 TLF393226 TVB393226 UEX393226 UOT393226 UYP393226 VIL393226 VSH393226 WCD393226 WLZ393226 WVV393226 N458762 JJ458762 TF458762 ADB458762 AMX458762 AWT458762 BGP458762 BQL458762 CAH458762 CKD458762 CTZ458762 DDV458762 DNR458762 DXN458762 EHJ458762 ERF458762 FBB458762 FKX458762 FUT458762 GEP458762 GOL458762 GYH458762 HID458762 HRZ458762 IBV458762 ILR458762 IVN458762 JFJ458762 JPF458762 JZB458762 KIX458762 KST458762 LCP458762 LML458762 LWH458762 MGD458762 MPZ458762 MZV458762 NJR458762 NTN458762 ODJ458762 ONF458762 OXB458762 PGX458762 PQT458762 QAP458762 QKL458762 QUH458762 RED458762 RNZ458762 RXV458762 SHR458762 SRN458762 TBJ458762 TLF458762 TVB458762 UEX458762 UOT458762 UYP458762 VIL458762 VSH458762 WCD458762 WLZ458762 WVV458762 N524298 JJ524298 TF524298 ADB524298 AMX524298 AWT524298 BGP524298 BQL524298 CAH524298 CKD524298 CTZ524298 DDV524298 DNR524298 DXN524298 EHJ524298 ERF524298 FBB524298 FKX524298 FUT524298 GEP524298 GOL524298 GYH524298 HID524298 HRZ524298 IBV524298 ILR524298 IVN524298 JFJ524298 JPF524298 JZB524298 KIX524298 KST524298 LCP524298 LML524298 LWH524298 MGD524298 MPZ524298 MZV524298 NJR524298 NTN524298 ODJ524298 ONF524298 OXB524298 PGX524298 PQT524298 QAP524298 QKL524298 QUH524298 RED524298 RNZ524298 RXV524298 SHR524298 SRN524298 TBJ524298 TLF524298 TVB524298 UEX524298 UOT524298 UYP524298 VIL524298 VSH524298 WCD524298 WLZ524298 WVV524298 N589834 JJ589834 TF589834 ADB589834 AMX589834 AWT589834 BGP589834 BQL589834 CAH589834 CKD589834 CTZ589834 DDV589834 DNR589834 DXN589834 EHJ589834 ERF589834 FBB589834 FKX589834 FUT589834 GEP589834 GOL589834 GYH589834 HID589834 HRZ589834 IBV589834 ILR589834 IVN589834 JFJ589834 JPF589834 JZB589834 KIX589834 KST589834 LCP589834 LML589834 LWH589834 MGD589834 MPZ589834 MZV589834 NJR589834 NTN589834 ODJ589834 ONF589834 OXB589834 PGX589834 PQT589834 QAP589834 QKL589834 QUH589834 RED589834 RNZ589834 RXV589834 SHR589834 SRN589834 TBJ589834 TLF589834 TVB589834 UEX589834 UOT589834 UYP589834 VIL589834 VSH589834 WCD589834 WLZ589834 WVV589834 N655370 JJ655370 TF655370 ADB655370 AMX655370 AWT655370 BGP655370 BQL655370 CAH655370 CKD655370 CTZ655370 DDV655370 DNR655370 DXN655370 EHJ655370 ERF655370 FBB655370 FKX655370 FUT655370 GEP655370 GOL655370 GYH655370 HID655370 HRZ655370 IBV655370 ILR655370 IVN655370 JFJ655370 JPF655370 JZB655370 KIX655370 KST655370 LCP655370 LML655370 LWH655370 MGD655370 MPZ655370 MZV655370 NJR655370 NTN655370 ODJ655370 ONF655370 OXB655370 PGX655370 PQT655370 QAP655370 QKL655370 QUH655370 RED655370 RNZ655370 RXV655370 SHR655370 SRN655370 TBJ655370 TLF655370 TVB655370 UEX655370 UOT655370 UYP655370 VIL655370 VSH655370 WCD655370 WLZ655370 WVV655370 N720906 JJ720906 TF720906 ADB720906 AMX720906 AWT720906 BGP720906 BQL720906 CAH720906 CKD720906 CTZ720906 DDV720906 DNR720906 DXN720906 EHJ720906 ERF720906 FBB720906 FKX720906 FUT720906 GEP720906 GOL720906 GYH720906 HID720906 HRZ720906 IBV720906 ILR720906 IVN720906 JFJ720906 JPF720906 JZB720906 KIX720906 KST720906 LCP720906 LML720906 LWH720906 MGD720906 MPZ720906 MZV720906 NJR720906 NTN720906 ODJ720906 ONF720906 OXB720906 PGX720906 PQT720906 QAP720906 QKL720906 QUH720906 RED720906 RNZ720906 RXV720906 SHR720906 SRN720906 TBJ720906 TLF720906 TVB720906 UEX720906 UOT720906 UYP720906 VIL720906 VSH720906 WCD720906 WLZ720906 WVV720906 N786442 JJ786442 TF786442 ADB786442 AMX786442 AWT786442 BGP786442 BQL786442 CAH786442 CKD786442 CTZ786442 DDV786442 DNR786442 DXN786442 EHJ786442 ERF786442 FBB786442 FKX786442 FUT786442 GEP786442 GOL786442 GYH786442 HID786442 HRZ786442 IBV786442 ILR786442 IVN786442 JFJ786442 JPF786442 JZB786442 KIX786442 KST786442 LCP786442 LML786442 LWH786442 MGD786442 MPZ786442 MZV786442 NJR786442 NTN786442 ODJ786442 ONF786442 OXB786442 PGX786442 PQT786442 QAP786442 QKL786442 QUH786442 RED786442 RNZ786442 RXV786442 SHR786442 SRN786442 TBJ786442 TLF786442 TVB786442 UEX786442 UOT786442 UYP786442 VIL786442 VSH786442 WCD786442 WLZ786442 WVV786442 N851978 JJ851978 TF851978 ADB851978 AMX851978 AWT851978 BGP851978 BQL851978 CAH851978 CKD851978 CTZ851978 DDV851978 DNR851978 DXN851978 EHJ851978 ERF851978 FBB851978 FKX851978 FUT851978 GEP851978 GOL851978 GYH851978 HID851978 HRZ851978 IBV851978 ILR851978 IVN851978 JFJ851978 JPF851978 JZB851978 KIX851978 KST851978 LCP851978 LML851978 LWH851978 MGD851978 MPZ851978 MZV851978 NJR851978 NTN851978 ODJ851978 ONF851978 OXB851978 PGX851978 PQT851978 QAP851978 QKL851978 QUH851978 RED851978 RNZ851978 RXV851978 SHR851978 SRN851978 TBJ851978 TLF851978 TVB851978 UEX851978 UOT851978 UYP851978 VIL851978 VSH851978 WCD851978 WLZ851978 WVV851978 N917514 JJ917514 TF917514 ADB917514 AMX917514 AWT917514 BGP917514 BQL917514 CAH917514 CKD917514 CTZ917514 DDV917514 DNR917514 DXN917514 EHJ917514 ERF917514 FBB917514 FKX917514 FUT917514 GEP917514 GOL917514 GYH917514 HID917514 HRZ917514 IBV917514 ILR917514 IVN917514 JFJ917514 JPF917514 JZB917514 KIX917514 KST917514 LCP917514 LML917514 LWH917514 MGD917514 MPZ917514 MZV917514 NJR917514 NTN917514 ODJ917514 ONF917514 OXB917514 PGX917514 PQT917514 QAP917514 QKL917514 QUH917514 RED917514 RNZ917514 RXV917514 SHR917514 SRN917514 TBJ917514 TLF917514 TVB917514 UEX917514 UOT917514 UYP917514 VIL917514 VSH917514 WCD917514 WLZ917514 WVV917514 N983050 JJ983050 TF983050 ADB983050 AMX983050 AWT983050 BGP983050 BQL983050 CAH983050 CKD983050 CTZ983050 DDV983050 DNR983050 DXN983050 EHJ983050 ERF983050 FBB983050 FKX983050 FUT983050 GEP983050 GOL983050 GYH983050 HID983050 HRZ983050 IBV983050 ILR983050 IVN983050 JFJ983050 JPF983050 JZB983050 KIX983050 KST983050 LCP983050 LML983050 LWH983050 MGD983050 MPZ983050 MZV983050 NJR983050 NTN983050 ODJ983050 ONF983050 OXB983050 PGX983050 PQT983050 QAP983050 QKL983050 QUH983050 RED983050 RNZ983050 RXV983050 SHR983050 SRN983050 TBJ983050 TLF983050 TVB983050 UEX983050 UOT983050 UYP983050 VIL983050 VSH983050 WCD983050" xr:uid="{E7022F91-74B2-458C-8DEC-6722F5FF736B}">
      <formula1>$W$14:$W$15</formula1>
    </dataValidation>
    <dataValidation operator="greaterThan"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G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G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G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G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G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G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G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G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G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G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G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G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G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G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G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xr:uid="{C221C224-D78F-4F27-9139-5B8A6D78E051}"/>
    <dataValidation type="decimal" operator="greaterThan" allowBlank="1" showInputMessage="1"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xr:uid="{0B4EE41B-25A8-49DA-8698-5CCA8F9A488C}">
      <formula1>0</formula1>
    </dataValidation>
    <dataValidation type="decimal" operator="greaterThanOrEqual" allowBlank="1" showInputMessage="1" showErrorMessage="1" sqref="N15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N65551 JJ65551 TF65551 ADB65551 AMX65551 AWT65551 BGP65551 BQL65551 CAH65551 CKD65551 CTZ65551 DDV65551 DNR65551 DXN65551 EHJ65551 ERF65551 FBB65551 FKX65551 FUT65551 GEP65551 GOL65551 GYH65551 HID65551 HRZ65551 IBV65551 ILR65551 IVN65551 JFJ65551 JPF65551 JZB65551 KIX65551 KST65551 LCP65551 LML65551 LWH65551 MGD65551 MPZ65551 MZV65551 NJR65551 NTN65551 ODJ65551 ONF65551 OXB65551 PGX65551 PQT65551 QAP65551 QKL65551 QUH65551 RED65551 RNZ65551 RXV65551 SHR65551 SRN65551 TBJ65551 TLF65551 TVB65551 UEX65551 UOT65551 UYP65551 VIL65551 VSH65551 WCD65551 WLZ65551 WVV65551 N131087 JJ131087 TF131087 ADB131087 AMX131087 AWT131087 BGP131087 BQL131087 CAH131087 CKD131087 CTZ131087 DDV131087 DNR131087 DXN131087 EHJ131087 ERF131087 FBB131087 FKX131087 FUT131087 GEP131087 GOL131087 GYH131087 HID131087 HRZ131087 IBV131087 ILR131087 IVN131087 JFJ131087 JPF131087 JZB131087 KIX131087 KST131087 LCP131087 LML131087 LWH131087 MGD131087 MPZ131087 MZV131087 NJR131087 NTN131087 ODJ131087 ONF131087 OXB131087 PGX131087 PQT131087 QAP131087 QKL131087 QUH131087 RED131087 RNZ131087 RXV131087 SHR131087 SRN131087 TBJ131087 TLF131087 TVB131087 UEX131087 UOT131087 UYP131087 VIL131087 VSH131087 WCD131087 WLZ131087 WVV131087 N196623 JJ196623 TF196623 ADB196623 AMX196623 AWT196623 BGP196623 BQL196623 CAH196623 CKD196623 CTZ196623 DDV196623 DNR196623 DXN196623 EHJ196623 ERF196623 FBB196623 FKX196623 FUT196623 GEP196623 GOL196623 GYH196623 HID196623 HRZ196623 IBV196623 ILR196623 IVN196623 JFJ196623 JPF196623 JZB196623 KIX196623 KST196623 LCP196623 LML196623 LWH196623 MGD196623 MPZ196623 MZV196623 NJR196623 NTN196623 ODJ196623 ONF196623 OXB196623 PGX196623 PQT196623 QAP196623 QKL196623 QUH196623 RED196623 RNZ196623 RXV196623 SHR196623 SRN196623 TBJ196623 TLF196623 TVB196623 UEX196623 UOT196623 UYP196623 VIL196623 VSH196623 WCD196623 WLZ196623 WVV196623 N262159 JJ262159 TF262159 ADB262159 AMX262159 AWT262159 BGP262159 BQL262159 CAH262159 CKD262159 CTZ262159 DDV262159 DNR262159 DXN262159 EHJ262159 ERF262159 FBB262159 FKX262159 FUT262159 GEP262159 GOL262159 GYH262159 HID262159 HRZ262159 IBV262159 ILR262159 IVN262159 JFJ262159 JPF262159 JZB262159 KIX262159 KST262159 LCP262159 LML262159 LWH262159 MGD262159 MPZ262159 MZV262159 NJR262159 NTN262159 ODJ262159 ONF262159 OXB262159 PGX262159 PQT262159 QAP262159 QKL262159 QUH262159 RED262159 RNZ262159 RXV262159 SHR262159 SRN262159 TBJ262159 TLF262159 TVB262159 UEX262159 UOT262159 UYP262159 VIL262159 VSH262159 WCD262159 WLZ262159 WVV262159 N327695 JJ327695 TF327695 ADB327695 AMX327695 AWT327695 BGP327695 BQL327695 CAH327695 CKD327695 CTZ327695 DDV327695 DNR327695 DXN327695 EHJ327695 ERF327695 FBB327695 FKX327695 FUT327695 GEP327695 GOL327695 GYH327695 HID327695 HRZ327695 IBV327695 ILR327695 IVN327695 JFJ327695 JPF327695 JZB327695 KIX327695 KST327695 LCP327695 LML327695 LWH327695 MGD327695 MPZ327695 MZV327695 NJR327695 NTN327695 ODJ327695 ONF327695 OXB327695 PGX327695 PQT327695 QAP327695 QKL327695 QUH327695 RED327695 RNZ327695 RXV327695 SHR327695 SRN327695 TBJ327695 TLF327695 TVB327695 UEX327695 UOT327695 UYP327695 VIL327695 VSH327695 WCD327695 WLZ327695 WVV327695 N393231 JJ393231 TF393231 ADB393231 AMX393231 AWT393231 BGP393231 BQL393231 CAH393231 CKD393231 CTZ393231 DDV393231 DNR393231 DXN393231 EHJ393231 ERF393231 FBB393231 FKX393231 FUT393231 GEP393231 GOL393231 GYH393231 HID393231 HRZ393231 IBV393231 ILR393231 IVN393231 JFJ393231 JPF393231 JZB393231 KIX393231 KST393231 LCP393231 LML393231 LWH393231 MGD393231 MPZ393231 MZV393231 NJR393231 NTN393231 ODJ393231 ONF393231 OXB393231 PGX393231 PQT393231 QAP393231 QKL393231 QUH393231 RED393231 RNZ393231 RXV393231 SHR393231 SRN393231 TBJ393231 TLF393231 TVB393231 UEX393231 UOT393231 UYP393231 VIL393231 VSH393231 WCD393231 WLZ393231 WVV393231 N458767 JJ458767 TF458767 ADB458767 AMX458767 AWT458767 BGP458767 BQL458767 CAH458767 CKD458767 CTZ458767 DDV458767 DNR458767 DXN458767 EHJ458767 ERF458767 FBB458767 FKX458767 FUT458767 GEP458767 GOL458767 GYH458767 HID458767 HRZ458767 IBV458767 ILR458767 IVN458767 JFJ458767 JPF458767 JZB458767 KIX458767 KST458767 LCP458767 LML458767 LWH458767 MGD458767 MPZ458767 MZV458767 NJR458767 NTN458767 ODJ458767 ONF458767 OXB458767 PGX458767 PQT458767 QAP458767 QKL458767 QUH458767 RED458767 RNZ458767 RXV458767 SHR458767 SRN458767 TBJ458767 TLF458767 TVB458767 UEX458767 UOT458767 UYP458767 VIL458767 VSH458767 WCD458767 WLZ458767 WVV458767 N524303 JJ524303 TF524303 ADB524303 AMX524303 AWT524303 BGP524303 BQL524303 CAH524303 CKD524303 CTZ524303 DDV524303 DNR524303 DXN524303 EHJ524303 ERF524303 FBB524303 FKX524303 FUT524303 GEP524303 GOL524303 GYH524303 HID524303 HRZ524303 IBV524303 ILR524303 IVN524303 JFJ524303 JPF524303 JZB524303 KIX524303 KST524303 LCP524303 LML524303 LWH524303 MGD524303 MPZ524303 MZV524303 NJR524303 NTN524303 ODJ524303 ONF524303 OXB524303 PGX524303 PQT524303 QAP524303 QKL524303 QUH524303 RED524303 RNZ524303 RXV524303 SHR524303 SRN524303 TBJ524303 TLF524303 TVB524303 UEX524303 UOT524303 UYP524303 VIL524303 VSH524303 WCD524303 WLZ524303 WVV524303 N589839 JJ589839 TF589839 ADB589839 AMX589839 AWT589839 BGP589839 BQL589839 CAH589839 CKD589839 CTZ589839 DDV589839 DNR589839 DXN589839 EHJ589839 ERF589839 FBB589839 FKX589839 FUT589839 GEP589839 GOL589839 GYH589839 HID589839 HRZ589839 IBV589839 ILR589839 IVN589839 JFJ589839 JPF589839 JZB589839 KIX589839 KST589839 LCP589839 LML589839 LWH589839 MGD589839 MPZ589839 MZV589839 NJR589839 NTN589839 ODJ589839 ONF589839 OXB589839 PGX589839 PQT589839 QAP589839 QKL589839 QUH589839 RED589839 RNZ589839 RXV589839 SHR589839 SRN589839 TBJ589839 TLF589839 TVB589839 UEX589839 UOT589839 UYP589839 VIL589839 VSH589839 WCD589839 WLZ589839 WVV589839 N655375 JJ655375 TF655375 ADB655375 AMX655375 AWT655375 BGP655375 BQL655375 CAH655375 CKD655375 CTZ655375 DDV655375 DNR655375 DXN655375 EHJ655375 ERF655375 FBB655375 FKX655375 FUT655375 GEP655375 GOL655375 GYH655375 HID655375 HRZ655375 IBV655375 ILR655375 IVN655375 JFJ655375 JPF655375 JZB655375 KIX655375 KST655375 LCP655375 LML655375 LWH655375 MGD655375 MPZ655375 MZV655375 NJR655375 NTN655375 ODJ655375 ONF655375 OXB655375 PGX655375 PQT655375 QAP655375 QKL655375 QUH655375 RED655375 RNZ655375 RXV655375 SHR655375 SRN655375 TBJ655375 TLF655375 TVB655375 UEX655375 UOT655375 UYP655375 VIL655375 VSH655375 WCD655375 WLZ655375 WVV655375 N720911 JJ720911 TF720911 ADB720911 AMX720911 AWT720911 BGP720911 BQL720911 CAH720911 CKD720911 CTZ720911 DDV720911 DNR720911 DXN720911 EHJ720911 ERF720911 FBB720911 FKX720911 FUT720911 GEP720911 GOL720911 GYH720911 HID720911 HRZ720911 IBV720911 ILR720911 IVN720911 JFJ720911 JPF720911 JZB720911 KIX720911 KST720911 LCP720911 LML720911 LWH720911 MGD720911 MPZ720911 MZV720911 NJR720911 NTN720911 ODJ720911 ONF720911 OXB720911 PGX720911 PQT720911 QAP720911 QKL720911 QUH720911 RED720911 RNZ720911 RXV720911 SHR720911 SRN720911 TBJ720911 TLF720911 TVB720911 UEX720911 UOT720911 UYP720911 VIL720911 VSH720911 WCD720911 WLZ720911 WVV720911 N786447 JJ786447 TF786447 ADB786447 AMX786447 AWT786447 BGP786447 BQL786447 CAH786447 CKD786447 CTZ786447 DDV786447 DNR786447 DXN786447 EHJ786447 ERF786447 FBB786447 FKX786447 FUT786447 GEP786447 GOL786447 GYH786447 HID786447 HRZ786447 IBV786447 ILR786447 IVN786447 JFJ786447 JPF786447 JZB786447 KIX786447 KST786447 LCP786447 LML786447 LWH786447 MGD786447 MPZ786447 MZV786447 NJR786447 NTN786447 ODJ786447 ONF786447 OXB786447 PGX786447 PQT786447 QAP786447 QKL786447 QUH786447 RED786447 RNZ786447 RXV786447 SHR786447 SRN786447 TBJ786447 TLF786447 TVB786447 UEX786447 UOT786447 UYP786447 VIL786447 VSH786447 WCD786447 WLZ786447 WVV786447 N851983 JJ851983 TF851983 ADB851983 AMX851983 AWT851983 BGP851983 BQL851983 CAH851983 CKD851983 CTZ851983 DDV851983 DNR851983 DXN851983 EHJ851983 ERF851983 FBB851983 FKX851983 FUT851983 GEP851983 GOL851983 GYH851983 HID851983 HRZ851983 IBV851983 ILR851983 IVN851983 JFJ851983 JPF851983 JZB851983 KIX851983 KST851983 LCP851983 LML851983 LWH851983 MGD851983 MPZ851983 MZV851983 NJR851983 NTN851983 ODJ851983 ONF851983 OXB851983 PGX851983 PQT851983 QAP851983 QKL851983 QUH851983 RED851983 RNZ851983 RXV851983 SHR851983 SRN851983 TBJ851983 TLF851983 TVB851983 UEX851983 UOT851983 UYP851983 VIL851983 VSH851983 WCD851983 WLZ851983 WVV851983 N917519 JJ917519 TF917519 ADB917519 AMX917519 AWT917519 BGP917519 BQL917519 CAH917519 CKD917519 CTZ917519 DDV917519 DNR917519 DXN917519 EHJ917519 ERF917519 FBB917519 FKX917519 FUT917519 GEP917519 GOL917519 GYH917519 HID917519 HRZ917519 IBV917519 ILR917519 IVN917519 JFJ917519 JPF917519 JZB917519 KIX917519 KST917519 LCP917519 LML917519 LWH917519 MGD917519 MPZ917519 MZV917519 NJR917519 NTN917519 ODJ917519 ONF917519 OXB917519 PGX917519 PQT917519 QAP917519 QKL917519 QUH917519 RED917519 RNZ917519 RXV917519 SHR917519 SRN917519 TBJ917519 TLF917519 TVB917519 UEX917519 UOT917519 UYP917519 VIL917519 VSH917519 WCD917519 WLZ917519 WVV917519 N983055 JJ983055 TF983055 ADB983055 AMX983055 AWT983055 BGP983055 BQL983055 CAH983055 CKD983055 CTZ983055 DDV983055 DNR983055 DXN983055 EHJ983055 ERF983055 FBB983055 FKX983055 FUT983055 GEP983055 GOL983055 GYH983055 HID983055 HRZ983055 IBV983055 ILR983055 IVN983055 JFJ983055 JPF983055 JZB983055 KIX983055 KST983055 LCP983055 LML983055 LWH983055 MGD983055 MPZ983055 MZV983055 NJR983055 NTN983055 ODJ983055 ONF983055 OXB983055 PGX983055 PQT983055 QAP983055 QKL983055 QUH983055 RED983055 RNZ983055 RXV983055 SHR983055 SRN983055 TBJ983055 TLF983055 TVB983055 UEX983055 UOT983055 UYP983055 VIL983055 VSH983055 WCD983055 WLZ983055 WVV983055" xr:uid="{9904FF9A-A8CE-498E-9D14-48B4878CB064}">
      <formula1>0</formula1>
    </dataValidation>
    <dataValidation type="list" allowBlank="1" showInputMessage="1" showErrorMessage="1" sqref="N8" xr:uid="{B8082DB4-83C3-4D7B-9DEC-8C6188A828BE}">
      <formula1>$Q$2:$Q$6</formula1>
    </dataValidation>
  </dataValidations>
  <pageMargins left="0.7" right="0.7" top="0.75" bottom="0.75" header="0.3" footer="0.3"/>
  <pageSetup paperSize="9" scale="48" orientation="portrait" verticalDpi="0" r:id="rId1"/>
  <colBreaks count="1" manualBreakCount="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93" r:id="rId4" name="Button 5">
              <controlPr defaultSize="0" print="0" autoFill="0" autoPict="0" macro="[0]!clean_graph">
                <anchor moveWithCells="1">
                  <from>
                    <xdr:col>11</xdr:col>
                    <xdr:colOff>792480</xdr:colOff>
                    <xdr:row>18</xdr:row>
                    <xdr:rowOff>403860</xdr:rowOff>
                  </from>
                  <to>
                    <xdr:col>88</xdr:col>
                    <xdr:colOff>289560</xdr:colOff>
                    <xdr:row>20</xdr:row>
                    <xdr:rowOff>0</xdr:rowOff>
                  </to>
                </anchor>
              </controlPr>
            </control>
          </mc:Choice>
        </mc:AlternateContent>
        <mc:AlternateContent xmlns:mc="http://schemas.openxmlformats.org/markup-compatibility/2006">
          <mc:Choice Requires="x14">
            <control shapeId="12294" r:id="rId5" name="Button 6">
              <controlPr defaultSize="0" print="0" autoFill="0" autoPict="0" macro="[0]!clean_all_file">
                <anchor moveWithCells="1">
                  <from>
                    <xdr:col>11</xdr:col>
                    <xdr:colOff>792480</xdr:colOff>
                    <xdr:row>17</xdr:row>
                    <xdr:rowOff>228600</xdr:rowOff>
                  </from>
                  <to>
                    <xdr:col>88</xdr:col>
                    <xdr:colOff>289560</xdr:colOff>
                    <xdr:row>19</xdr:row>
                    <xdr:rowOff>0</xdr:rowOff>
                  </to>
                </anchor>
              </controlPr>
            </control>
          </mc:Choice>
        </mc:AlternateContent>
        <mc:AlternateContent xmlns:mc="http://schemas.openxmlformats.org/markup-compatibility/2006">
          <mc:Choice Requires="x14">
            <control shapeId="12303" r:id="rId6" name="Button 15">
              <controlPr defaultSize="0" print="0" autoFill="0" autoPict="0" macro="[0]!Newmack">
                <anchor moveWithCells="1">
                  <from>
                    <xdr:col>7</xdr:col>
                    <xdr:colOff>198120</xdr:colOff>
                    <xdr:row>18</xdr:row>
                    <xdr:rowOff>68580</xdr:rowOff>
                  </from>
                  <to>
                    <xdr:col>88</xdr:col>
                    <xdr:colOff>281940</xdr:colOff>
                    <xdr:row>20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53651-74B1-41F9-BEB4-C94309928074}">
  <sheetPr codeName="Аркуш7"/>
  <dimension ref="A1:BD20"/>
  <sheetViews>
    <sheetView topLeftCell="BE1" workbookViewId="0">
      <selection activeCell="BP19" sqref="BP19"/>
    </sheetView>
  </sheetViews>
  <sheetFormatPr defaultRowHeight="14.4" x14ac:dyDescent="0.3"/>
  <cols>
    <col min="1" max="2" width="8.88671875" style="160" hidden="1" customWidth="1"/>
    <col min="3" max="3" width="13.109375" style="160" hidden="1" customWidth="1"/>
    <col min="4" max="4" width="12.33203125" style="160" hidden="1" customWidth="1"/>
    <col min="5" max="9" width="8.88671875" style="160" hidden="1" customWidth="1"/>
    <col min="10" max="19" width="8.88671875" style="186" hidden="1" customWidth="1"/>
    <col min="20" max="56" width="8.88671875" style="160" hidden="1" customWidth="1"/>
    <col min="57" max="70" width="8.88671875" style="160" customWidth="1"/>
    <col min="71" max="16384" width="8.88671875" style="160"/>
  </cols>
  <sheetData>
    <row r="1" spans="1:6" x14ac:dyDescent="0.3">
      <c r="A1" s="160">
        <v>2</v>
      </c>
      <c r="B1" s="158"/>
      <c r="C1" s="159"/>
      <c r="D1" s="159"/>
    </row>
    <row r="2" spans="1:6" x14ac:dyDescent="0.3">
      <c r="B2" s="161" t="s">
        <v>458</v>
      </c>
      <c r="C2" s="162">
        <f>Калькулятор!G4</f>
        <v>1000000</v>
      </c>
      <c r="D2" s="162"/>
      <c r="E2" s="160" t="s">
        <v>472</v>
      </c>
      <c r="F2" s="160" t="e">
        <f ca="1">Ануїтетна_графік_Авто!Y11</f>
        <v>#DIV/0!</v>
      </c>
    </row>
    <row r="3" spans="1:6" x14ac:dyDescent="0.3">
      <c r="C3" s="163"/>
      <c r="D3" s="163"/>
    </row>
    <row r="4" spans="1:6" x14ac:dyDescent="0.3">
      <c r="B4" s="160" t="s">
        <v>470</v>
      </c>
      <c r="C4" s="163">
        <f>C2/6*5</f>
        <v>833333.33333333326</v>
      </c>
      <c r="D4" s="163"/>
      <c r="E4" s="160" t="s">
        <v>473</v>
      </c>
      <c r="F4" s="160">
        <f ca="1">Ануїтетна_графік_Авто!Y10</f>
        <v>1.6861409783363344</v>
      </c>
    </row>
    <row r="5" spans="1:6" x14ac:dyDescent="0.3">
      <c r="C5" s="163"/>
      <c r="D5" s="163"/>
    </row>
    <row r="6" spans="1:6" x14ac:dyDescent="0.3">
      <c r="B6" s="160" t="s">
        <v>459</v>
      </c>
      <c r="C6" s="163">
        <v>0.3</v>
      </c>
      <c r="D6" s="163"/>
      <c r="E6" s="160" t="s">
        <v>313</v>
      </c>
      <c r="F6" s="160">
        <f>C2-(C2*C6)</f>
        <v>700000</v>
      </c>
    </row>
    <row r="7" spans="1:6" x14ac:dyDescent="0.3">
      <c r="C7" s="163"/>
      <c r="D7" s="163"/>
    </row>
    <row r="8" spans="1:6" x14ac:dyDescent="0.3">
      <c r="B8" s="160" t="s">
        <v>460</v>
      </c>
      <c r="C8" s="163">
        <v>12</v>
      </c>
      <c r="D8" s="163"/>
      <c r="E8" s="160" t="s">
        <v>474</v>
      </c>
      <c r="F8" s="160">
        <f>Ануїтетна_графік_Авто!C32</f>
        <v>33005</v>
      </c>
    </row>
    <row r="9" spans="1:6" x14ac:dyDescent="0.3">
      <c r="C9" s="163"/>
      <c r="D9" s="163"/>
    </row>
    <row r="10" spans="1:6" x14ac:dyDescent="0.3">
      <c r="B10" s="160" t="s">
        <v>461</v>
      </c>
      <c r="C10" s="163">
        <v>5.4899999999999997E-2</v>
      </c>
      <c r="D10" s="163"/>
      <c r="E10" s="160" t="s">
        <v>475</v>
      </c>
      <c r="F10" s="160">
        <f ca="1">Ануїтетна_графік_Авто!Y3</f>
        <v>-324928.00219668332</v>
      </c>
    </row>
    <row r="12" spans="1:6" x14ac:dyDescent="0.3">
      <c r="B12" s="161" t="s">
        <v>462</v>
      </c>
      <c r="C12" s="161">
        <v>9.99</v>
      </c>
      <c r="E12" s="160" t="s">
        <v>411</v>
      </c>
      <c r="F12" s="160">
        <f ca="1">Ануїтетна_графік_Авто!Y2</f>
        <v>2668225.1946739461</v>
      </c>
    </row>
    <row r="13" spans="1:6" x14ac:dyDescent="0.3">
      <c r="C13" s="163"/>
    </row>
    <row r="14" spans="1:6" x14ac:dyDescent="0.3">
      <c r="B14" s="160" t="s">
        <v>463</v>
      </c>
      <c r="C14" s="163">
        <v>9.9000000000000008E-3</v>
      </c>
      <c r="F14" s="160">
        <v>3875282.8858883367</v>
      </c>
    </row>
    <row r="15" spans="1:6" x14ac:dyDescent="0.3">
      <c r="C15" s="163"/>
    </row>
    <row r="16" spans="1:6" x14ac:dyDescent="0.3">
      <c r="B16" s="160" t="s">
        <v>464</v>
      </c>
      <c r="C16" s="163">
        <v>0</v>
      </c>
      <c r="F16" s="160">
        <v>4256502.5480896216</v>
      </c>
    </row>
    <row r="17" spans="2:3" x14ac:dyDescent="0.3">
      <c r="C17" s="163"/>
    </row>
    <row r="18" spans="2:3" x14ac:dyDescent="0.3">
      <c r="B18" s="160" t="s">
        <v>465</v>
      </c>
      <c r="C18" s="160">
        <f>IF(C4&lt;=499620,C4*3%,IF(C4&lt;=878120,C4*4%,C4*5%))</f>
        <v>33333.333333333328</v>
      </c>
    </row>
    <row r="20" spans="2:3" x14ac:dyDescent="0.3">
      <c r="B20" s="160" t="s">
        <v>466</v>
      </c>
      <c r="C20" s="160">
        <v>0</v>
      </c>
    </row>
  </sheetData>
  <conditionalFormatting sqref="C112">
    <cfRule type="containsText" dxfId="5" priority="1" operator="containsText" text="Поручитель неплатоспроможний">
      <formula>NOT(ISERROR(SEARCH("Поручитель неплатоспроможний",C112)))</formula>
    </cfRule>
    <cfRule type="containsText" dxfId="4" priority="2" operator="containsText" text="Поручитель платоспроможний">
      <formula>NOT(ISERROR(SEARCH("Поручитель платоспроможний",C112)))</formula>
    </cfRule>
  </conditionalFormatting>
  <conditionalFormatting sqref="D1">
    <cfRule type="expression" dxfId="3" priority="3">
      <formula>IF(#REF!="Так",FALSE,TRUE)</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7409" r:id="rId3" name="Button 1">
              <controlPr defaultSize="0" print="0" autoFill="0" autoPict="0" macro="[0]!proba_perebudova_2">
                <anchor moveWithCells="1">
                  <from>
                    <xdr:col>9</xdr:col>
                    <xdr:colOff>259080</xdr:colOff>
                    <xdr:row>1</xdr:row>
                    <xdr:rowOff>45720</xdr:rowOff>
                  </from>
                  <to>
                    <xdr:col>59</xdr:col>
                    <xdr:colOff>99060</xdr:colOff>
                    <xdr:row>3</xdr:row>
                    <xdr:rowOff>106680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FF6FF-ACFA-4E80-9787-C5010846AA72}">
  <sheetPr codeName="Аркуш6"/>
  <dimension ref="A1:D112"/>
  <sheetViews>
    <sheetView topLeftCell="BL1" zoomScale="90" zoomScaleNormal="90" workbookViewId="0">
      <selection sqref="A1:BK1048576"/>
    </sheetView>
  </sheetViews>
  <sheetFormatPr defaultRowHeight="14.4" x14ac:dyDescent="0.3"/>
  <cols>
    <col min="1" max="2" width="0" style="160" hidden="1" customWidth="1"/>
    <col min="3" max="3" width="13.109375" style="160" hidden="1" customWidth="1"/>
    <col min="4" max="4" width="12.33203125" style="160" hidden="1" customWidth="1"/>
    <col min="5" max="63" width="0" style="160" hidden="1" customWidth="1"/>
    <col min="64" max="16384" width="8.88671875" style="160"/>
  </cols>
  <sheetData>
    <row r="1" spans="1:4" x14ac:dyDescent="0.3">
      <c r="B1" s="158"/>
      <c r="C1" s="159"/>
      <c r="D1" s="159"/>
    </row>
    <row r="2" spans="1:4" x14ac:dyDescent="0.3">
      <c r="B2" s="161" t="s">
        <v>306</v>
      </c>
      <c r="C2" s="162"/>
      <c r="D2" s="162"/>
    </row>
    <row r="3" spans="1:4" x14ac:dyDescent="0.3">
      <c r="B3" s="160" t="s">
        <v>10</v>
      </c>
      <c r="C3" s="163"/>
      <c r="D3" s="163"/>
    </row>
    <row r="4" spans="1:4" x14ac:dyDescent="0.3">
      <c r="B4" s="160" t="s">
        <v>11</v>
      </c>
      <c r="C4" s="163"/>
      <c r="D4" s="163"/>
    </row>
    <row r="5" spans="1:4" x14ac:dyDescent="0.3">
      <c r="C5" s="163"/>
      <c r="D5" s="163"/>
    </row>
    <row r="6" spans="1:4" x14ac:dyDescent="0.3">
      <c r="C6" s="163"/>
      <c r="D6" s="163"/>
    </row>
    <row r="7" spans="1:4" x14ac:dyDescent="0.3">
      <c r="C7" s="163"/>
      <c r="D7" s="163"/>
    </row>
    <row r="8" spans="1:4" x14ac:dyDescent="0.3">
      <c r="B8" s="160" t="s">
        <v>361</v>
      </c>
      <c r="C8" s="163"/>
      <c r="D8" s="163"/>
    </row>
    <row r="9" spans="1:4" x14ac:dyDescent="0.3">
      <c r="B9" s="160" t="s">
        <v>365</v>
      </c>
      <c r="C9" s="163"/>
      <c r="D9" s="163"/>
    </row>
    <row r="10" spans="1:4" x14ac:dyDescent="0.3">
      <c r="C10" s="163"/>
      <c r="D10" s="163"/>
    </row>
    <row r="11" spans="1:4" x14ac:dyDescent="0.3">
      <c r="C11" s="160" t="s">
        <v>310</v>
      </c>
      <c r="D11" s="160" t="s">
        <v>311</v>
      </c>
    </row>
    <row r="12" spans="1:4" x14ac:dyDescent="0.3">
      <c r="A12" s="160" t="s">
        <v>97</v>
      </c>
      <c r="B12" s="161" t="s">
        <v>385</v>
      </c>
      <c r="C12" s="161"/>
    </row>
    <row r="13" spans="1:4" x14ac:dyDescent="0.3">
      <c r="B13" s="160" t="s">
        <v>300</v>
      </c>
      <c r="C13" s="163"/>
    </row>
    <row r="14" spans="1:4" x14ac:dyDescent="0.3">
      <c r="B14" s="160" t="s">
        <v>3</v>
      </c>
      <c r="C14" s="163"/>
    </row>
    <row r="15" spans="1:4" x14ac:dyDescent="0.3">
      <c r="B15" s="160" t="s">
        <v>4</v>
      </c>
      <c r="C15" s="163"/>
    </row>
    <row r="16" spans="1:4" x14ac:dyDescent="0.3">
      <c r="C16" s="163"/>
    </row>
    <row r="17" spans="1:3" x14ac:dyDescent="0.3">
      <c r="A17" s="160" t="s">
        <v>98</v>
      </c>
      <c r="B17" s="160" t="s">
        <v>5</v>
      </c>
      <c r="C17" s="163"/>
    </row>
    <row r="19" spans="1:3" x14ac:dyDescent="0.3">
      <c r="A19" s="160" t="s">
        <v>99</v>
      </c>
      <c r="B19" s="160" t="s">
        <v>0</v>
      </c>
    </row>
    <row r="20" spans="1:3" x14ac:dyDescent="0.3">
      <c r="B20" s="160" t="s">
        <v>381</v>
      </c>
    </row>
    <row r="21" spans="1:3" x14ac:dyDescent="0.3">
      <c r="B21" s="160" t="s">
        <v>382</v>
      </c>
    </row>
    <row r="22" spans="1:3" x14ac:dyDescent="0.3">
      <c r="B22" s="160" t="s">
        <v>383</v>
      </c>
    </row>
    <row r="24" spans="1:3" x14ac:dyDescent="0.3">
      <c r="A24" s="160" t="s">
        <v>100</v>
      </c>
      <c r="B24" s="160" t="s">
        <v>380</v>
      </c>
    </row>
    <row r="25" spans="1:3" x14ac:dyDescent="0.3">
      <c r="B25" s="160" t="s">
        <v>6</v>
      </c>
    </row>
    <row r="27" spans="1:3" x14ac:dyDescent="0.3">
      <c r="A27" s="160" t="s">
        <v>101</v>
      </c>
      <c r="B27" s="160" t="s">
        <v>301</v>
      </c>
    </row>
    <row r="28" spans="1:3" x14ac:dyDescent="0.3">
      <c r="B28" s="160" t="s">
        <v>302</v>
      </c>
    </row>
    <row r="30" spans="1:3" x14ac:dyDescent="0.3">
      <c r="A30" s="160" t="s">
        <v>102</v>
      </c>
      <c r="B30" s="160" t="s">
        <v>384</v>
      </c>
    </row>
    <row r="31" spans="1:3" x14ac:dyDescent="0.3">
      <c r="B31" s="160" t="s">
        <v>303</v>
      </c>
    </row>
    <row r="33" spans="1:3" x14ac:dyDescent="0.3">
      <c r="A33" s="160" t="s">
        <v>103</v>
      </c>
      <c r="B33" s="160" t="s">
        <v>1</v>
      </c>
    </row>
    <row r="34" spans="1:3" x14ac:dyDescent="0.3">
      <c r="B34" s="160" t="s">
        <v>2</v>
      </c>
    </row>
    <row r="39" spans="1:3" x14ac:dyDescent="0.3">
      <c r="A39" s="160" t="s">
        <v>106</v>
      </c>
      <c r="B39" s="160" t="s">
        <v>107</v>
      </c>
      <c r="C39" s="160">
        <f>'Платоспроможність боржника'!C63</f>
        <v>0</v>
      </c>
    </row>
    <row r="40" spans="1:3" x14ac:dyDescent="0.3">
      <c r="B40" s="160" t="s">
        <v>108</v>
      </c>
      <c r="C40" s="160">
        <f>'Платоспроможність боржника'!C64</f>
        <v>0</v>
      </c>
    </row>
    <row r="41" spans="1:3" x14ac:dyDescent="0.3">
      <c r="B41" s="160" t="s">
        <v>109</v>
      </c>
      <c r="C41" s="160">
        <f>'Платоспроможність боржника'!C65</f>
        <v>0</v>
      </c>
    </row>
    <row r="42" spans="1:3" x14ac:dyDescent="0.3">
      <c r="B42" s="160" t="s">
        <v>110</v>
      </c>
      <c r="C42" s="160">
        <f>'Платоспроможність боржника'!C66</f>
        <v>0</v>
      </c>
    </row>
    <row r="51" spans="1:4" x14ac:dyDescent="0.3">
      <c r="B51" s="160" t="s">
        <v>164</v>
      </c>
    </row>
    <row r="52" spans="1:4" x14ac:dyDescent="0.3">
      <c r="B52" s="160" t="s">
        <v>135</v>
      </c>
      <c r="C52" s="160">
        <f>'Платоспроможність боржника'!C76</f>
        <v>2.2747954273251859E-2</v>
      </c>
      <c r="D52" s="160" t="s">
        <v>145</v>
      </c>
    </row>
    <row r="53" spans="1:4" x14ac:dyDescent="0.3">
      <c r="B53" s="160" t="s">
        <v>136</v>
      </c>
      <c r="C53" s="160">
        <f>'Платоспроможність боржника'!C77</f>
        <v>2.7852500000000002E-2</v>
      </c>
      <c r="D53" s="160" t="s">
        <v>146</v>
      </c>
    </row>
    <row r="54" spans="1:4" x14ac:dyDescent="0.3">
      <c r="B54" s="160" t="s">
        <v>134</v>
      </c>
      <c r="C54" s="160">
        <f>'Платоспроможність боржника'!C78</f>
        <v>2.2747954273251859E-2</v>
      </c>
    </row>
    <row r="56" spans="1:4" x14ac:dyDescent="0.3">
      <c r="A56" s="160" t="s">
        <v>111</v>
      </c>
      <c r="B56" s="160" t="s">
        <v>112</v>
      </c>
      <c r="C56" s="160">
        <f>'Платоспроможність боржника'!$H$91</f>
        <v>4000000</v>
      </c>
    </row>
    <row r="57" spans="1:4" x14ac:dyDescent="0.3">
      <c r="B57" s="160" t="s">
        <v>113</v>
      </c>
      <c r="C57" s="160">
        <f>C8+C9</f>
        <v>0</v>
      </c>
    </row>
    <row r="58" spans="1:4" x14ac:dyDescent="0.3">
      <c r="B58" s="160" t="s">
        <v>111</v>
      </c>
      <c r="C58" s="160">
        <f>MAX(C56-C57,0)</f>
        <v>4000000</v>
      </c>
    </row>
    <row r="60" spans="1:4" x14ac:dyDescent="0.3">
      <c r="A60" s="160" t="s">
        <v>114</v>
      </c>
      <c r="B60" s="160" t="s">
        <v>148</v>
      </c>
      <c r="C60" s="160" t="s">
        <v>310</v>
      </c>
      <c r="D60" s="160" t="s">
        <v>311</v>
      </c>
    </row>
    <row r="61" spans="1:4" x14ac:dyDescent="0.3">
      <c r="B61" s="160" t="s">
        <v>121</v>
      </c>
      <c r="C61" s="160">
        <f>IFERROR(VLOOKUP(C19,'коефіцієнт витрат'!B2:C6,2,),70%)</f>
        <v>0.7</v>
      </c>
      <c r="D61" s="160">
        <f>IFERROR(VLOOKUP(D19,'коефіцієнт витрат'!B2:C6,2,),70%)</f>
        <v>0.7</v>
      </c>
    </row>
    <row r="62" spans="1:4" x14ac:dyDescent="0.3">
      <c r="B62" s="160" t="s">
        <v>115</v>
      </c>
      <c r="C62" s="160">
        <f>IF(C12="Чистий дохід за мінусом податків",1,0.805)*C13-C14</f>
        <v>0</v>
      </c>
      <c r="D62" s="160">
        <f>IF(D12="Чистий дохід за мінусом податків",1,0.805)*D13-D14</f>
        <v>0</v>
      </c>
    </row>
    <row r="63" spans="1:4" x14ac:dyDescent="0.3">
      <c r="B63" s="160" t="s">
        <v>116</v>
      </c>
      <c r="C63" s="160">
        <f>C17</f>
        <v>0</v>
      </c>
      <c r="D63" s="160">
        <f>D17</f>
        <v>0</v>
      </c>
    </row>
    <row r="64" spans="1:4" x14ac:dyDescent="0.3">
      <c r="B64" s="160" t="s">
        <v>117</v>
      </c>
      <c r="C64" s="160">
        <f>(C20-C21)-MAX(C61*(C20-C21),C22)</f>
        <v>0</v>
      </c>
      <c r="D64" s="160">
        <f>(D20-D21)-MAX(D61*(D20-D21),D22)</f>
        <v>0</v>
      </c>
    </row>
    <row r="65" spans="1:4" x14ac:dyDescent="0.3">
      <c r="B65" s="160" t="s">
        <v>118</v>
      </c>
      <c r="C65" s="160">
        <f>C24</f>
        <v>0</v>
      </c>
      <c r="D65" s="160">
        <f>D24</f>
        <v>0</v>
      </c>
    </row>
    <row r="66" spans="1:4" x14ac:dyDescent="0.3">
      <c r="B66" s="160" t="s">
        <v>119</v>
      </c>
      <c r="C66" s="160">
        <f>C27-C28</f>
        <v>0</v>
      </c>
      <c r="D66" s="160">
        <f>D27-D28</f>
        <v>0</v>
      </c>
    </row>
    <row r="67" spans="1:4" x14ac:dyDescent="0.3">
      <c r="B67" s="160" t="s">
        <v>120</v>
      </c>
      <c r="C67" s="160">
        <f>(C30-C31)</f>
        <v>0</v>
      </c>
      <c r="D67" s="160">
        <f>(D30-D31)</f>
        <v>0</v>
      </c>
    </row>
    <row r="68" spans="1:4" x14ac:dyDescent="0.3">
      <c r="B68" s="160" t="s">
        <v>366</v>
      </c>
      <c r="C68" s="160">
        <f>SUM(C62:C67)</f>
        <v>0</v>
      </c>
      <c r="D68" s="160">
        <f>SUM(D62:D67)</f>
        <v>0</v>
      </c>
    </row>
    <row r="69" spans="1:4" x14ac:dyDescent="0.3">
      <c r="B69" s="160" t="s">
        <v>128</v>
      </c>
      <c r="C69" s="160">
        <f>C68+D68</f>
        <v>0</v>
      </c>
    </row>
    <row r="71" spans="1:4" x14ac:dyDescent="0.3">
      <c r="A71" s="160" t="s">
        <v>129</v>
      </c>
      <c r="B71" s="160" t="s">
        <v>130</v>
      </c>
      <c r="C71" s="160">
        <f>'Платоспроможність боржника'!H82</f>
        <v>30</v>
      </c>
    </row>
    <row r="72" spans="1:4" x14ac:dyDescent="0.3">
      <c r="B72" s="160" t="s">
        <v>131</v>
      </c>
      <c r="C72" s="160">
        <f>IF('Платоспроможність боржника'!C3&lt;&gt;"",'Платоспроможність боржника'!C4/'Платоспроможність боржника'!C3*100,0)</f>
        <v>70</v>
      </c>
    </row>
    <row r="73" spans="1:4" x14ac:dyDescent="0.3">
      <c r="B73" s="160" t="s">
        <v>129</v>
      </c>
      <c r="C73" s="160">
        <f>'Платоспроможність боржника'!C97</f>
        <v>103960.00000000003</v>
      </c>
    </row>
    <row r="75" spans="1:4" x14ac:dyDescent="0.3">
      <c r="A75" s="160" t="s">
        <v>132</v>
      </c>
      <c r="B75" s="160" t="s">
        <v>133</v>
      </c>
      <c r="C75" s="160">
        <f>'Платоспроможність боржника'!H83</f>
        <v>0.65</v>
      </c>
    </row>
    <row r="76" spans="1:4" x14ac:dyDescent="0.3">
      <c r="B76" s="160" t="s">
        <v>305</v>
      </c>
      <c r="C76" s="160">
        <f>C33+D33+E33+C34+D34+E34</f>
        <v>0</v>
      </c>
    </row>
    <row r="77" spans="1:4" x14ac:dyDescent="0.3">
      <c r="B77" s="160" t="s">
        <v>132</v>
      </c>
      <c r="C77" s="160">
        <f>IF(C54&lt;&gt;0,(C75*C69-C76)/C54,0)</f>
        <v>0</v>
      </c>
    </row>
    <row r="79" spans="1:4" x14ac:dyDescent="0.3">
      <c r="A79" s="160" t="s">
        <v>137</v>
      </c>
      <c r="B79" s="160" t="s">
        <v>138</v>
      </c>
      <c r="C79" s="160">
        <f>'Платоспроможність боржника'!H84</f>
        <v>1</v>
      </c>
    </row>
    <row r="80" spans="1:4" x14ac:dyDescent="0.3">
      <c r="B80" s="160" t="s">
        <v>139</v>
      </c>
      <c r="C80" s="160">
        <f>'Платоспроможність боржника'!H85</f>
        <v>1.266</v>
      </c>
    </row>
    <row r="81" spans="1:3" x14ac:dyDescent="0.3">
      <c r="B81" s="160" t="s">
        <v>293</v>
      </c>
      <c r="C81" s="160">
        <f>'Платоспроможність боржника'!H86</f>
        <v>1420.07</v>
      </c>
    </row>
    <row r="83" spans="1:3" x14ac:dyDescent="0.3">
      <c r="B83" s="160" t="s">
        <v>294</v>
      </c>
      <c r="C83" s="160">
        <f>IF(C87&lt;=4,VLOOKUP(C87,'Таблиця МП_БВС'!H:I,2,),IF(C87&gt;4,'Таблиця МП_БВС'!$I$7+(C87-4)*C81,0))</f>
        <v>5120.17</v>
      </c>
    </row>
    <row r="84" spans="1:3" x14ac:dyDescent="0.3">
      <c r="B84" s="160" t="s">
        <v>140</v>
      </c>
      <c r="C84" s="160">
        <f>IFERROR(VLOOKUP(C3,'Таблиця МП_БВС'!$B:$E,4,),1.33)</f>
        <v>1.33</v>
      </c>
    </row>
    <row r="85" spans="1:3" x14ac:dyDescent="0.3">
      <c r="B85" s="160" t="s">
        <v>141</v>
      </c>
      <c r="C85" s="160">
        <f>IFERROR(VLOOKUP(C4,'Таблиця МП_БВС'!$B:$E,4,),1.33)</f>
        <v>1.33</v>
      </c>
    </row>
    <row r="86" spans="1:3" x14ac:dyDescent="0.3">
      <c r="B86" s="160" t="s">
        <v>17</v>
      </c>
      <c r="C86" s="160">
        <f>MAX(C84,C85)</f>
        <v>1.33</v>
      </c>
    </row>
    <row r="87" spans="1:3" x14ac:dyDescent="0.3">
      <c r="B87" s="160" t="s">
        <v>143</v>
      </c>
      <c r="C87" s="160">
        <f>1+IF(OR(H1="одружений(на)",H1="не зареєстрований шлюб"),1,0)+H2</f>
        <v>1</v>
      </c>
    </row>
    <row r="88" spans="1:3" x14ac:dyDescent="0.3">
      <c r="B88" s="160" t="s">
        <v>144</v>
      </c>
      <c r="C88" s="160">
        <f>MAX(C2,C83*C86*$C$80)</f>
        <v>8621.2398426</v>
      </c>
    </row>
    <row r="89" spans="1:3" x14ac:dyDescent="0.3">
      <c r="B89" s="160" t="s">
        <v>137</v>
      </c>
      <c r="C89" s="160">
        <f>IF(C54&lt;&gt;0,(C79*C69-C76-C88)/C54,0)</f>
        <v>-378989.6770074516</v>
      </c>
    </row>
    <row r="91" spans="1:3" x14ac:dyDescent="0.3">
      <c r="A91" s="160" t="s">
        <v>147</v>
      </c>
      <c r="B91" s="160" t="s">
        <v>148</v>
      </c>
    </row>
    <row r="93" spans="1:3" x14ac:dyDescent="0.3">
      <c r="A93" s="160" t="s">
        <v>149</v>
      </c>
      <c r="B93" s="160" t="s">
        <v>150</v>
      </c>
      <c r="C93" s="160">
        <f>'Платоспроможність боржника'!H87</f>
        <v>4000000</v>
      </c>
    </row>
    <row r="94" spans="1:3" x14ac:dyDescent="0.3">
      <c r="B94" s="160" t="s">
        <v>151</v>
      </c>
      <c r="C94" s="160">
        <f>C39+C40+C41+C42</f>
        <v>0</v>
      </c>
    </row>
    <row r="95" spans="1:3" x14ac:dyDescent="0.3">
      <c r="B95" s="160" t="s">
        <v>149</v>
      </c>
      <c r="C95" s="160">
        <f>C93-C94</f>
        <v>4000000</v>
      </c>
    </row>
    <row r="97" spans="1:3" x14ac:dyDescent="0.3">
      <c r="A97" s="160" t="s">
        <v>152</v>
      </c>
      <c r="B97" s="160" t="s">
        <v>112</v>
      </c>
      <c r="C97" s="160">
        <f>'Платоспроможність боржника'!$H$91</f>
        <v>4000000</v>
      </c>
    </row>
    <row r="99" spans="1:3" x14ac:dyDescent="0.3">
      <c r="B99" s="160" t="s">
        <v>152</v>
      </c>
      <c r="C99" s="160">
        <f>IF(C98+'Платоспроможність боржника'!H5*31&lt;=C97,C56,0)</f>
        <v>4000000</v>
      </c>
    </row>
    <row r="101" spans="1:3" x14ac:dyDescent="0.3">
      <c r="A101" s="160" t="s">
        <v>153</v>
      </c>
      <c r="B101" s="160" t="s">
        <v>153</v>
      </c>
      <c r="C101" s="160">
        <f>'Платоспроможність боржника'!C126</f>
        <v>100000.00000000003</v>
      </c>
    </row>
    <row r="103" spans="1:3" x14ac:dyDescent="0.3">
      <c r="A103" s="160" t="s">
        <v>154</v>
      </c>
      <c r="B103" s="160" t="s">
        <v>148</v>
      </c>
    </row>
    <row r="104" spans="1:3" x14ac:dyDescent="0.3">
      <c r="A104" s="160" t="s">
        <v>155</v>
      </c>
      <c r="B104" s="160" t="s">
        <v>148</v>
      </c>
    </row>
    <row r="105" spans="1:3" x14ac:dyDescent="0.3">
      <c r="A105" s="160" t="s">
        <v>156</v>
      </c>
      <c r="B105" s="160" t="s">
        <v>148</v>
      </c>
    </row>
    <row r="107" spans="1:3" x14ac:dyDescent="0.3">
      <c r="A107" s="160" t="s">
        <v>157</v>
      </c>
      <c r="B107" s="160" t="s">
        <v>158</v>
      </c>
      <c r="C107" s="160">
        <f>'Платоспроможність боржника'!H88</f>
        <v>0.5</v>
      </c>
    </row>
    <row r="108" spans="1:3" x14ac:dyDescent="0.3">
      <c r="B108" s="160" t="s">
        <v>157</v>
      </c>
      <c r="C108" s="160">
        <f>IF('Платоспроможність боржника'!C5&gt;0,C107*'Платоспроможність боржника'!C5,0)</f>
        <v>2500000</v>
      </c>
    </row>
    <row r="110" spans="1:3" x14ac:dyDescent="0.3">
      <c r="B110" s="160" t="s">
        <v>161</v>
      </c>
      <c r="C110" s="160">
        <f>ROUNDDOWN(MAX(MIN(C58,C73,C77,C89,C95,C99,C101,C108),0)*'Платоспроможність боржника'!H89,-2)</f>
        <v>0</v>
      </c>
    </row>
    <row r="112" spans="1:3" x14ac:dyDescent="0.3">
      <c r="B112" s="160" t="s">
        <v>367</v>
      </c>
      <c r="C112" s="160" t="str">
        <f>IF(OR(C110&lt;'Платоспроможність боржника'!C135,C110=0),"Поручитель неплатоспроможний","Поручитель платоспроможний")</f>
        <v>Поручитель неплатоспроможний</v>
      </c>
    </row>
  </sheetData>
  <conditionalFormatting sqref="C112">
    <cfRule type="containsText" dxfId="2" priority="1" operator="containsText" text="Поручитель неплатоспроможний">
      <formula>NOT(ISERROR(SEARCH("Поручитель неплатоспроможний",C112)))</formula>
    </cfRule>
    <cfRule type="containsText" dxfId="1" priority="2" operator="containsText" text="Поручитель платоспроможний">
      <formula>NOT(ISERROR(SEARCH("Поручитель платоспроможний",C112)))</formula>
    </cfRule>
  </conditionalFormatting>
  <conditionalFormatting sqref="D1">
    <cfRule type="expression" dxfId="0" priority="7">
      <formula>IF(#REF!="Так",FALSE,TRUE)</formula>
    </cfRule>
  </conditionalFormatting>
  <dataValidations disablePrompts="1" count="3">
    <dataValidation showInputMessage="1" showErrorMessage="1" sqref="B8" xr:uid="{C0BCEEB6-6731-426D-AEF6-625A2AB66ED0}"/>
    <dataValidation type="list" allowBlank="1" showInputMessage="1" showErrorMessage="1" sqref="H1" xr:uid="{07569E40-DB6C-42DD-84DC-3DFC176BB316}">
      <formula1>"одружений(на),не одружений(на),не зареєстрований шлюб,розлучений(на),вдова/вдівець"</formula1>
    </dataValidation>
    <dataValidation type="list" allowBlank="1" showInputMessage="1" showErrorMessage="1" sqref="C12:D12" xr:uid="{EF895FC2-8297-4B6E-A890-BCD3DB7C50A3}">
      <formula1>"Чистий дохід за мінусом податків,Дохід брутто (без вирахування податків)"</formula1>
    </dataValidation>
  </dataValidations>
  <pageMargins left="0.7" right="0.7" top="0.75" bottom="0.75" header="0.3" footer="0.3"/>
  <pageSetup paperSize="9" orientation="portrait" verticalDpi="0" r:id="rId1"/>
  <headerFooter>
    <oddHeader>&amp;R&amp;"Calibri"&amp;10&amp;KFF0000КОНФІДЕНЦІЙНА ІНФОРМАЦІЯ&amp;1#</oddHeader>
  </headerFooter>
  <drawing r:id="rId2"/>
  <legacyDrawing r:id="rId3"/>
  <controls>
    <mc:AlternateContent xmlns:mc="http://schemas.openxmlformats.org/markup-compatibility/2006">
      <mc:Choice Requires="x14">
        <control shapeId="11275" r:id="rId4" name="CommandButton1">
          <controlPr defaultSize="0" autoLine="0" r:id="rId5">
            <anchor moveWithCells="1">
              <from>
                <xdr:col>0</xdr:col>
                <xdr:colOff>0</xdr:colOff>
                <xdr:row>0</xdr:row>
                <xdr:rowOff>137160</xdr:rowOff>
              </from>
              <to>
                <xdr:col>65</xdr:col>
                <xdr:colOff>266700</xdr:colOff>
                <xdr:row>2</xdr:row>
                <xdr:rowOff>175260</xdr:rowOff>
              </to>
            </anchor>
          </controlPr>
        </control>
      </mc:Choice>
      <mc:Fallback>
        <control shapeId="11275" r:id="rId4" name="CommandButton1"/>
      </mc:Fallback>
    </mc:AlternateContent>
  </control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53EE1F29-2824-4C06-B2D0-6C075F4BC857}">
          <x14:formula1>
            <xm:f>'коефіцієнт витрат'!$B$2:$B$7</xm:f>
          </x14:formula1>
          <xm:sqref>C19:D19</xm:sqref>
        </x14:dataValidation>
        <x14:dataValidation type="list" allowBlank="1" showInputMessage="1" showErrorMessage="1" xr:uid="{B0490151-8585-4A41-88E9-B9E5A9FC5763}">
          <x14:formula1>
            <xm:f>'Таблиця МП_БВС'!$B$3:$B$47</xm:f>
          </x14:formula1>
          <xm:sqref>C3:C4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8C23A-99B9-4A07-AACF-DE84ADB771BE}">
  <sheetPr codeName="Аркуш3"/>
  <dimension ref="B1:D56"/>
  <sheetViews>
    <sheetView topLeftCell="BG1" workbookViewId="0">
      <selection sqref="A1:BF1048576"/>
    </sheetView>
  </sheetViews>
  <sheetFormatPr defaultRowHeight="14.4" x14ac:dyDescent="0.3"/>
  <cols>
    <col min="1" max="2" width="0" style="160" hidden="1" customWidth="1"/>
    <col min="3" max="3" width="13.109375" style="160" hidden="1" customWidth="1"/>
    <col min="4" max="4" width="12.33203125" style="160" hidden="1" customWidth="1"/>
    <col min="5" max="58" width="0" style="160" hidden="1" customWidth="1"/>
    <col min="59" max="16384" width="8.88671875" style="160"/>
  </cols>
  <sheetData>
    <row r="1" spans="2:4" x14ac:dyDescent="0.3">
      <c r="B1" s="158"/>
      <c r="C1" s="159" t="s">
        <v>104</v>
      </c>
      <c r="D1" s="159" t="s">
        <v>310</v>
      </c>
    </row>
    <row r="2" spans="2:4" x14ac:dyDescent="0.3">
      <c r="B2" s="161" t="s">
        <v>160</v>
      </c>
      <c r="C2" s="162">
        <f>'Платоспроможність боржника'!C135</f>
        <v>100000</v>
      </c>
      <c r="D2" s="162">
        <f>'Платоспроможність поручителя'!C110</f>
        <v>0</v>
      </c>
    </row>
    <row r="3" spans="2:4" x14ac:dyDescent="0.3">
      <c r="B3" s="160" t="s">
        <v>111</v>
      </c>
      <c r="C3" s="163">
        <f>'Платоспроможність боржника'!C82</f>
        <v>4000000</v>
      </c>
      <c r="D3" s="163">
        <f>'Платоспроможність поручителя'!C58</f>
        <v>4000000</v>
      </c>
    </row>
    <row r="4" spans="2:4" x14ac:dyDescent="0.3">
      <c r="B4" s="160" t="s">
        <v>129</v>
      </c>
      <c r="C4" s="163">
        <f>'Платоспроможність боржника'!C97</f>
        <v>103960.00000000003</v>
      </c>
      <c r="D4" s="163">
        <f>'Платоспроможність поручителя'!C73</f>
        <v>103960.00000000003</v>
      </c>
    </row>
    <row r="5" spans="2:4" x14ac:dyDescent="0.3">
      <c r="B5" s="160" t="s">
        <v>132</v>
      </c>
      <c r="C5" s="163">
        <f>'Платоспроможність боржника'!C101</f>
        <v>46004136.786512055</v>
      </c>
      <c r="D5" s="163">
        <f>'Платоспроможність поручителя'!C77</f>
        <v>0</v>
      </c>
    </row>
    <row r="6" spans="2:4" x14ac:dyDescent="0.3">
      <c r="B6" s="160" t="s">
        <v>137</v>
      </c>
      <c r="C6" s="163">
        <f>'Платоспроможність боржника'!C114</f>
        <v>70396605.379164949</v>
      </c>
      <c r="D6" s="163">
        <f>'Платоспроможність поручителя'!C89</f>
        <v>-378989.6770074516</v>
      </c>
    </row>
    <row r="7" spans="2:4" x14ac:dyDescent="0.3">
      <c r="B7" s="160" t="s">
        <v>149</v>
      </c>
      <c r="C7" s="163">
        <f>'Платоспроможність боржника'!C120</f>
        <v>4000000</v>
      </c>
      <c r="D7" s="163">
        <f>'Платоспроможність поручителя'!C95</f>
        <v>4000000</v>
      </c>
    </row>
    <row r="8" spans="2:4" x14ac:dyDescent="0.3">
      <c r="B8" s="160" t="s">
        <v>152</v>
      </c>
      <c r="C8" s="163">
        <f>'Платоспроможність боржника'!C124</f>
        <v>4000000</v>
      </c>
      <c r="D8" s="163">
        <f>'Платоспроможність поручителя'!C99</f>
        <v>4000000</v>
      </c>
    </row>
    <row r="9" spans="2:4" x14ac:dyDescent="0.3">
      <c r="B9" s="160" t="s">
        <v>153</v>
      </c>
      <c r="C9" s="163">
        <f>'Платоспроможність боржника'!C126</f>
        <v>100000.00000000003</v>
      </c>
      <c r="D9" s="163">
        <f>'Платоспроможність поручителя'!C101</f>
        <v>100000.00000000003</v>
      </c>
    </row>
    <row r="10" spans="2:4" x14ac:dyDescent="0.3">
      <c r="B10" s="160" t="s">
        <v>157</v>
      </c>
      <c r="C10" s="163">
        <f>'Платоспроможність боржника'!C133</f>
        <v>2500000</v>
      </c>
      <c r="D10" s="163">
        <f>'Платоспроможність поручителя'!C108</f>
        <v>2500000</v>
      </c>
    </row>
    <row r="12" spans="2:4" x14ac:dyDescent="0.3">
      <c r="B12" s="161" t="s">
        <v>292</v>
      </c>
      <c r="C12" s="161">
        <f ca="1">'Платоспроможність боржника'!C174</f>
        <v>1</v>
      </c>
    </row>
    <row r="13" spans="2:4" x14ac:dyDescent="0.3">
      <c r="B13" s="160" t="s">
        <v>214</v>
      </c>
      <c r="C13" s="163">
        <f>'Платоспроможність боржника'!C139</f>
        <v>33016.53</v>
      </c>
    </row>
    <row r="14" spans="2:4" x14ac:dyDescent="0.3">
      <c r="B14" s="160" t="s">
        <v>166</v>
      </c>
      <c r="C14" s="163">
        <f>'Платоспроможність боржника'!C141</f>
        <v>1601378.7601574</v>
      </c>
    </row>
    <row r="15" spans="2:4" x14ac:dyDescent="0.3">
      <c r="B15" s="160" t="s">
        <v>167</v>
      </c>
      <c r="C15" s="163">
        <f>'Платоспроможність боржника'!C142</f>
        <v>38.666816356547358</v>
      </c>
    </row>
    <row r="16" spans="2:4" x14ac:dyDescent="0.3">
      <c r="B16" s="160" t="s">
        <v>168</v>
      </c>
      <c r="C16" s="163">
        <f>'Платоспроможність боржника'!C143</f>
        <v>2.050716149068323E-2</v>
      </c>
    </row>
    <row r="17" spans="2:3" x14ac:dyDescent="0.3">
      <c r="B17" s="160" t="s">
        <v>169</v>
      </c>
      <c r="C17" s="163">
        <f>'Платоспроможність боржника'!C144</f>
        <v>2.0223716666666666E-2</v>
      </c>
    </row>
    <row r="33" s="160" customFormat="1" x14ac:dyDescent="0.3"/>
    <row r="34" s="160" customFormat="1" x14ac:dyDescent="0.3"/>
    <row r="35" s="160" customFormat="1" x14ac:dyDescent="0.3"/>
    <row r="36" s="160" customFormat="1" x14ac:dyDescent="0.3"/>
    <row r="37" s="160" customFormat="1" x14ac:dyDescent="0.3"/>
    <row r="38" s="160" customFormat="1" x14ac:dyDescent="0.3"/>
    <row r="39" s="160" customFormat="1" x14ac:dyDescent="0.3"/>
    <row r="40" s="160" customFormat="1" x14ac:dyDescent="0.3"/>
    <row r="41" s="160" customFormat="1" x14ac:dyDescent="0.3"/>
    <row r="42" s="160" customFormat="1" x14ac:dyDescent="0.3"/>
    <row r="43" s="160" customFormat="1" x14ac:dyDescent="0.3"/>
    <row r="44" s="160" customFormat="1" x14ac:dyDescent="0.3"/>
    <row r="45" s="160" customFormat="1" x14ac:dyDescent="0.3"/>
    <row r="46" s="160" customFormat="1" x14ac:dyDescent="0.3"/>
    <row r="47" s="160" customFormat="1" x14ac:dyDescent="0.3"/>
    <row r="48" s="160" customFormat="1" x14ac:dyDescent="0.3"/>
    <row r="49" s="160" customFormat="1" x14ac:dyDescent="0.3"/>
    <row r="50" s="160" customFormat="1" x14ac:dyDescent="0.3"/>
    <row r="51" s="160" customFormat="1" x14ac:dyDescent="0.3"/>
    <row r="52" s="160" customFormat="1" x14ac:dyDescent="0.3"/>
    <row r="53" s="160" customFormat="1" x14ac:dyDescent="0.3"/>
    <row r="54" s="160" customFormat="1" x14ac:dyDescent="0.3"/>
    <row r="55" s="160" customFormat="1" x14ac:dyDescent="0.3"/>
    <row r="56" s="160" customFormat="1" x14ac:dyDescent="0.3"/>
  </sheetData>
  <phoneticPr fontId="6" type="noConversion"/>
  <pageMargins left="0.7" right="0.7" top="0.75" bottom="0.75" header="0.3" footer="0.3"/>
  <pageSetup paperSize="9" orientation="portrait" verticalDpi="0" r:id="rId1"/>
  <headerFooter>
    <oddHeader>&amp;R&amp;"Calibri"&amp;10&amp;KFF0000КОНФІДЕНЦІЙНА ІНФОРМАЦІЯ&amp;1#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30F1D-D869-4E9F-88E0-93733FC11ADB}">
  <sheetPr codeName="Аркуш4"/>
  <dimension ref="B1:I56"/>
  <sheetViews>
    <sheetView topLeftCell="BF1" workbookViewId="0">
      <selection sqref="A1:BE1048576"/>
    </sheetView>
  </sheetViews>
  <sheetFormatPr defaultRowHeight="14.4" x14ac:dyDescent="0.3"/>
  <cols>
    <col min="1" max="2" width="0" style="160" hidden="1" customWidth="1"/>
    <col min="3" max="3" width="13.109375" style="160" hidden="1" customWidth="1"/>
    <col min="4" max="4" width="12.33203125" style="160" hidden="1" customWidth="1"/>
    <col min="5" max="57" width="0" style="160" hidden="1" customWidth="1"/>
    <col min="58" max="16384" width="8.88671875" style="160"/>
  </cols>
  <sheetData>
    <row r="1" spans="2:9" x14ac:dyDescent="0.3">
      <c r="B1" s="158"/>
      <c r="C1" s="159" t="s">
        <v>159</v>
      </c>
      <c r="D1" s="159"/>
      <c r="F1" s="160" t="s">
        <v>243</v>
      </c>
    </row>
    <row r="2" spans="2:9" x14ac:dyDescent="0.3">
      <c r="B2" s="161" t="s">
        <v>122</v>
      </c>
      <c r="C2" s="162">
        <v>0.7</v>
      </c>
      <c r="D2" s="162"/>
      <c r="F2" s="160" t="s">
        <v>244</v>
      </c>
    </row>
    <row r="3" spans="2:9" x14ac:dyDescent="0.3">
      <c r="B3" s="160" t="s">
        <v>123</v>
      </c>
      <c r="C3" s="163">
        <v>0.5</v>
      </c>
      <c r="D3" s="163"/>
      <c r="F3" s="160">
        <v>1</v>
      </c>
      <c r="G3" s="160" t="s">
        <v>245</v>
      </c>
      <c r="H3" s="160" t="s">
        <v>246</v>
      </c>
      <c r="I3" s="160">
        <v>1500</v>
      </c>
    </row>
    <row r="4" spans="2:9" x14ac:dyDescent="0.3">
      <c r="B4" s="160" t="s">
        <v>125</v>
      </c>
      <c r="C4" s="163">
        <v>0.6</v>
      </c>
      <c r="D4" s="163"/>
      <c r="H4" s="160" t="s">
        <v>247</v>
      </c>
      <c r="I4" s="160">
        <v>1400</v>
      </c>
    </row>
    <row r="5" spans="2:9" x14ac:dyDescent="0.3">
      <c r="B5" s="160" t="s">
        <v>124</v>
      </c>
      <c r="C5" s="163">
        <v>0.3</v>
      </c>
      <c r="D5" s="163"/>
      <c r="H5" s="160" t="s">
        <v>248</v>
      </c>
      <c r="I5" s="160">
        <v>1200</v>
      </c>
    </row>
    <row r="6" spans="2:9" x14ac:dyDescent="0.3">
      <c r="B6" s="160" t="s">
        <v>126</v>
      </c>
      <c r="C6" s="163">
        <v>0.4</v>
      </c>
      <c r="D6" s="163"/>
      <c r="H6" s="160" t="s">
        <v>249</v>
      </c>
      <c r="I6" s="160">
        <v>1000</v>
      </c>
    </row>
    <row r="7" spans="2:9" x14ac:dyDescent="0.3">
      <c r="B7" s="160" t="s">
        <v>163</v>
      </c>
      <c r="C7" s="163">
        <v>0.7</v>
      </c>
      <c r="D7" s="163"/>
      <c r="H7" s="160" t="s">
        <v>250</v>
      </c>
      <c r="I7" s="160">
        <v>600</v>
      </c>
    </row>
    <row r="8" spans="2:9" x14ac:dyDescent="0.3">
      <c r="C8" s="163"/>
      <c r="D8" s="163"/>
      <c r="H8" s="160" t="s">
        <v>251</v>
      </c>
      <c r="I8" s="160">
        <v>0</v>
      </c>
    </row>
    <row r="9" spans="2:9" x14ac:dyDescent="0.3">
      <c r="B9" s="160" t="s">
        <v>240</v>
      </c>
      <c r="C9" s="163"/>
      <c r="D9" s="163"/>
      <c r="F9" s="160">
        <v>2</v>
      </c>
      <c r="G9" s="160" t="s">
        <v>252</v>
      </c>
      <c r="H9" s="160" t="s">
        <v>253</v>
      </c>
      <c r="I9" s="160">
        <v>1250</v>
      </c>
    </row>
    <row r="10" spans="2:9" x14ac:dyDescent="0.3">
      <c r="B10" s="160" t="s">
        <v>241</v>
      </c>
      <c r="C10" s="163" t="s">
        <v>220</v>
      </c>
      <c r="D10" s="163"/>
      <c r="H10" s="160" t="s">
        <v>284</v>
      </c>
      <c r="I10" s="160">
        <v>1000</v>
      </c>
    </row>
    <row r="11" spans="2:9" x14ac:dyDescent="0.3">
      <c r="B11" s="160" t="s">
        <v>242</v>
      </c>
      <c r="C11" s="160">
        <v>1</v>
      </c>
      <c r="H11" s="160" t="s">
        <v>285</v>
      </c>
      <c r="I11" s="160">
        <v>750</v>
      </c>
    </row>
    <row r="12" spans="2:9" x14ac:dyDescent="0.3">
      <c r="B12" s="161" t="s">
        <v>221</v>
      </c>
      <c r="C12" s="161">
        <v>2</v>
      </c>
      <c r="H12" s="160" t="s">
        <v>286</v>
      </c>
      <c r="I12" s="160">
        <v>500</v>
      </c>
    </row>
    <row r="13" spans="2:9" x14ac:dyDescent="0.3">
      <c r="B13" s="160" t="s">
        <v>222</v>
      </c>
      <c r="C13" s="163">
        <v>3</v>
      </c>
      <c r="H13" s="160" t="s">
        <v>287</v>
      </c>
      <c r="I13" s="160">
        <v>250</v>
      </c>
    </row>
    <row r="14" spans="2:9" x14ac:dyDescent="0.3">
      <c r="B14" s="160" t="s">
        <v>223</v>
      </c>
      <c r="C14" s="163">
        <v>4</v>
      </c>
      <c r="H14" s="160" t="s">
        <v>254</v>
      </c>
      <c r="I14" s="160">
        <v>0</v>
      </c>
    </row>
    <row r="15" spans="2:9" x14ac:dyDescent="0.3">
      <c r="B15" s="160" t="s">
        <v>224</v>
      </c>
      <c r="C15" s="163">
        <v>5</v>
      </c>
      <c r="F15" s="160">
        <v>3</v>
      </c>
      <c r="G15" s="160" t="s">
        <v>255</v>
      </c>
      <c r="H15" s="160" t="s">
        <v>256</v>
      </c>
      <c r="I15" s="160">
        <v>1000</v>
      </c>
    </row>
    <row r="16" spans="2:9" x14ac:dyDescent="0.3">
      <c r="C16" s="163"/>
      <c r="H16" s="160" t="s">
        <v>291</v>
      </c>
      <c r="I16" s="160">
        <v>800</v>
      </c>
    </row>
    <row r="17" spans="2:9" x14ac:dyDescent="0.3">
      <c r="C17" s="163"/>
      <c r="H17" s="160" t="s">
        <v>290</v>
      </c>
      <c r="I17" s="160">
        <v>600</v>
      </c>
    </row>
    <row r="18" spans="2:9" x14ac:dyDescent="0.3">
      <c r="B18" s="160" t="s">
        <v>225</v>
      </c>
      <c r="H18" s="160" t="s">
        <v>288</v>
      </c>
      <c r="I18" s="160">
        <v>400</v>
      </c>
    </row>
    <row r="19" spans="2:9" x14ac:dyDescent="0.3">
      <c r="B19" s="160" t="s">
        <v>226</v>
      </c>
      <c r="C19" s="160" t="s">
        <v>227</v>
      </c>
      <c r="H19" s="160" t="s">
        <v>289</v>
      </c>
      <c r="I19" s="160">
        <v>200</v>
      </c>
    </row>
    <row r="20" spans="2:9" x14ac:dyDescent="0.3">
      <c r="B20" s="160" t="s">
        <v>228</v>
      </c>
      <c r="C20" s="160">
        <v>1</v>
      </c>
      <c r="F20" s="160">
        <v>4</v>
      </c>
      <c r="G20" s="160" t="s">
        <v>257</v>
      </c>
      <c r="H20" s="160" t="s">
        <v>258</v>
      </c>
      <c r="I20" s="160">
        <v>500</v>
      </c>
    </row>
    <row r="21" spans="2:9" x14ac:dyDescent="0.3">
      <c r="B21" s="160" t="s">
        <v>229</v>
      </c>
      <c r="C21" s="160">
        <v>2</v>
      </c>
      <c r="H21" s="160" t="s">
        <v>259</v>
      </c>
      <c r="I21" s="160">
        <v>0</v>
      </c>
    </row>
    <row r="22" spans="2:9" x14ac:dyDescent="0.3">
      <c r="B22" s="160" t="s">
        <v>230</v>
      </c>
      <c r="C22" s="160">
        <v>3</v>
      </c>
    </row>
    <row r="23" spans="2:9" x14ac:dyDescent="0.3">
      <c r="B23" s="160" t="s">
        <v>231</v>
      </c>
      <c r="C23" s="160">
        <v>4</v>
      </c>
      <c r="F23" s="160" t="s">
        <v>260</v>
      </c>
    </row>
    <row r="24" spans="2:9" x14ac:dyDescent="0.3">
      <c r="B24" s="160" t="s">
        <v>232</v>
      </c>
      <c r="C24" s="160">
        <v>5</v>
      </c>
      <c r="F24" s="160">
        <v>5</v>
      </c>
      <c r="G24" s="160" t="s">
        <v>184</v>
      </c>
      <c r="H24" s="160" t="s">
        <v>261</v>
      </c>
      <c r="I24" s="160">
        <v>84</v>
      </c>
    </row>
    <row r="25" spans="2:9" x14ac:dyDescent="0.3">
      <c r="H25" s="160" t="s">
        <v>262</v>
      </c>
      <c r="I25" s="160">
        <v>87</v>
      </c>
    </row>
    <row r="26" spans="2:9" x14ac:dyDescent="0.3">
      <c r="H26" s="160" t="s">
        <v>263</v>
      </c>
      <c r="I26" s="160">
        <v>92</v>
      </c>
    </row>
    <row r="27" spans="2:9" x14ac:dyDescent="0.3">
      <c r="B27" s="160" t="s">
        <v>233</v>
      </c>
      <c r="H27" s="160" t="s">
        <v>264</v>
      </c>
      <c r="I27" s="160">
        <v>98</v>
      </c>
    </row>
    <row r="28" spans="2:9" x14ac:dyDescent="0.3">
      <c r="B28" s="160" t="s">
        <v>234</v>
      </c>
      <c r="C28" s="160" t="s">
        <v>219</v>
      </c>
      <c r="F28" s="160">
        <v>6</v>
      </c>
      <c r="G28" s="160" t="s">
        <v>185</v>
      </c>
      <c r="H28" s="160" t="s">
        <v>265</v>
      </c>
      <c r="I28" s="160">
        <v>81</v>
      </c>
    </row>
    <row r="29" spans="2:9" x14ac:dyDescent="0.3">
      <c r="B29" s="160" t="s">
        <v>235</v>
      </c>
      <c r="C29" s="160">
        <v>1</v>
      </c>
      <c r="H29" s="160" t="s">
        <v>266</v>
      </c>
      <c r="I29" s="160">
        <v>90</v>
      </c>
    </row>
    <row r="30" spans="2:9" x14ac:dyDescent="0.3">
      <c r="B30" s="160" t="s">
        <v>236</v>
      </c>
      <c r="C30" s="160">
        <v>2</v>
      </c>
      <c r="H30" s="160" t="s">
        <v>267</v>
      </c>
      <c r="I30" s="160">
        <v>87</v>
      </c>
    </row>
    <row r="31" spans="2:9" x14ac:dyDescent="0.3">
      <c r="B31" s="160" t="s">
        <v>237</v>
      </c>
      <c r="C31" s="160">
        <v>3</v>
      </c>
      <c r="H31" s="160" t="s">
        <v>268</v>
      </c>
      <c r="I31" s="160">
        <v>94</v>
      </c>
    </row>
    <row r="32" spans="2:9" x14ac:dyDescent="0.3">
      <c r="B32" s="160" t="s">
        <v>238</v>
      </c>
      <c r="C32" s="160">
        <v>4</v>
      </c>
      <c r="F32" s="160">
        <v>7</v>
      </c>
      <c r="G32" s="160" t="s">
        <v>186</v>
      </c>
      <c r="H32" s="160" t="s">
        <v>269</v>
      </c>
      <c r="I32" s="160">
        <v>87</v>
      </c>
    </row>
    <row r="33" spans="2:9" x14ac:dyDescent="0.3">
      <c r="B33" s="160" t="s">
        <v>239</v>
      </c>
      <c r="C33" s="160">
        <v>5</v>
      </c>
      <c r="H33" s="160" t="s">
        <v>270</v>
      </c>
      <c r="I33" s="160">
        <v>88</v>
      </c>
    </row>
    <row r="34" spans="2:9" x14ac:dyDescent="0.3">
      <c r="H34" s="160" t="s">
        <v>271</v>
      </c>
      <c r="I34" s="160">
        <v>89</v>
      </c>
    </row>
    <row r="35" spans="2:9" x14ac:dyDescent="0.3">
      <c r="H35" s="160" t="s">
        <v>272</v>
      </c>
      <c r="I35" s="160">
        <v>92</v>
      </c>
    </row>
    <row r="36" spans="2:9" x14ac:dyDescent="0.3">
      <c r="H36" s="160" t="s">
        <v>273</v>
      </c>
      <c r="I36" s="160">
        <v>93</v>
      </c>
    </row>
    <row r="37" spans="2:9" x14ac:dyDescent="0.3">
      <c r="F37" s="160">
        <v>8</v>
      </c>
      <c r="G37" s="160" t="s">
        <v>187</v>
      </c>
      <c r="H37" s="160" t="s">
        <v>274</v>
      </c>
      <c r="I37" s="160">
        <v>92</v>
      </c>
    </row>
    <row r="38" spans="2:9" x14ac:dyDescent="0.3">
      <c r="H38" s="160" t="s">
        <v>275</v>
      </c>
      <c r="I38" s="160">
        <v>90</v>
      </c>
    </row>
    <row r="39" spans="2:9" x14ac:dyDescent="0.3">
      <c r="H39" s="160" t="s">
        <v>276</v>
      </c>
      <c r="I39" s="160">
        <v>88</v>
      </c>
    </row>
    <row r="40" spans="2:9" x14ac:dyDescent="0.3">
      <c r="F40" s="160">
        <v>9</v>
      </c>
      <c r="G40" s="160" t="s">
        <v>277</v>
      </c>
      <c r="H40" s="160" t="s">
        <v>278</v>
      </c>
      <c r="I40" s="160">
        <v>200</v>
      </c>
    </row>
    <row r="41" spans="2:9" x14ac:dyDescent="0.3">
      <c r="H41" s="160" t="s">
        <v>279</v>
      </c>
      <c r="I41" s="160">
        <v>100</v>
      </c>
    </row>
    <row r="42" spans="2:9" x14ac:dyDescent="0.3">
      <c r="H42" s="160" t="s">
        <v>280</v>
      </c>
      <c r="I42" s="160">
        <v>50</v>
      </c>
    </row>
    <row r="43" spans="2:9" x14ac:dyDescent="0.3">
      <c r="H43" s="160" t="s">
        <v>281</v>
      </c>
      <c r="I43" s="160">
        <v>25</v>
      </c>
    </row>
    <row r="44" spans="2:9" x14ac:dyDescent="0.3">
      <c r="H44" s="160" t="s">
        <v>282</v>
      </c>
      <c r="I44" s="160">
        <v>0</v>
      </c>
    </row>
    <row r="45" spans="2:9" x14ac:dyDescent="0.3">
      <c r="F45" s="160">
        <v>10</v>
      </c>
      <c r="G45" s="160" t="s">
        <v>188</v>
      </c>
    </row>
    <row r="46" spans="2:9" x14ac:dyDescent="0.3">
      <c r="G46" s="160" t="s">
        <v>189</v>
      </c>
      <c r="H46" s="160" t="s">
        <v>190</v>
      </c>
      <c r="I46" s="160">
        <v>173</v>
      </c>
    </row>
    <row r="47" spans="2:9" x14ac:dyDescent="0.3">
      <c r="H47" s="160" t="s">
        <v>191</v>
      </c>
      <c r="I47" s="160">
        <v>100</v>
      </c>
    </row>
    <row r="48" spans="2:9" x14ac:dyDescent="0.3">
      <c r="H48" s="160" t="s">
        <v>192</v>
      </c>
      <c r="I48" s="160">
        <v>50</v>
      </c>
    </row>
    <row r="49" spans="7:9" x14ac:dyDescent="0.3">
      <c r="H49" s="160" t="s">
        <v>193</v>
      </c>
    </row>
    <row r="50" spans="7:9" x14ac:dyDescent="0.3">
      <c r="H50" s="160" t="s">
        <v>194</v>
      </c>
      <c r="I50" s="160">
        <v>20</v>
      </c>
    </row>
    <row r="51" spans="7:9" x14ac:dyDescent="0.3">
      <c r="H51" s="160" t="s">
        <v>195</v>
      </c>
      <c r="I51" s="160">
        <v>0</v>
      </c>
    </row>
    <row r="52" spans="7:9" x14ac:dyDescent="0.3">
      <c r="H52" s="160" t="s">
        <v>196</v>
      </c>
    </row>
    <row r="53" spans="7:9" x14ac:dyDescent="0.3">
      <c r="H53" s="160" t="s">
        <v>197</v>
      </c>
    </row>
    <row r="54" spans="7:9" x14ac:dyDescent="0.3">
      <c r="H54" s="160" t="s">
        <v>198</v>
      </c>
    </row>
    <row r="55" spans="7:9" x14ac:dyDescent="0.3">
      <c r="H55" s="160" t="s">
        <v>199</v>
      </c>
    </row>
    <row r="56" spans="7:9" x14ac:dyDescent="0.3">
      <c r="G56" s="160" t="s">
        <v>283</v>
      </c>
      <c r="I56" s="160">
        <v>173</v>
      </c>
    </row>
  </sheetData>
  <pageMargins left="0.7" right="0.7" top="0.75" bottom="0.75" header="0.3" footer="0.3"/>
  <pageSetup paperSize="9" orientation="portrait" verticalDpi="0" r:id="rId1"/>
  <headerFooter>
    <oddHeader>&amp;R&amp;"Calibri"&amp;10&amp;KFF0000КОНФІДЕНЦІЙНА ІНФОРМАЦІЯ&amp;1#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B0346-3C01-405E-AB0E-8D15AA467236}">
  <sheetPr codeName="Аркуш5"/>
  <dimension ref="A1:I112"/>
  <sheetViews>
    <sheetView topLeftCell="BK1" workbookViewId="0">
      <selection sqref="A1:BJ1048576"/>
    </sheetView>
  </sheetViews>
  <sheetFormatPr defaultRowHeight="14.4" x14ac:dyDescent="0.3"/>
  <cols>
    <col min="1" max="2" width="0" style="160" hidden="1" customWidth="1"/>
    <col min="3" max="3" width="13.109375" style="160" hidden="1" customWidth="1"/>
    <col min="4" max="4" width="12.33203125" style="160" hidden="1" customWidth="1"/>
    <col min="5" max="62" width="0" style="160" hidden="1" customWidth="1"/>
    <col min="63" max="16384" width="8.88671875" style="160"/>
  </cols>
  <sheetData>
    <row r="1" spans="1:9" x14ac:dyDescent="0.3">
      <c r="A1" s="160" t="s">
        <v>295</v>
      </c>
      <c r="B1" s="158"/>
      <c r="C1" s="159"/>
      <c r="D1" s="159"/>
      <c r="H1" s="160" t="s">
        <v>296</v>
      </c>
    </row>
    <row r="2" spans="1:9" x14ac:dyDescent="0.3">
      <c r="A2" s="160" t="s">
        <v>13</v>
      </c>
      <c r="B2" s="161" t="s">
        <v>14</v>
      </c>
      <c r="C2" s="162" t="s">
        <v>15</v>
      </c>
      <c r="D2" s="162" t="s">
        <v>16</v>
      </c>
      <c r="E2" s="160" t="s">
        <v>17</v>
      </c>
      <c r="F2" s="160" t="s">
        <v>18</v>
      </c>
      <c r="H2" s="160" t="s">
        <v>297</v>
      </c>
      <c r="I2" s="160" t="s">
        <v>294</v>
      </c>
    </row>
    <row r="3" spans="1:9" x14ac:dyDescent="0.3">
      <c r="A3" s="160">
        <v>1</v>
      </c>
      <c r="B3" s="160" t="s">
        <v>19</v>
      </c>
      <c r="C3" s="163" t="s">
        <v>20</v>
      </c>
      <c r="D3" s="163" t="s">
        <v>21</v>
      </c>
      <c r="E3" s="160">
        <v>1.33</v>
      </c>
    </row>
    <row r="4" spans="1:9" x14ac:dyDescent="0.3">
      <c r="A4" s="160">
        <v>2</v>
      </c>
      <c r="B4" s="160" t="s">
        <v>89</v>
      </c>
      <c r="C4" s="163" t="s">
        <v>43</v>
      </c>
      <c r="D4" s="163" t="s">
        <v>24</v>
      </c>
      <c r="E4" s="160">
        <v>1.19</v>
      </c>
      <c r="F4" s="160" t="s">
        <v>25</v>
      </c>
      <c r="H4" s="160">
        <v>1</v>
      </c>
      <c r="I4" s="160">
        <v>5120.17</v>
      </c>
    </row>
    <row r="5" spans="1:9" x14ac:dyDescent="0.3">
      <c r="A5" s="160">
        <v>3</v>
      </c>
      <c r="B5" s="160" t="s">
        <v>84</v>
      </c>
      <c r="C5" s="163" t="s">
        <v>33</v>
      </c>
      <c r="D5" s="163"/>
      <c r="E5" s="160">
        <v>1.19</v>
      </c>
      <c r="H5" s="160">
        <v>2</v>
      </c>
      <c r="I5" s="160">
        <v>8474.64</v>
      </c>
    </row>
    <row r="6" spans="1:9" x14ac:dyDescent="0.3">
      <c r="A6" s="160">
        <v>4</v>
      </c>
      <c r="B6" s="160" t="s">
        <v>78</v>
      </c>
      <c r="C6" s="163" t="s">
        <v>20</v>
      </c>
      <c r="D6" s="163"/>
      <c r="E6" s="160">
        <v>1.19</v>
      </c>
      <c r="H6" s="160">
        <v>3</v>
      </c>
      <c r="I6" s="160">
        <v>11256.9</v>
      </c>
    </row>
    <row r="7" spans="1:9" x14ac:dyDescent="0.3">
      <c r="A7" s="160">
        <v>5</v>
      </c>
      <c r="B7" s="160" t="s">
        <v>87</v>
      </c>
      <c r="C7" s="163" t="s">
        <v>20</v>
      </c>
      <c r="D7" s="163"/>
      <c r="E7" s="160">
        <v>1.19</v>
      </c>
      <c r="H7" s="160">
        <v>4</v>
      </c>
      <c r="I7" s="160">
        <v>12676.98</v>
      </c>
    </row>
    <row r="8" spans="1:9" x14ac:dyDescent="0.3">
      <c r="A8" s="160">
        <v>6</v>
      </c>
      <c r="B8" s="160" t="s">
        <v>44</v>
      </c>
      <c r="C8" s="163" t="s">
        <v>45</v>
      </c>
      <c r="D8" s="163"/>
      <c r="E8" s="160">
        <v>1.19</v>
      </c>
      <c r="H8" s="160" t="s">
        <v>298</v>
      </c>
      <c r="I8" s="160" t="s">
        <v>299</v>
      </c>
    </row>
    <row r="9" spans="1:9" x14ac:dyDescent="0.3">
      <c r="A9" s="160">
        <v>7</v>
      </c>
      <c r="B9" s="160" t="s">
        <v>67</v>
      </c>
      <c r="C9" s="163" t="s">
        <v>31</v>
      </c>
      <c r="D9" s="163"/>
      <c r="E9" s="160">
        <v>1.19</v>
      </c>
    </row>
    <row r="10" spans="1:9" x14ac:dyDescent="0.3">
      <c r="A10" s="160">
        <v>8</v>
      </c>
      <c r="B10" s="160" t="s">
        <v>28</v>
      </c>
      <c r="C10" s="163" t="s">
        <v>29</v>
      </c>
      <c r="D10" s="163"/>
      <c r="E10" s="160">
        <v>1.19</v>
      </c>
      <c r="H10" s="160" t="s">
        <v>372</v>
      </c>
    </row>
    <row r="11" spans="1:9" x14ac:dyDescent="0.3">
      <c r="A11" s="160">
        <v>9</v>
      </c>
      <c r="B11" s="160" t="s">
        <v>30</v>
      </c>
      <c r="C11" s="160" t="s">
        <v>31</v>
      </c>
      <c r="E11" s="160">
        <v>1.19</v>
      </c>
      <c r="H11" s="160" t="s">
        <v>373</v>
      </c>
      <c r="I11" s="160" t="s">
        <v>374</v>
      </c>
    </row>
    <row r="12" spans="1:9" x14ac:dyDescent="0.3">
      <c r="A12" s="160">
        <v>10</v>
      </c>
      <c r="B12" s="161" t="s">
        <v>88</v>
      </c>
      <c r="C12" s="161" t="s">
        <v>47</v>
      </c>
      <c r="E12" s="160">
        <v>1.19</v>
      </c>
      <c r="H12" s="160" t="s">
        <v>375</v>
      </c>
      <c r="I12" s="160">
        <v>5.0000000000000001E-3</v>
      </c>
    </row>
    <row r="13" spans="1:9" x14ac:dyDescent="0.3">
      <c r="A13" s="160">
        <v>11</v>
      </c>
      <c r="B13" s="160" t="s">
        <v>61</v>
      </c>
      <c r="C13" s="163" t="s">
        <v>62</v>
      </c>
      <c r="E13" s="160">
        <v>1.19</v>
      </c>
      <c r="H13" s="160" t="s">
        <v>376</v>
      </c>
      <c r="I13" s="160">
        <v>0.01</v>
      </c>
    </row>
    <row r="14" spans="1:9" x14ac:dyDescent="0.3">
      <c r="A14" s="160">
        <v>12</v>
      </c>
      <c r="B14" s="160" t="s">
        <v>32</v>
      </c>
      <c r="C14" s="163" t="s">
        <v>33</v>
      </c>
      <c r="E14" s="160">
        <v>1.19</v>
      </c>
      <c r="H14" s="160" t="s">
        <v>377</v>
      </c>
      <c r="I14" s="160">
        <v>2.5000000000000001E-2</v>
      </c>
    </row>
    <row r="15" spans="1:9" x14ac:dyDescent="0.3">
      <c r="A15" s="160">
        <v>13</v>
      </c>
      <c r="B15" s="160" t="s">
        <v>68</v>
      </c>
      <c r="C15" s="163" t="s">
        <v>69</v>
      </c>
      <c r="E15" s="160">
        <v>1.19</v>
      </c>
    </row>
    <row r="16" spans="1:9" x14ac:dyDescent="0.3">
      <c r="A16" s="160">
        <v>14</v>
      </c>
      <c r="B16" s="160" t="s">
        <v>70</v>
      </c>
      <c r="C16" s="163" t="s">
        <v>29</v>
      </c>
      <c r="E16" s="160">
        <v>1.19</v>
      </c>
    </row>
    <row r="17" spans="1:9" x14ac:dyDescent="0.3">
      <c r="A17" s="160">
        <v>15</v>
      </c>
      <c r="B17" s="160" t="s">
        <v>81</v>
      </c>
      <c r="C17" s="163" t="s">
        <v>47</v>
      </c>
      <c r="E17" s="160">
        <v>1.19</v>
      </c>
      <c r="H17" s="160" t="s">
        <v>394</v>
      </c>
    </row>
    <row r="18" spans="1:9" x14ac:dyDescent="0.3">
      <c r="A18" s="160">
        <v>16</v>
      </c>
      <c r="B18" s="160" t="s">
        <v>79</v>
      </c>
      <c r="C18" s="160" t="s">
        <v>31</v>
      </c>
      <c r="E18" s="160">
        <v>1.19</v>
      </c>
      <c r="H18" s="160" t="s">
        <v>396</v>
      </c>
      <c r="I18" s="160" t="s">
        <v>395</v>
      </c>
    </row>
    <row r="19" spans="1:9" x14ac:dyDescent="0.3">
      <c r="A19" s="160">
        <v>17</v>
      </c>
      <c r="B19" s="160" t="s">
        <v>75</v>
      </c>
      <c r="C19" s="160" t="s">
        <v>54</v>
      </c>
      <c r="E19" s="160">
        <v>1.19</v>
      </c>
    </row>
    <row r="20" spans="1:9" x14ac:dyDescent="0.3">
      <c r="A20" s="160">
        <v>18</v>
      </c>
      <c r="B20" s="160" t="s">
        <v>36</v>
      </c>
      <c r="C20" s="160" t="s">
        <v>29</v>
      </c>
      <c r="E20" s="160">
        <v>1.19</v>
      </c>
    </row>
    <row r="21" spans="1:9" x14ac:dyDescent="0.3">
      <c r="A21" s="160">
        <v>19</v>
      </c>
      <c r="B21" s="160" t="s">
        <v>71</v>
      </c>
      <c r="C21" s="160" t="s">
        <v>72</v>
      </c>
      <c r="E21" s="160">
        <v>1.19</v>
      </c>
    </row>
    <row r="22" spans="1:9" x14ac:dyDescent="0.3">
      <c r="A22" s="160">
        <v>20</v>
      </c>
      <c r="B22" s="160" t="s">
        <v>42</v>
      </c>
      <c r="C22" s="160" t="s">
        <v>43</v>
      </c>
      <c r="E22" s="160">
        <v>1.19</v>
      </c>
    </row>
    <row r="23" spans="1:9" x14ac:dyDescent="0.3">
      <c r="A23" s="160">
        <v>21</v>
      </c>
      <c r="B23" s="160" t="s">
        <v>76</v>
      </c>
      <c r="C23" s="160" t="s">
        <v>77</v>
      </c>
      <c r="E23" s="160">
        <v>1.19</v>
      </c>
    </row>
    <row r="24" spans="1:9" x14ac:dyDescent="0.3">
      <c r="A24" s="160">
        <v>22</v>
      </c>
      <c r="B24" s="160" t="s">
        <v>34</v>
      </c>
      <c r="C24" s="160" t="s">
        <v>35</v>
      </c>
      <c r="E24" s="160">
        <v>1.19</v>
      </c>
    </row>
    <row r="25" spans="1:9" x14ac:dyDescent="0.3">
      <c r="A25" s="160">
        <v>23</v>
      </c>
      <c r="B25" s="160" t="s">
        <v>48</v>
      </c>
      <c r="C25" s="160" t="s">
        <v>31</v>
      </c>
      <c r="E25" s="160">
        <v>1.19</v>
      </c>
    </row>
    <row r="26" spans="1:9" x14ac:dyDescent="0.3">
      <c r="A26" s="160">
        <v>24</v>
      </c>
      <c r="B26" s="160" t="s">
        <v>39</v>
      </c>
      <c r="C26" s="160" t="s">
        <v>31</v>
      </c>
      <c r="E26" s="160">
        <v>1.19</v>
      </c>
    </row>
    <row r="27" spans="1:9" x14ac:dyDescent="0.3">
      <c r="A27" s="160">
        <v>25</v>
      </c>
      <c r="B27" s="160" t="s">
        <v>80</v>
      </c>
      <c r="C27" s="160" t="s">
        <v>33</v>
      </c>
      <c r="E27" s="160">
        <v>1.19</v>
      </c>
    </row>
    <row r="28" spans="1:9" x14ac:dyDescent="0.3">
      <c r="A28" s="160">
        <v>26</v>
      </c>
      <c r="B28" s="160" t="s">
        <v>37</v>
      </c>
      <c r="C28" s="160" t="s">
        <v>38</v>
      </c>
      <c r="E28" s="160">
        <v>1.19</v>
      </c>
    </row>
    <row r="29" spans="1:9" x14ac:dyDescent="0.3">
      <c r="A29" s="160">
        <v>27</v>
      </c>
      <c r="B29" s="160" t="s">
        <v>85</v>
      </c>
      <c r="C29" s="160" t="s">
        <v>29</v>
      </c>
      <c r="E29" s="160">
        <v>1.19</v>
      </c>
    </row>
    <row r="30" spans="1:9" x14ac:dyDescent="0.3">
      <c r="A30" s="160">
        <v>28</v>
      </c>
      <c r="B30" s="160" t="s">
        <v>26</v>
      </c>
      <c r="C30" s="160" t="s">
        <v>27</v>
      </c>
      <c r="E30" s="160">
        <v>1.19</v>
      </c>
    </row>
    <row r="31" spans="1:9" x14ac:dyDescent="0.3">
      <c r="A31" s="160">
        <v>29</v>
      </c>
      <c r="B31" s="160" t="s">
        <v>90</v>
      </c>
      <c r="C31" s="160" t="s">
        <v>29</v>
      </c>
      <c r="E31" s="160">
        <v>1.19</v>
      </c>
    </row>
    <row r="32" spans="1:9" x14ac:dyDescent="0.3">
      <c r="A32" s="160">
        <v>30</v>
      </c>
      <c r="B32" s="160" t="s">
        <v>53</v>
      </c>
      <c r="C32" s="160" t="s">
        <v>54</v>
      </c>
      <c r="E32" s="160">
        <v>1.19</v>
      </c>
    </row>
    <row r="33" spans="1:6" x14ac:dyDescent="0.3">
      <c r="A33" s="160">
        <v>31</v>
      </c>
      <c r="B33" s="160" t="s">
        <v>65</v>
      </c>
      <c r="C33" s="160" t="s">
        <v>66</v>
      </c>
      <c r="E33" s="160">
        <v>1.19</v>
      </c>
    </row>
    <row r="34" spans="1:6" x14ac:dyDescent="0.3">
      <c r="A34" s="160">
        <v>32</v>
      </c>
      <c r="B34" s="160" t="s">
        <v>40</v>
      </c>
      <c r="C34" s="160" t="s">
        <v>41</v>
      </c>
      <c r="E34" s="160">
        <v>1.19</v>
      </c>
    </row>
    <row r="35" spans="1:6" x14ac:dyDescent="0.3">
      <c r="A35" s="160">
        <v>33</v>
      </c>
      <c r="B35" s="160" t="s">
        <v>91</v>
      </c>
      <c r="C35" s="160" t="s">
        <v>43</v>
      </c>
      <c r="E35" s="160">
        <v>1.19</v>
      </c>
    </row>
    <row r="36" spans="1:6" x14ac:dyDescent="0.3">
      <c r="A36" s="160">
        <v>34</v>
      </c>
      <c r="B36" s="160" t="s">
        <v>46</v>
      </c>
      <c r="C36" s="160" t="s">
        <v>47</v>
      </c>
      <c r="E36" s="160">
        <v>1.19</v>
      </c>
    </row>
    <row r="37" spans="1:6" x14ac:dyDescent="0.3">
      <c r="A37" s="160">
        <v>35</v>
      </c>
      <c r="B37" s="160" t="s">
        <v>86</v>
      </c>
      <c r="C37" s="160" t="s">
        <v>31</v>
      </c>
      <c r="E37" s="160">
        <v>1.19</v>
      </c>
    </row>
    <row r="38" spans="1:6" x14ac:dyDescent="0.3">
      <c r="A38" s="160">
        <v>36</v>
      </c>
      <c r="B38" s="160" t="s">
        <v>63</v>
      </c>
      <c r="C38" s="160" t="s">
        <v>64</v>
      </c>
      <c r="E38" s="160">
        <v>1.19</v>
      </c>
    </row>
    <row r="39" spans="1:6" x14ac:dyDescent="0.3">
      <c r="A39" s="160">
        <v>37</v>
      </c>
      <c r="B39" s="160" t="s">
        <v>73</v>
      </c>
      <c r="C39" s="160" t="s">
        <v>74</v>
      </c>
      <c r="E39" s="160">
        <v>1.19</v>
      </c>
    </row>
    <row r="40" spans="1:6" x14ac:dyDescent="0.3">
      <c r="A40" s="160">
        <v>38</v>
      </c>
      <c r="B40" s="160" t="s">
        <v>82</v>
      </c>
      <c r="C40" s="160" t="s">
        <v>83</v>
      </c>
      <c r="E40" s="160">
        <v>1.19</v>
      </c>
    </row>
    <row r="41" spans="1:6" x14ac:dyDescent="0.3">
      <c r="A41" s="160">
        <v>39</v>
      </c>
      <c r="B41" s="160" t="s">
        <v>22</v>
      </c>
      <c r="C41" s="160" t="s">
        <v>23</v>
      </c>
      <c r="E41" s="160">
        <v>1.19</v>
      </c>
    </row>
    <row r="42" spans="1:6" x14ac:dyDescent="0.3">
      <c r="A42" s="160">
        <v>40</v>
      </c>
      <c r="B42" s="160" t="s">
        <v>49</v>
      </c>
      <c r="C42" s="160" t="s">
        <v>50</v>
      </c>
      <c r="E42" s="160">
        <v>1.19</v>
      </c>
    </row>
    <row r="43" spans="1:6" x14ac:dyDescent="0.3">
      <c r="A43" s="160">
        <v>41</v>
      </c>
      <c r="B43" s="160" t="s">
        <v>57</v>
      </c>
      <c r="C43" s="160" t="s">
        <v>58</v>
      </c>
      <c r="E43" s="160">
        <v>1.19</v>
      </c>
    </row>
    <row r="44" spans="1:6" x14ac:dyDescent="0.3">
      <c r="A44" s="160">
        <v>42</v>
      </c>
      <c r="B44" s="160" t="s">
        <v>55</v>
      </c>
      <c r="C44" s="160" t="s">
        <v>56</v>
      </c>
      <c r="E44" s="160">
        <v>1.19</v>
      </c>
    </row>
    <row r="45" spans="1:6" x14ac:dyDescent="0.3">
      <c r="A45" s="160">
        <v>43</v>
      </c>
      <c r="B45" s="160" t="s">
        <v>59</v>
      </c>
      <c r="C45" s="160" t="s">
        <v>60</v>
      </c>
      <c r="E45" s="160">
        <v>1.19</v>
      </c>
    </row>
    <row r="46" spans="1:6" x14ac:dyDescent="0.3">
      <c r="A46" s="160">
        <v>44</v>
      </c>
      <c r="B46" s="160" t="s">
        <v>51</v>
      </c>
      <c r="C46" s="160" t="s">
        <v>52</v>
      </c>
      <c r="E46" s="160">
        <v>1.19</v>
      </c>
    </row>
    <row r="47" spans="1:6" x14ac:dyDescent="0.3">
      <c r="A47" s="160">
        <v>45</v>
      </c>
      <c r="B47" s="160" t="s">
        <v>92</v>
      </c>
      <c r="C47" s="160" t="s">
        <v>93</v>
      </c>
      <c r="D47" s="160" t="s">
        <v>94</v>
      </c>
      <c r="E47" s="160">
        <v>1</v>
      </c>
      <c r="F47" s="160" t="s">
        <v>95</v>
      </c>
    </row>
    <row r="65" s="160" customFormat="1" x14ac:dyDescent="0.3"/>
    <row r="66" s="160" customFormat="1" x14ac:dyDescent="0.3"/>
    <row r="67" s="160" customFormat="1" x14ac:dyDescent="0.3"/>
    <row r="68" s="160" customFormat="1" x14ac:dyDescent="0.3"/>
    <row r="69" s="160" customFormat="1" x14ac:dyDescent="0.3"/>
    <row r="71" s="160" customFormat="1" x14ac:dyDescent="0.3"/>
    <row r="72" s="160" customFormat="1" x14ac:dyDescent="0.3"/>
    <row r="73" s="160" customFormat="1" x14ac:dyDescent="0.3"/>
    <row r="75" s="160" customFormat="1" x14ac:dyDescent="0.3"/>
    <row r="76" s="160" customFormat="1" x14ac:dyDescent="0.3"/>
    <row r="77" s="160" customFormat="1" x14ac:dyDescent="0.3"/>
    <row r="79" s="160" customFormat="1" x14ac:dyDescent="0.3"/>
    <row r="80" s="160" customFormat="1" x14ac:dyDescent="0.3"/>
    <row r="81" s="160" customFormat="1" x14ac:dyDescent="0.3"/>
    <row r="83" s="160" customFormat="1" x14ac:dyDescent="0.3"/>
    <row r="84" s="160" customFormat="1" x14ac:dyDescent="0.3"/>
    <row r="85" s="160" customFormat="1" x14ac:dyDescent="0.3"/>
    <row r="86" s="160" customFormat="1" x14ac:dyDescent="0.3"/>
    <row r="87" s="160" customFormat="1" x14ac:dyDescent="0.3"/>
    <row r="88" s="160" customFormat="1" x14ac:dyDescent="0.3"/>
    <row r="89" s="160" customFormat="1" x14ac:dyDescent="0.3"/>
    <row r="91" s="160" customFormat="1" x14ac:dyDescent="0.3"/>
    <row r="93" s="160" customFormat="1" x14ac:dyDescent="0.3"/>
    <row r="94" s="160" customFormat="1" x14ac:dyDescent="0.3"/>
    <row r="95" s="160" customFormat="1" x14ac:dyDescent="0.3"/>
    <row r="97" s="160" customFormat="1" x14ac:dyDescent="0.3"/>
    <row r="99" s="160" customFormat="1" x14ac:dyDescent="0.3"/>
    <row r="101" s="160" customFormat="1" x14ac:dyDescent="0.3"/>
    <row r="103" s="160" customFormat="1" x14ac:dyDescent="0.3"/>
    <row r="104" s="160" customFormat="1" x14ac:dyDescent="0.3"/>
    <row r="105" s="160" customFormat="1" x14ac:dyDescent="0.3"/>
    <row r="107" s="160" customFormat="1" x14ac:dyDescent="0.3"/>
    <row r="108" s="160" customFormat="1" x14ac:dyDescent="0.3"/>
    <row r="110" s="160" customFormat="1" x14ac:dyDescent="0.3"/>
    <row r="111" s="160" customFormat="1" x14ac:dyDescent="0.3"/>
    <row r="112" s="160" customFormat="1" x14ac:dyDescent="0.3"/>
  </sheetData>
  <sortState xmlns:xlrd2="http://schemas.microsoft.com/office/spreadsheetml/2017/richdata2" ref="B4:C46">
    <sortCondition ref="B4:B46"/>
  </sortState>
  <pageMargins left="0.7" right="0.7" top="0.75" bottom="0.75" header="0.3" footer="0.3"/>
  <pageSetup paperSize="9" orientation="portrait" verticalDpi="0" r:id="rId1"/>
  <headerFooter>
    <oddHeader>&amp;R&amp;"Calibri"&amp;10&amp;KFF0000КОНФІДЕНЦІЙНА ІНФОРМАЦІЯ&amp;1#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10</vt:i4>
      </vt:variant>
      <vt:variant>
        <vt:lpstr>Іменовані діапазони</vt:lpstr>
      </vt:variant>
      <vt:variant>
        <vt:i4>2</vt:i4>
      </vt:variant>
    </vt:vector>
  </HeadingPairs>
  <TitlesOfParts>
    <vt:vector size="12" baseType="lpstr">
      <vt:lpstr>Платоспроможність боржника</vt:lpstr>
      <vt:lpstr>Ануїтетна_графік_Іпотека</vt:lpstr>
      <vt:lpstr>Ануїтетна_графік_Авто</vt:lpstr>
      <vt:lpstr>Калькулятор </vt:lpstr>
      <vt:lpstr>Калькулятор</vt:lpstr>
      <vt:lpstr>Калькулятор (реал. ставка)</vt:lpstr>
      <vt:lpstr>Платоспроможність поручителя</vt:lpstr>
      <vt:lpstr>Доступна сума</vt:lpstr>
      <vt:lpstr>коефіцієнт витрат</vt:lpstr>
      <vt:lpstr>Таблиця МП_БВС</vt:lpstr>
      <vt:lpstr>Калькулятор!Область_друку</vt:lpstr>
      <vt:lpstr>'Калькулятор '!Область_друку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Білокриницька Марія Станіславівна</dc:creator>
  <cp:lastModifiedBy>Гладун Роман Ярославович</cp:lastModifiedBy>
  <dcterms:created xsi:type="dcterms:W3CDTF">2015-06-05T18:17:20Z</dcterms:created>
  <dcterms:modified xsi:type="dcterms:W3CDTF">2025-07-02T06:39:35Z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4487725-fc80-4589-a4ba-45051c31b71e_Enabled">
    <vt:lpwstr>true</vt:lpwstr>
  </property>
  <property fmtid="{D5CDD505-2E9C-101B-9397-08002B2CF9AE}" pid="3" name="MSIP_Label_94487725-fc80-4589-a4ba-45051c31b71e_SetDate">
    <vt:lpwstr>2023-05-01T14:09:06Z</vt:lpwstr>
  </property>
  <property fmtid="{D5CDD505-2E9C-101B-9397-08002B2CF9AE}" pid="4" name="MSIP_Label_94487725-fc80-4589-a4ba-45051c31b71e_Method">
    <vt:lpwstr>Privileged</vt:lpwstr>
  </property>
  <property fmtid="{D5CDD505-2E9C-101B-9397-08002B2CF9AE}" pid="5" name="MSIP_Label_94487725-fc80-4589-a4ba-45051c31b71e_Name">
    <vt:lpwstr>Конфіденційна інформація (v3)</vt:lpwstr>
  </property>
  <property fmtid="{D5CDD505-2E9C-101B-9397-08002B2CF9AE}" pid="6" name="MSIP_Label_94487725-fc80-4589-a4ba-45051c31b71e_SiteId">
    <vt:lpwstr>b39a729c-a0aa-4f10-9882-f542c55abba7</vt:lpwstr>
  </property>
  <property fmtid="{D5CDD505-2E9C-101B-9397-08002B2CF9AE}" pid="7" name="MSIP_Label_94487725-fc80-4589-a4ba-45051c31b71e_ActionId">
    <vt:lpwstr>68040c82-17d3-4185-98c7-63c71938d0f2</vt:lpwstr>
  </property>
  <property fmtid="{D5CDD505-2E9C-101B-9397-08002B2CF9AE}" pid="8" name="MSIP_Label_94487725-fc80-4589-a4ba-45051c31b71e_ContentBits">
    <vt:lpwstr>1</vt:lpwstr>
  </property>
</Properties>
</file>