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Партнерський/на сайт Партнер/"/>
    </mc:Choice>
  </mc:AlternateContent>
  <xr:revisionPtr revIDLastSave="91" documentId="8_{8826A272-BA33-4B0B-B468-D385AFD2F6B2}" xr6:coauthVersionLast="47" xr6:coauthVersionMax="47" xr10:uidLastSave="{7A06A5CA-8D81-4A91-845C-A4C98B7C8318}"/>
  <workbookProtection workbookAlgorithmName="SHA-512" workbookHashValue="4aFXW2JmQprmbp06M3Px97gArGO2h1o5/E3iz6w1g3kSNk85YDNZpA97cMZ2On8ZqKyVtCPPsoAbL/EKkeoaZg==" workbookSaltValue="oGgPIfaaxDg68alr4dHi4g==" workbookSpinCount="100000" lockStructure="1"/>
  <bookViews>
    <workbookView xWindow="1152" yWindow="1152" windowWidth="14520" windowHeight="1167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P52" i="9"/>
  <c r="P51" i="9"/>
  <c r="V19" i="11"/>
  <c r="B108" i="11"/>
  <c r="B36" i="11"/>
  <c r="P49" i="9" l="1"/>
  <c r="B37" i="11"/>
  <c r="U4" i="11"/>
  <c r="R40" i="11"/>
  <c r="R39" i="11"/>
  <c r="N16" i="11" s="1"/>
  <c r="B38" i="11" l="1"/>
  <c r="R38" i="11"/>
  <c r="R36" i="11"/>
  <c r="AC26" i="11"/>
  <c r="AC27" i="11" s="1"/>
  <c r="AC28" i="11" s="1"/>
  <c r="AC29" i="11" s="1"/>
  <c r="AC30" i="11" s="1"/>
  <c r="AC31" i="11" s="1"/>
  <c r="AC32" i="11" s="1"/>
  <c r="AC33" i="11" s="1"/>
  <c r="N8" i="11" l="1"/>
  <c r="B39" i="11"/>
  <c r="V26" i="11"/>
  <c r="X2" i="11"/>
  <c r="I248" i="7"/>
  <c r="Z16" i="11" l="1"/>
  <c r="Z28" i="11"/>
  <c r="P4" i="11"/>
  <c r="V10" i="11"/>
  <c r="B40" i="11"/>
  <c r="N8" i="9"/>
  <c r="G4" i="9"/>
  <c r="R13" i="11"/>
  <c r="AA7" i="7"/>
  <c r="E3" i="7"/>
  <c r="E3" i="6"/>
  <c r="AW76" i="11"/>
  <c r="AW64" i="11"/>
  <c r="AW52" i="11"/>
  <c r="AW40" i="11"/>
  <c r="AW28" i="11"/>
  <c r="Q24" i="11"/>
  <c r="Q25" i="11" s="1"/>
  <c r="R20" i="11"/>
  <c r="AB3" i="11"/>
  <c r="AW16" i="11"/>
  <c r="W4" i="11"/>
  <c r="V4" i="11"/>
  <c r="X3" i="11"/>
  <c r="W3" i="11"/>
  <c r="V3" i="11"/>
  <c r="Z52" i="9" l="1"/>
  <c r="Z51" i="9"/>
  <c r="B41" i="11"/>
  <c r="V25" i="11"/>
  <c r="V21" i="11"/>
  <c r="V20" i="11"/>
  <c r="AB4" i="11" s="1"/>
  <c r="W2" i="11"/>
  <c r="X4" i="11"/>
  <c r="S16" i="11" s="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Z49" i="9" l="1"/>
  <c r="B42" i="1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AX40" i="11"/>
  <c r="AX52" i="11"/>
  <c r="AX76" i="11"/>
  <c r="AX16" i="11"/>
  <c r="AX28" i="11"/>
  <c r="AX64" i="11"/>
  <c r="Q46" i="9" l="1"/>
  <c r="Q45" i="9"/>
  <c r="Q44" i="9"/>
  <c r="Q43" i="9"/>
  <c r="Q42" i="9"/>
  <c r="Q51" i="9"/>
  <c r="Q54" i="9"/>
  <c r="Q53" i="9"/>
  <c r="Q52" i="9"/>
  <c r="Q56" i="9"/>
  <c r="Q55" i="9"/>
  <c r="Q47" i="9"/>
  <c r="B44" i="11"/>
  <c r="AX2" i="11"/>
  <c r="AB32" i="11"/>
  <c r="Q40" i="9" l="1"/>
  <c r="Q49" i="9"/>
  <c r="G9" i="9" s="1"/>
  <c r="S33" i="11" s="1"/>
  <c r="B45" i="1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Z40" i="11" s="1"/>
  <c r="AB40" i="11" l="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Z52" i="11" s="1"/>
  <c r="AB52" i="11" l="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Z64" i="11" s="1"/>
  <c r="AB64" i="11" l="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Z76" i="11" s="1"/>
  <c r="AB76" i="11" l="1"/>
  <c r="Z3" i="1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N6" i="9" l="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37" i="11" l="1"/>
  <c r="N6" i="11" s="1"/>
  <c r="P2" i="11" l="1"/>
  <c r="E21" i="11" s="1"/>
  <c r="R16" i="11"/>
  <c r="Q53" i="11" l="1"/>
  <c r="R9" i="11"/>
  <c r="L3" i="11" l="1"/>
  <c r="N2" i="11"/>
  <c r="Q50" i="11"/>
  <c r="Q49" i="11" s="1"/>
  <c r="Q48" i="11" s="1"/>
  <c r="Q47" i="11" l="1"/>
  <c r="AN4"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E10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75" i="11" l="1"/>
  <c r="D95" i="11" s="1"/>
  <c r="AG66" i="11"/>
  <c r="E86" i="11" s="1"/>
  <c r="AE65" i="11"/>
  <c r="D85" i="11" s="1"/>
  <c r="AG77" i="11"/>
  <c r="AE69" i="11"/>
  <c r="D89" i="11" s="1"/>
  <c r="AE66" i="11"/>
  <c r="D86" i="11" s="1"/>
  <c r="AG65" i="11"/>
  <c r="E85" i="11" s="1"/>
  <c r="AG70" i="11"/>
  <c r="AG71" i="11"/>
  <c r="E91" i="11" s="1"/>
  <c r="AG82" i="11"/>
  <c r="AG75" i="11"/>
  <c r="E95" i="11" s="1"/>
  <c r="AE67" i="11"/>
  <c r="D87" i="11" s="1"/>
  <c r="AG86" i="11"/>
  <c r="E106" i="11" s="1"/>
  <c r="AG81" i="11"/>
  <c r="E101" i="11" s="1"/>
  <c r="AG76" i="11"/>
  <c r="E96" i="11" s="1"/>
  <c r="AE70" i="11"/>
  <c r="D90" i="11" s="1"/>
  <c r="AG83" i="11"/>
  <c r="E103" i="11" s="1"/>
  <c r="AE68" i="11"/>
  <c r="D88" i="11" s="1"/>
  <c r="AE71" i="11"/>
  <c r="D91" i="11" s="1"/>
  <c r="AG68" i="11"/>
  <c r="E88" i="11" s="1"/>
  <c r="AE77" i="11"/>
  <c r="D97" i="11" s="1"/>
  <c r="AE80" i="11"/>
  <c r="D100" i="11" s="1"/>
  <c r="AE78" i="11"/>
  <c r="D98" i="11" s="1"/>
  <c r="AE74" i="11"/>
  <c r="D94" i="11" s="1"/>
  <c r="AE82" i="11"/>
  <c r="D102" i="11" s="1"/>
  <c r="AE83" i="11"/>
  <c r="D103" i="11" s="1"/>
  <c r="AE79" i="11"/>
  <c r="D99" i="11" s="1"/>
  <c r="AE85" i="11"/>
  <c r="D105" i="11" s="1"/>
  <c r="AG74" i="11"/>
  <c r="E94" i="11" s="1"/>
  <c r="AE81" i="11"/>
  <c r="D101" i="11" s="1"/>
  <c r="AE86" i="11"/>
  <c r="D106" i="11" s="1"/>
  <c r="AE87" i="11"/>
  <c r="D107" i="11" s="1"/>
  <c r="AG80" i="11"/>
  <c r="E100" i="11" s="1"/>
  <c r="AG78" i="11"/>
  <c r="E98" i="11" s="1"/>
  <c r="AG84" i="11"/>
  <c r="E104" i="11" s="1"/>
  <c r="AE84" i="11"/>
  <c r="D104" i="11" s="1"/>
  <c r="AE72" i="11"/>
  <c r="D92" i="11" s="1"/>
  <c r="AG87" i="11"/>
  <c r="E107" i="11" s="1"/>
  <c r="AG67" i="11"/>
  <c r="E87" i="11" s="1"/>
  <c r="AG69" i="11"/>
  <c r="E89" i="11" s="1"/>
  <c r="AE76" i="11"/>
  <c r="D96" i="11" s="1"/>
  <c r="AE73" i="11"/>
  <c r="D93" i="11" s="1"/>
  <c r="AG73" i="11"/>
  <c r="E93" i="11" s="1"/>
  <c r="AG72" i="11"/>
  <c r="E92" i="11" s="1"/>
  <c r="AE64" i="11"/>
  <c r="AG64" i="11"/>
  <c r="AG79" i="11"/>
  <c r="E99" i="11" s="1"/>
  <c r="AG34" i="1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E77" i="11" s="1"/>
  <c r="AE40" i="11"/>
  <c r="AG11" i="11"/>
  <c r="E31" i="11" s="1"/>
  <c r="AG24" i="11"/>
  <c r="E44" i="11" s="1"/>
  <c r="AE53" i="11"/>
  <c r="D73" i="11" s="1"/>
  <c r="AE30" i="11"/>
  <c r="D50" i="11" s="1"/>
  <c r="AE29" i="11"/>
  <c r="D49" i="11" s="1"/>
  <c r="O4" i="7"/>
  <c r="B2" i="7"/>
  <c r="AE21" i="11"/>
  <c r="D41" i="11" s="1"/>
  <c r="AE11" i="11"/>
  <c r="D31" i="11" s="1"/>
  <c r="AE44" i="11"/>
  <c r="D64" i="11" s="1"/>
  <c r="AG23" i="11"/>
  <c r="E43" i="11" s="1"/>
  <c r="AG14" i="11"/>
  <c r="E34" i="11" s="1"/>
  <c r="AG16" i="1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AE35" i="11"/>
  <c r="D55" i="11" s="1"/>
  <c r="AG19" i="11"/>
  <c r="E39" i="11" s="1"/>
  <c r="AE61" i="11"/>
  <c r="D81" i="11" s="1"/>
  <c r="AE28" i="11"/>
  <c r="D48" i="11" s="1"/>
  <c r="AE23" i="11"/>
  <c r="D43" i="11" s="1"/>
  <c r="AG20" i="11"/>
  <c r="E40" i="11" s="1"/>
  <c r="AG9" i="11"/>
  <c r="E29" i="11" s="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E72" i="11" s="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E46" i="11" s="1"/>
  <c r="AE36" i="11"/>
  <c r="D56" i="11" s="1"/>
  <c r="AG50" i="11"/>
  <c r="E70" i="11" s="1"/>
  <c r="AG37" i="11"/>
  <c r="E57" i="11" s="1"/>
  <c r="AG48" i="11"/>
  <c r="E68" i="11" s="1"/>
  <c r="AG54" i="11"/>
  <c r="AE26" i="11"/>
  <c r="D46" i="11" s="1"/>
  <c r="AG33" i="11"/>
  <c r="E53" i="11" s="1"/>
  <c r="AG45" i="11"/>
  <c r="E65" i="11" s="1"/>
  <c r="AE57" i="11"/>
  <c r="D77" i="11" s="1"/>
  <c r="AG59" i="11"/>
  <c r="E79" i="11" s="1"/>
  <c r="AG17" i="11"/>
  <c r="E37" i="11" s="1"/>
  <c r="D24" i="11"/>
  <c r="C1" i="7"/>
  <c r="C6" i="7"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64" i="7"/>
  <c r="L70" i="7"/>
  <c r="L76" i="7"/>
  <c r="E97" i="11"/>
  <c r="L80" i="7"/>
  <c r="L71" i="7" l="1"/>
  <c r="L86" i="7"/>
  <c r="AI66" i="11"/>
  <c r="G86" i="11" s="1"/>
  <c r="AI64" i="11"/>
  <c r="AA64" i="11" s="1"/>
  <c r="AI70" i="11"/>
  <c r="AA70" i="11" s="1"/>
  <c r="E90" i="11"/>
  <c r="AI65" i="11"/>
  <c r="AA65" i="11" s="1"/>
  <c r="AI82" i="11"/>
  <c r="AU82" i="11" s="1"/>
  <c r="AI67" i="11"/>
  <c r="AU67" i="11" s="1"/>
  <c r="AI69" i="11"/>
  <c r="AU69" i="11" s="1"/>
  <c r="AI72" i="11"/>
  <c r="AU72" i="11" s="1"/>
  <c r="L85" i="7"/>
  <c r="L87" i="7"/>
  <c r="E102" i="11"/>
  <c r="L44" i="7"/>
  <c r="L68" i="7"/>
  <c r="L74" i="7"/>
  <c r="L72" i="7"/>
  <c r="L59" i="7"/>
  <c r="L54" i="7"/>
  <c r="AI44" i="11"/>
  <c r="AA44" i="11" s="1"/>
  <c r="L43" i="7"/>
  <c r="L78" i="7"/>
  <c r="AI75" i="11"/>
  <c r="G95" i="11" s="1"/>
  <c r="L77" i="7"/>
  <c r="L61" i="7"/>
  <c r="AI81" i="11"/>
  <c r="G101" i="11" s="1"/>
  <c r="L88" i="7"/>
  <c r="L60" i="7"/>
  <c r="L79" i="7"/>
  <c r="L83" i="7"/>
  <c r="L67" i="7"/>
  <c r="L62" i="7"/>
  <c r="L52" i="7"/>
  <c r="L51" i="7"/>
  <c r="L84" i="7"/>
  <c r="L48" i="7"/>
  <c r="L58" i="7"/>
  <c r="L82" i="7"/>
  <c r="L75" i="7"/>
  <c r="AI73" i="11"/>
  <c r="G93" i="11" s="1"/>
  <c r="L81" i="7"/>
  <c r="L73" i="7"/>
  <c r="L69" i="7"/>
  <c r="L47" i="7"/>
  <c r="AI71" i="11"/>
  <c r="AA71" i="11" s="1"/>
  <c r="L66" i="7"/>
  <c r="L56" i="7"/>
  <c r="AI80" i="11"/>
  <c r="AA80" i="11" s="1"/>
  <c r="AI78" i="11"/>
  <c r="AA78" i="11" s="1"/>
  <c r="AI48" i="11"/>
  <c r="AU48" i="11" s="1"/>
  <c r="AI77" i="11"/>
  <c r="G97" i="11" s="1"/>
  <c r="AI85" i="11"/>
  <c r="AI74" i="11"/>
  <c r="G94" i="11" s="1"/>
  <c r="AI79" i="11"/>
  <c r="G99" i="11" s="1"/>
  <c r="AI68" i="11"/>
  <c r="AU68" i="11" s="1"/>
  <c r="AI83" i="11"/>
  <c r="AA83" i="11" s="1"/>
  <c r="AI84" i="11"/>
  <c r="AU84" i="11" s="1"/>
  <c r="AI86" i="11"/>
  <c r="AA86" i="11" s="1"/>
  <c r="AI76" i="11"/>
  <c r="G96" i="11" s="1"/>
  <c r="AI87" i="11"/>
  <c r="AU87" i="11" s="1"/>
  <c r="AI58" i="11"/>
  <c r="G78" i="11" s="1"/>
  <c r="E36" i="11"/>
  <c r="D36" i="11"/>
  <c r="L40" i="7"/>
  <c r="L8" i="7"/>
  <c r="L29" i="7"/>
  <c r="L35" i="7"/>
  <c r="L34" i="7"/>
  <c r="L30" i="7"/>
  <c r="AI11" i="11"/>
  <c r="AA11" i="11" s="1"/>
  <c r="AI22" i="11"/>
  <c r="AA22" i="11" s="1"/>
  <c r="L10" i="7"/>
  <c r="L31" i="7"/>
  <c r="L25" i="7"/>
  <c r="L38" i="7"/>
  <c r="L23" i="7"/>
  <c r="L14" i="7"/>
  <c r="L20" i="7"/>
  <c r="L6" i="7"/>
  <c r="L19" i="7"/>
  <c r="L15" i="7"/>
  <c r="L21" i="7"/>
  <c r="L27" i="7"/>
  <c r="L18" i="7"/>
  <c r="L13" i="7"/>
  <c r="AI13" i="11"/>
  <c r="G33" i="11" s="1"/>
  <c r="D60" i="1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I15" i="11"/>
  <c r="AU15" i="11" s="1"/>
  <c r="AI5" i="11"/>
  <c r="AA5" i="11" s="1"/>
  <c r="AI28" i="11"/>
  <c r="AU28" i="11" s="1"/>
  <c r="AI41" i="11"/>
  <c r="AA41" i="11" s="1"/>
  <c r="AI6" i="11"/>
  <c r="AA6" i="11" s="1"/>
  <c r="I5" i="7"/>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AU66" i="11"/>
  <c r="AU64" i="11"/>
  <c r="AU44" i="11" l="1"/>
  <c r="G85" i="11"/>
  <c r="AU65" i="11"/>
  <c r="G102" i="11"/>
  <c r="AA79" i="11"/>
  <c r="AA66" i="11"/>
  <c r="G90" i="11"/>
  <c r="G87" i="11"/>
  <c r="AU70" i="11"/>
  <c r="G89" i="11"/>
  <c r="AA74" i="11"/>
  <c r="AA82" i="11"/>
  <c r="AA73" i="11"/>
  <c r="AA69" i="11"/>
  <c r="AA67" i="11"/>
  <c r="G100" i="11"/>
  <c r="AU73" i="11"/>
  <c r="G92" i="11"/>
  <c r="AA68" i="11"/>
  <c r="AA48" i="11"/>
  <c r="AA81" i="11"/>
  <c r="AU81" i="11"/>
  <c r="AA72" i="11"/>
  <c r="AU74" i="11"/>
  <c r="D108" i="11"/>
  <c r="AU71" i="11"/>
  <c r="AU83" i="11"/>
  <c r="G66" i="11"/>
  <c r="G88" i="11"/>
  <c r="G98" i="11"/>
  <c r="G61" i="11"/>
  <c r="AA77" i="11"/>
  <c r="AU78" i="11"/>
  <c r="G106" i="11"/>
  <c r="G64" i="11"/>
  <c r="AU75" i="11"/>
  <c r="AU77" i="11"/>
  <c r="G68" i="11"/>
  <c r="AA75" i="11"/>
  <c r="AU80" i="11"/>
  <c r="G91" i="11"/>
  <c r="AA84" i="11"/>
  <c r="AU79" i="11"/>
  <c r="G107" i="11"/>
  <c r="G105" i="11"/>
  <c r="AA85" i="11"/>
  <c r="AU85" i="11"/>
  <c r="AA87" i="11"/>
  <c r="AU86" i="11"/>
  <c r="AA58" i="11"/>
  <c r="G104" i="11"/>
  <c r="G67" i="11"/>
  <c r="G75" i="11"/>
  <c r="G103" i="11"/>
  <c r="AA76" i="11"/>
  <c r="AU76" i="11"/>
  <c r="AU58" i="11"/>
  <c r="L17" i="7"/>
  <c r="AU11" i="11"/>
  <c r="G42" i="11"/>
  <c r="G31" i="11"/>
  <c r="AU22" i="11"/>
  <c r="AA46" i="11"/>
  <c r="AU30" i="11"/>
  <c r="AA57" i="11"/>
  <c r="AU41" i="11"/>
  <c r="J5" i="7"/>
  <c r="AM4" i="9" s="1"/>
  <c r="AS5" i="9" s="1"/>
  <c r="AA13" i="11"/>
  <c r="AU13" i="11"/>
  <c r="AU62" i="11"/>
  <c r="G26" i="11"/>
  <c r="AU55" i="11"/>
  <c r="L41" i="7"/>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E108" i="11" s="1"/>
  <c r="G40" i="11"/>
  <c r="G41" i="11"/>
  <c r="AA21" i="11"/>
  <c r="G30" i="11"/>
  <c r="AU10" i="11"/>
  <c r="G69" i="11"/>
  <c r="AU36" i="11"/>
  <c r="N18" i="11"/>
  <c r="O13" i="11" s="1"/>
  <c r="AU12" i="11"/>
  <c r="AA52" i="11"/>
  <c r="AA12" i="11"/>
  <c r="AU16" i="11"/>
  <c r="AU7" i="11"/>
  <c r="G72" i="11"/>
  <c r="AA17" i="11"/>
  <c r="AA7"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L89" i="7" l="1"/>
  <c r="G36" i="11"/>
  <c r="O5" i="7"/>
  <c r="K6" i="7" s="1"/>
  <c r="AO5" i="9" s="1"/>
  <c r="AD4" i="9"/>
  <c r="M5" i="7"/>
  <c r="AH4" i="9" s="1"/>
  <c r="G60" i="11"/>
  <c r="AT10" i="11"/>
  <c r="AT11" i="11" s="1"/>
  <c r="R41" i="11"/>
  <c r="E19" i="11" s="1"/>
  <c r="G84" i="11"/>
  <c r="G108" i="11" l="1"/>
  <c r="AP10" i="11"/>
  <c r="AR10" i="11" s="1"/>
  <c r="AQ4" i="9"/>
  <c r="I6" i="7"/>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l="1"/>
  <c r="AM7" i="9" s="1"/>
  <c r="AS8" i="9" s="1"/>
  <c r="AP17" i="11"/>
  <c r="AR17" i="11" s="1"/>
  <c r="AT18" i="11"/>
  <c r="O8" i="7" l="1"/>
  <c r="K9" i="7" s="1"/>
  <c r="AD7" i="9"/>
  <c r="M8" i="7"/>
  <c r="AQ7" i="9" s="1"/>
  <c r="AP18" i="11"/>
  <c r="AR18" i="11" s="1"/>
  <c r="AT19" i="11"/>
  <c r="AH7" i="9" l="1"/>
  <c r="AP19" i="1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Q88" i="7" l="1"/>
  <c r="Y10" i="7" s="1"/>
  <c r="J88" i="7"/>
  <c r="AB3" i="7" l="1"/>
  <c r="F4" i="10"/>
  <c r="M88" i="7"/>
  <c r="AD87" i="9"/>
  <c r="AM87" i="9"/>
  <c r="AS88" i="9" s="1"/>
  <c r="O88" i="7"/>
  <c r="K89" i="7" s="1"/>
  <c r="Y4" i="7" s="1"/>
  <c r="Y3" i="7" s="1"/>
  <c r="AB2" i="7" l="1"/>
  <c r="Y11" i="7" s="1"/>
  <c r="F2" i="10" s="1"/>
  <c r="AF88" i="9"/>
  <c r="AO88" i="9"/>
  <c r="I89" i="7"/>
  <c r="AH87" i="9"/>
  <c r="AQ87" i="9"/>
  <c r="F10" i="10"/>
  <c r="Q89" i="7" l="1"/>
  <c r="J89" i="7"/>
  <c r="Y2" i="7" s="1"/>
  <c r="F12" i="10" s="1"/>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<sst xmlns="http://schemas.openxmlformats.org/spreadsheetml/2006/main" count="839" uniqueCount="527">
  <si>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</si>
  <si>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</si>
  <si>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</si>
  <si>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</si>
  <si>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</si>
  <si>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</si>
  <si>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</si>
  <si>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</si>
  <si>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</si>
  <si>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</si>
  <si>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</si>
  <si>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</si>
  <si>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</si>
  <si>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</si>
  <si>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</si>
  <si>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</si>
  <si>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</si>
  <si>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</si>
  <si>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</si>
  <si>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</si>
  <si>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</si>
  <si>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</si>
  <si>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</si>
  <si>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</si>
  <si>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</si>
  <si>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</si>
  <si>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</si>
  <si>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</si>
  <si>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</si>
  <si>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</si>
  <si>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</si>
  <si>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</si>
  <si>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</si>
  <si>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</si>
  <si>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</si>
  <si>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</si>
  <si>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</si>
  <si>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</si>
  <si>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</si>
  <si>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</si>
  <si>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</si>
  <si>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</si>
  <si>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</si>
  <si>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</si>
  <si>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</si>
  <si>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</si>
  <si>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</si>
  <si>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</si>
  <si>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</si>
  <si>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</si>
  <si>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</si>
  <si>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</si>
  <si>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</si>
  <si>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</si>
  <si>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</si>
  <si>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</si>
  <si>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</si>
  <si>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</si>
  <si>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</si>
  <si>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</si>
  <si>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</si>
  <si>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</si>
  <si>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</si>
  <si>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</si>
  <si>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</si>
  <si>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</si>
  <si>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</si>
  <si>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</si>
  <si>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</si>
  <si>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</si>
  <si>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</si>
  <si>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</si>
  <si>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</si>
  <si>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</si>
  <si>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</si>
  <si>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</si>
  <si>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</si>
  <si>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</si>
  <si>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</si>
  <si>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</si>
  <si>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</si>
  <si>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</si>
  <si>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</si>
  <si>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</si>
  <si>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</si>
  <si>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</si>
  <si>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</si>
  <si>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</si>
  <si>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</si>
  <si>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</si>
  <si>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</si>
  <si>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</si>
  <si>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</si>
  <si>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</si>
  <si>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</si>
  <si>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</si>
  <si>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</si>
  <si>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</si>
  <si>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</si>
  <si>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</si>
  <si>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</si>
  <si>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</si>
  <si>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</si>
  <si>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</si>
  <si>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</si>
  <si>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</si>
  <si>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</si>
  <si>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</si>
  <si>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</si>
  <si>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</si>
  <si>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</si>
  <si>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</si>
  <si>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</si>
  <si>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</si>
  <si>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</si>
  <si>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</si>
  <si>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</si>
  <si>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</si>
  <si>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</si>
  <si>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</si>
  <si>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</si>
  <si>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</si>
  <si>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</si>
  <si>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</si>
  <si>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</si>
  <si>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</si>
  <si>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</si>
  <si>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</si>
  <si>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</si>
  <si>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</si>
  <si>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</si>
  <si>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</si>
  <si>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</si>
  <si>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</si>
  <si>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</si>
  <si>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</si>
  <si>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</si>
  <si>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</si>
  <si>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</si>
  <si>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</si>
  <si>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</si>
  <si>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</si>
  <si>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</si>
  <si>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</si>
  <si>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</si>
  <si>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</si>
  <si>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</si>
  <si>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</si>
  <si>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</si>
  <si>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</si>
  <si>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</si>
  <si>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</si>
  <si>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</si>
  <si>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</si>
  <si>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</si>
  <si>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</si>
  <si>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</si>
  <si>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</si>
  <si>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</si>
  <si>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</si>
  <si>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</si>
  <si>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</si>
  <si>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</si>
  <si>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</si>
  <si>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</si>
  <si>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</si>
  <si>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</si>
  <si>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</si>
  <si>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</si>
  <si>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</si>
  <si>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</si>
  <si>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</si>
  <si>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</si>
  <si>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</si>
  <si>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</si>
  <si>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</si>
  <si>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</si>
  <si>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</si>
  <si>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</si>
  <si>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</si>
  <si>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</si>
  <si>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</si>
  <si>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</si>
  <si>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</si>
  <si>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</si>
  <si>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</si>
  <si>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</si>
  <si>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</si>
  <si>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</si>
  <si>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</si>
  <si>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</si>
  <si>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</si>
  <si>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</si>
  <si>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</si>
  <si>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</si>
  <si>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</si>
  <si>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</si>
  <si>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</si>
  <si>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</si>
  <si>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</si>
  <si>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</si>
  <si>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</si>
  <si>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</si>
  <si>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</si>
  <si>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</si>
  <si>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</si>
  <si>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</si>
  <si>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</si>
  <si>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</si>
  <si>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</si>
  <si>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</si>
  <si>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</si>
  <si>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</si>
  <si>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</si>
  <si>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</si>
  <si>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</si>
  <si>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</si>
  <si>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</si>
  <si>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</si>
  <si>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</si>
  <si>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</si>
  <si>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</si>
  <si>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</si>
  <si>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</si>
  <si>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</si>
  <si>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</si>
  <si>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</si>
  <si>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</si>
  <si>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</si>
  <si>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</si>
  <si>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</si>
  <si>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</si>
  <si>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</si>
  <si>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</si>
  <si>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</si>
  <si>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</si>
  <si>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</si>
  <si>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</si>
  <si>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</si>
  <si>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</si>
  <si>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</si>
  <si>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</si>
  <si>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</si>
  <si>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</si>
  <si>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</si>
  <si>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</si>
  <si>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</si>
  <si>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</si>
  <si>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</si>
  <si>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</si>
  <si>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</si>
  <si>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</si>
  <si>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</si>
  <si>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</si>
  <si>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</si>
  <si>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</si>
  <si>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</si>
  <si>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</si>
  <si>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</si>
  <si>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</si>
  <si>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</si>
  <si>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</si>
  <si>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</si>
  <si>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</si>
  <si>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</si>
  <si>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</si>
  <si>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</si>
  <si>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</si>
  <si>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</si>
  <si>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</si>
  <si>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</si>
  <si>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</si>
  <si>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</si>
  <si>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</si>
  <si>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</si>
  <si>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</si>
  <si>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</si>
  <si>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</si>
  <si>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</si>
  <si>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</si>
  <si>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</si>
  <si>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</si>
  <si>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</si>
  <si>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</si>
  <si>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</si>
  <si>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</si>
  <si>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</si>
  <si>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</si>
  <si>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</si>
  <si>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</si>
  <si>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</si>
  <si>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</si>
  <si>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</si>
  <si>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</si>
  <si>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</si>
  <si>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</si>
  <si>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t>Авансовий внесок за авто:</t>
  </si>
  <si>
    <t>Одноразова комісія банку:</t>
  </si>
  <si>
    <t>КАСКО:</t>
  </si>
  <si>
    <t>Страхування НВ</t>
  </si>
  <si>
    <t>Цивілка:</t>
  </si>
  <si>
    <t>Авансовий платіж</t>
  </si>
  <si>
    <t>Продукти:</t>
  </si>
  <si>
    <t>міс.</t>
  </si>
  <si>
    <t>Реєстрація автомобіля:</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</si>
  <si>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</si>
  <si>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</si>
  <si>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</si>
  <si>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</si>
  <si>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</si>
  <si>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</si>
  <si>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</si>
  <si>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</si>
  <si>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</si>
  <si>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</si>
  <si>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</si>
  <si>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</si>
  <si>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</si>
  <si>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</si>
  <si>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</si>
  <si>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</si>
  <si>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</si>
  <si>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</si>
  <si>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</si>
  <si>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</si>
  <si>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</si>
  <si>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</si>
  <si>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</si>
  <si>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</si>
  <si>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</si>
  <si>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</si>
  <si>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</si>
  <si>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</si>
  <si>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</si>
  <si>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</si>
  <si>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</si>
  <si>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</si>
  <si>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</si>
  <si>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</si>
  <si>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</si>
  <si>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</si>
  <si>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</si>
  <si>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</si>
  <si>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</si>
  <si>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</si>
  <si>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</si>
  <si>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</si>
  <si>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</si>
  <si>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</si>
  <si>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</si>
  <si>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</si>
  <si>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</si>
  <si>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</si>
  <si>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</si>
  <si>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</si>
  <si>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</si>
  <si>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</si>
  <si>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</si>
  <si>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</si>
  <si>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</si>
  <si>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</si>
  <si>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</si>
  <si>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</si>
  <si>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</si>
  <si>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</si>
  <si>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</si>
  <si>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</si>
  <si>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</si>
  <si>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</si>
  <si>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</si>
  <si>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</si>
  <si>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</si>
  <si>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</si>
  <si>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</si>
  <si>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</si>
  <si>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</si>
  <si>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</si>
  <si>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</si>
  <si>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</si>
  <si>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</si>
  <si>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</si>
  <si>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</si>
  <si>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</si>
  <si>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</si>
  <si>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</si>
  <si>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</si>
  <si>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</si>
  <si>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</si>
  <si>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</si>
  <si>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</si>
  <si>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</si>
  <si>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</si>
  <si>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</si>
  <si>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</si>
  <si>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</si>
  <si>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</si>
  <si>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</si>
  <si>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</si>
  <si>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</si>
  <si>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</si>
  <si>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</si>
  <si>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</si>
  <si>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</si>
  <si>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</si>
  <si>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</si>
  <si>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</si>
  <si>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</si>
  <si>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</si>
  <si>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</si>
  <si>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</si>
  <si>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</si>
  <si>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</si>
  <si>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</si>
  <si>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</si>
  <si>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</si>
  <si>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</si>
  <si>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</si>
  <si>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</si>
  <si>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</si>
  <si>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</si>
  <si>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</si>
  <si>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</si>
  <si>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</si>
  <si>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</si>
  <si>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</si>
  <si>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</si>
  <si>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</si>
  <si>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</si>
  <si>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</si>
  <si>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</si>
  <si>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</si>
  <si>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</si>
  <si>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</si>
  <si>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</si>
  <si>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</si>
  <si>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</si>
  <si>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</si>
  <si>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</si>
  <si>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</si>
  <si>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</si>
  <si>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</si>
  <si>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</si>
  <si>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</si>
  <si>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</si>
  <si>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</si>
  <si>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</si>
  <si>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</si>
  <si>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</si>
  <si>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</si>
  <si>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</si>
  <si>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</si>
  <si>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</si>
  <si>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</si>
  <si>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</si>
  <si>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</si>
  <si>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</si>
  <si>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</si>
  <si>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</si>
  <si>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</si>
  <si>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</si>
  <si>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</si>
  <si>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</si>
  <si>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</si>
  <si>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</si>
  <si>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</si>
  <si>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</si>
  <si>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</si>
  <si>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</si>
  <si>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</si>
  <si>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</si>
  <si>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</si>
  <si>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</si>
  <si>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</si>
  <si>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</si>
  <si>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</si>
  <si>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</si>
  <si>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</si>
  <si>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</si>
  <si>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</si>
  <si>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</si>
  <si>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</si>
  <si>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</si>
  <si>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</si>
  <si>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</si>
  <si>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</si>
  <si>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</si>
  <si>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</si>
  <si>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</si>
  <si>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</si>
  <si>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</si>
  <si>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</si>
  <si>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</si>
  <si>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</si>
  <si>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</si>
  <si>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</si>
  <si>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</si>
  <si>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</si>
  <si>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</si>
  <si>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</si>
  <si>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</si>
  <si>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</si>
  <si>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</si>
  <si>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</si>
  <si>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</si>
  <si>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</si>
  <si>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</si>
  <si>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</si>
  <si>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</si>
  <si>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</si>
  <si>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</si>
  <si>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</si>
  <si>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</si>
  <si>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</si>
  <si>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</si>
  <si>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</si>
  <si>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</si>
  <si>
    <t>20-29,9</t>
  </si>
  <si>
    <t>30-39,9</t>
  </si>
  <si>
    <t>40-49,9</t>
  </si>
  <si>
    <t>50-59,9</t>
  </si>
  <si>
    <t>60-69,9</t>
  </si>
  <si>
    <t>70&gt;=</t>
  </si>
  <si>
    <t>Комісія</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</si>
  <si>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</si>
  <si>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</si>
  <si>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</si>
  <si>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Партнерський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</si>
</sst>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6"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
      <sz val="20"/>
      <color rgb="FFFF0000"/>
      <name val="Calibri"/>
      <family val="2"/>
      <charset val="204"/>
      <scheme val="minor"/>
    </font>
    <font>
      <b/>
      <sz val="11"/>
      <name val="Calibri"/>
      <family val="2"/>
      <scheme val="minor"/>
    </font>
    <font>
      <sz val="9"/>
      <name val="Times New Roman"/>
      <family val="1"/>
      <charset val="204"/>
    </font>
    <font>
      <b/>
      <sz val="9"/>
      <name val="Times New Roman"/>
      <family val="1"/>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8">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xf numFmtId="9" fontId="10" fillId="0" borderId="0" applyFont="0" applyFill="0" applyBorder="0" applyAlignment="0" applyProtection="0"/>
    <xf numFmtId="0" fontId="10" fillId="0" borderId="0"/>
  </cellStyleXfs>
  <cellXfs count="341">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5"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5"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50" fillId="0" borderId="21" xfId="2" applyFont="1" applyBorder="1" applyAlignment="1" applyProtection="1">
      <alignment horizontal="center" vertical="center" wrapText="1"/>
      <protection hidden="1"/>
    </xf>
    <xf numFmtId="10" fontId="15" fillId="0" borderId="0" xfId="5" applyNumberFormat="1"/>
    <xf numFmtId="10" fontId="50" fillId="0" borderId="21" xfId="2" applyNumberFormat="1" applyFont="1" applyBorder="1" applyAlignment="1" applyProtection="1">
      <alignment horizontal="center" vertical="center" wrapText="1"/>
      <protection hidden="1"/>
    </xf>
    <xf numFmtId="0" fontId="4" fillId="5" borderId="0" xfId="0" applyFont="1" applyFill="1" applyAlignment="1">
      <alignment horizontal="center" vertical="center"/>
    </xf>
    <xf numFmtId="0" fontId="63" fillId="5" borderId="0" xfId="0" applyFont="1" applyFill="1" applyAlignment="1">
      <alignment horizontal="center" vertical="center"/>
    </xf>
    <xf numFmtId="0" fontId="63" fillId="5" borderId="0" xfId="0" applyFont="1" applyFill="1"/>
    <xf numFmtId="4" fontId="63" fillId="5" borderId="0" xfId="0" applyNumberFormat="1" applyFont="1" applyFill="1"/>
    <xf numFmtId="4" fontId="4" fillId="5" borderId="0" xfId="0" applyNumberFormat="1" applyFont="1" applyFill="1"/>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6"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4" fontId="54" fillId="5" borderId="0" xfId="5" applyNumberFormat="1" applyFont="1" applyFill="1" applyAlignment="1" applyProtection="1">
      <alignment horizontal="center"/>
      <protection hidden="1"/>
    </xf>
    <xf numFmtId="0" fontId="54" fillId="5" borderId="0" xfId="5" applyFont="1" applyFill="1" applyAlignment="1" applyProtection="1">
      <alignment horizontal="center"/>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57" fillId="0" borderId="16" xfId="2" applyFont="1" applyBorder="1" applyAlignment="1" applyProtection="1">
      <alignment horizontal="center" vertical="center" wrapText="1"/>
      <protection hidden="1"/>
    </xf>
    <xf numFmtId="0" fontId="57" fillId="0" borderId="17" xfId="2" applyFont="1" applyBorder="1" applyAlignment="1" applyProtection="1">
      <alignment horizontal="center" vertical="center" wrapText="1"/>
      <protection hidden="1"/>
    </xf>
    <xf numFmtId="0" fontId="57" fillId="0" borderId="20" xfId="2" applyFont="1" applyBorder="1" applyAlignment="1" applyProtection="1">
      <alignment horizontal="center" vertical="center" wrapText="1"/>
      <protection hidden="1"/>
    </xf>
    <xf numFmtId="0" fontId="57" fillId="0" borderId="15" xfId="2" applyFont="1" applyBorder="1" applyAlignment="1" applyProtection="1">
      <alignment horizontal="center" vertical="center" wrapText="1"/>
      <protection hidden="1"/>
    </xf>
    <xf numFmtId="0" fontId="50" fillId="0" borderId="21" xfId="2" applyFont="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57" fillId="0" borderId="21" xfId="2" applyFont="1" applyBorder="1" applyAlignment="1" applyProtection="1">
      <alignment horizontal="center" vertical="center" wrapText="1"/>
      <protection hidden="1"/>
    </xf>
    <xf numFmtId="0" fontId="57"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76" fontId="55" fillId="5" borderId="21" xfId="5" applyNumberFormat="1" applyFont="1" applyFill="1" applyBorder="1" applyAlignment="1" applyProtection="1">
      <alignment horizontal="center" vertical="center"/>
      <protection hidden="1"/>
    </xf>
    <xf numFmtId="176" fontId="55" fillId="5" borderId="13" xfId="5" applyNumberFormat="1" applyFont="1" applyFill="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62" fillId="5" borderId="24" xfId="5" applyFont="1" applyFill="1" applyBorder="1" applyAlignment="1" applyProtection="1">
      <alignment horizontal="center" vertical="center"/>
      <protection hidden="1"/>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57" fillId="0" borderId="21" xfId="2" applyFont="1" applyBorder="1" applyAlignment="1" applyProtection="1">
      <alignment horizontal="center" vertical="center"/>
      <protection hidden="1"/>
    </xf>
    <xf numFmtId="0" fontId="57"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176" fontId="48" fillId="10" borderId="32" xfId="5" applyNumberFormat="1" applyFont="1" applyFill="1" applyBorder="1" applyAlignment="1" applyProtection="1">
      <alignment horizontal="center" vertical="center"/>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5" fillId="5" borderId="32" xfId="5" applyNumberFormat="1" applyFont="1" applyFill="1" applyBorder="1" applyAlignment="1" applyProtection="1">
      <alignment horizontal="center" vertical="center"/>
      <protection hidden="1"/>
    </xf>
    <xf numFmtId="176" fontId="55" fillId="5" borderId="14" xfId="5" applyNumberFormat="1" applyFont="1" applyFill="1" applyBorder="1" applyAlignment="1" applyProtection="1">
      <alignment horizontal="center" vertical="center"/>
      <protection hidden="1"/>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4" fontId="33" fillId="5" borderId="0" xfId="5" applyNumberFormat="1" applyFont="1" applyFill="1" applyAlignment="1">
      <alignment horizontal="center"/>
    </xf>
  </cellXfs>
  <cellStyles count="8">
    <cellStyle name="Відсотковий" xfId="1" builtinId="5"/>
    <cellStyle name="Відсотковий 2" xfId="6" xr:uid="{F336B53A-AD76-4A35-93BB-71781EF34267}"/>
    <cellStyle name="Звичайний" xfId="0" builtinId="0"/>
    <cellStyle name="Звичайний 2" xfId="2" xr:uid="{4C315466-C89E-4675-8E18-99BDAE63F1D8}"/>
    <cellStyle name="Звичайний 3" xfId="3" xr:uid="{C571C02F-CEF6-4CED-94AC-6EE1571F554F}"/>
    <cellStyle name="Звичайний 41" xfId="7" xr:uid="{D057D22C-5F53-44CF-96C5-DC1FC9026B96}"/>
    <cellStyle name="Обычный_Nedootrumani_dohodu" xfId="5" xr:uid="{D7BF08D5-CB88-44F0-A87D-6E2A7405AF77}"/>
    <cellStyle name="Фінансовий" xfId="4" builtinId="3"/>
  </cellStyles>
  <dxfs count="67">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87</xdr:col>
          <xdr:colOff>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Партнерський</a:t>
          </a:r>
        </a:p>
      </xdr:txBody>
    </xdr:sp>
    <xdr:clientData/>
  </xdr:twoCellAnchor>
  <xdr:twoCellAnchor editAs="oneCell">
    <xdr:from>
      <xdr:col>11</xdr:col>
      <xdr:colOff>806824</xdr:colOff>
      <xdr:row>0</xdr:row>
      <xdr:rowOff>224117</xdr:rowOff>
    </xdr:from>
    <xdr:to>
      <xdr:col>13</xdr:col>
      <xdr:colOff>1549998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52</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52</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48</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48</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52</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68</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56</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52</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174"/>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4" width="0" style="160" hidden="1" customWidth="1"/>
    <col min="65" max="16384" width="8.6640625" style="160"/>
  </cols>
  <sheetData>
    <row r="1" spans="2:8" x14ac:dyDescent="0.3">
      <c r="B1" s="158" t="s">
        <v>0</v>
      </c>
      <c r="C1" s="159" t="s">
        <v>1</v>
      </c>
      <c r="D1" s="159"/>
      <c r="G1" s="160" t="s">
        <v>2</v>
      </c>
    </row>
    <row r="2" spans="2:8" x14ac:dyDescent="0.3">
      <c r="B2" s="161"/>
      <c r="C2" s="162"/>
      <c r="D2" s="162"/>
    </row>
    <row r="3" spans="2:8" x14ac:dyDescent="0.3">
      <c r="B3" s="160" t="s">
        <v>3</v>
      </c>
      <c r="C3" s="163">
        <v>333333.33333333337</v>
      </c>
      <c r="D3" s="163"/>
      <c r="G3" s="160" t="s">
        <v>4</v>
      </c>
      <c r="H3" s="160" t="s">
        <v>5</v>
      </c>
    </row>
    <row r="4" spans="2:8" x14ac:dyDescent="0.3">
      <c r="B4" s="160" t="s">
        <v>6</v>
      </c>
      <c r="C4" s="163">
        <f>C3*E4</f>
        <v>233333.33333333334</v>
      </c>
      <c r="D4" s="163">
        <f>C4/C3</f>
        <v>0.7</v>
      </c>
      <c r="E4" s="160">
        <v>0.7</v>
      </c>
      <c r="G4" s="160" t="s">
        <v>7</v>
      </c>
    </row>
    <row r="5" spans="2:8" x14ac:dyDescent="0.3">
      <c r="B5" s="160" t="s">
        <v>8</v>
      </c>
      <c r="C5" s="163">
        <v>5000000</v>
      </c>
      <c r="D5" s="163"/>
      <c r="G5" s="160" t="s">
        <v>9</v>
      </c>
      <c r="H5" s="160">
        <v>60</v>
      </c>
    </row>
    <row r="6" spans="2:8" x14ac:dyDescent="0.3">
      <c r="C6" s="163"/>
      <c r="D6" s="163"/>
      <c r="G6" s="160" t="s">
        <v>10</v>
      </c>
      <c r="H6" s="160" t="str">
        <f>Ануїтетна_графік_Авто!E2</f>
        <v/>
      </c>
    </row>
    <row r="7" spans="2:8" x14ac:dyDescent="0.3">
      <c r="C7" s="163"/>
      <c r="D7" s="163">
        <f>D6*1.7</f>
        <v>0</v>
      </c>
      <c r="E7" s="160">
        <f>D6+D5</f>
        <v>0</v>
      </c>
      <c r="G7" s="160" t="s">
        <v>11</v>
      </c>
    </row>
    <row r="8" spans="2:8" x14ac:dyDescent="0.3">
      <c r="B8" s="160" t="s">
        <v>12</v>
      </c>
      <c r="C8" s="163">
        <f>C3-C4</f>
        <v>100000.00000000003</v>
      </c>
      <c r="D8" s="163"/>
      <c r="G8" s="160" t="s">
        <v>13</v>
      </c>
      <c r="H8" s="160" t="s">
        <v>14</v>
      </c>
    </row>
    <row r="9" spans="2:8" x14ac:dyDescent="0.3">
      <c r="B9" s="160" t="s">
        <v>15</v>
      </c>
      <c r="C9" s="163" t="s">
        <v>16</v>
      </c>
      <c r="D9" s="163"/>
    </row>
    <row r="10" spans="2:8" x14ac:dyDescent="0.3">
      <c r="B10" s="160" t="s">
        <v>17</v>
      </c>
      <c r="C10" s="163" t="s">
        <v>16</v>
      </c>
      <c r="D10" s="163">
        <v>3960.0000000000005</v>
      </c>
      <c r="H10" s="160">
        <f>H4*C3</f>
        <v>0</v>
      </c>
    </row>
    <row r="11" spans="2:8" x14ac:dyDescent="0.3">
      <c r="B11" s="160" t="s">
        <v>18</v>
      </c>
      <c r="C11" s="160" t="s">
        <v>16</v>
      </c>
      <c r="H11" s="160">
        <f>H4*C8</f>
        <v>0</v>
      </c>
    </row>
    <row r="12" spans="2:8" x14ac:dyDescent="0.3">
      <c r="B12" s="161" t="s">
        <v>19</v>
      </c>
      <c r="C12" s="161" t="s">
        <v>16</v>
      </c>
      <c r="E12" s="160">
        <f>800000/100</f>
        <v>8000</v>
      </c>
    </row>
    <row r="13" spans="2:8" x14ac:dyDescent="0.3">
      <c r="B13" s="160" t="s">
        <v>20</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21</v>
      </c>
      <c r="I17" s="160" t="s">
        <v>22</v>
      </c>
    </row>
    <row r="18" spans="2:9" x14ac:dyDescent="0.3">
      <c r="C18" s="160" t="s">
        <v>21</v>
      </c>
      <c r="G18" s="160" t="s">
        <v>23</v>
      </c>
      <c r="H18" s="160" t="s">
        <v>24</v>
      </c>
    </row>
    <row r="19" spans="2:9" x14ac:dyDescent="0.3">
      <c r="B19" s="160" t="s">
        <v>25</v>
      </c>
      <c r="C19" s="160">
        <v>100</v>
      </c>
      <c r="G19" s="160" t="s">
        <v>26</v>
      </c>
      <c r="H19" s="160">
        <v>0</v>
      </c>
    </row>
    <row r="20" spans="2:9" x14ac:dyDescent="0.3">
      <c r="B20" s="160" t="s">
        <v>27</v>
      </c>
      <c r="C20" s="160" t="s">
        <v>28</v>
      </c>
      <c r="G20" s="160" t="s">
        <v>29</v>
      </c>
      <c r="H20" s="160">
        <v>35065</v>
      </c>
    </row>
    <row r="21" spans="2:9" x14ac:dyDescent="0.3">
      <c r="B21" s="160" t="s">
        <v>30</v>
      </c>
      <c r="C21" s="160" t="s">
        <v>28</v>
      </c>
    </row>
    <row r="22" spans="2:9" x14ac:dyDescent="0.3">
      <c r="B22" s="160" t="s">
        <v>31</v>
      </c>
      <c r="G22" s="160" t="s">
        <v>32</v>
      </c>
    </row>
    <row r="23" spans="2:9" x14ac:dyDescent="0.3">
      <c r="F23" s="160" t="s">
        <v>33</v>
      </c>
      <c r="G23" s="160" t="s">
        <v>34</v>
      </c>
    </row>
    <row r="24" spans="2:9" x14ac:dyDescent="0.3">
      <c r="B24" s="160" t="s">
        <v>35</v>
      </c>
      <c r="C24" s="160">
        <v>24</v>
      </c>
      <c r="G24" s="160" t="s">
        <v>36</v>
      </c>
    </row>
    <row r="25" spans="2:9" x14ac:dyDescent="0.3">
      <c r="B25" s="160" t="s">
        <v>37</v>
      </c>
      <c r="C25" s="160">
        <v>0</v>
      </c>
      <c r="G25" s="160" t="s">
        <v>38</v>
      </c>
    </row>
    <row r="26" spans="2:9" x14ac:dyDescent="0.3">
      <c r="G26" s="160" t="s">
        <v>39</v>
      </c>
    </row>
    <row r="27" spans="2:9" x14ac:dyDescent="0.3">
      <c r="G27" s="160" t="s">
        <v>40</v>
      </c>
    </row>
    <row r="29" spans="2:9" x14ac:dyDescent="0.3">
      <c r="B29" s="160" t="s">
        <v>41</v>
      </c>
      <c r="C29" s="160">
        <v>0</v>
      </c>
    </row>
    <row r="30" spans="2:9" x14ac:dyDescent="0.3">
      <c r="B30" s="160" t="s">
        <v>42</v>
      </c>
      <c r="C30" s="160">
        <v>0</v>
      </c>
    </row>
    <row r="32" spans="2:9" x14ac:dyDescent="0.3">
      <c r="C32" s="160" t="s">
        <v>21</v>
      </c>
      <c r="D32" s="160" t="s">
        <v>43</v>
      </c>
      <c r="E32" s="160" t="s">
        <v>22</v>
      </c>
    </row>
    <row r="33" spans="1:3" x14ac:dyDescent="0.3">
      <c r="A33" s="160" t="s">
        <v>44</v>
      </c>
      <c r="B33" s="160" t="s">
        <v>45</v>
      </c>
    </row>
    <row r="34" spans="1:3" x14ac:dyDescent="0.3">
      <c r="B34" s="160" t="s">
        <v>46</v>
      </c>
      <c r="C34" s="160">
        <v>2000000</v>
      </c>
    </row>
    <row r="35" spans="1:3" x14ac:dyDescent="0.3">
      <c r="B35" s="160" t="s">
        <v>47</v>
      </c>
    </row>
    <row r="36" spans="1:3" x14ac:dyDescent="0.3">
      <c r="B36" s="160" t="s">
        <v>48</v>
      </c>
    </row>
    <row r="38" spans="1:3" x14ac:dyDescent="0.3">
      <c r="A38" s="160" t="s">
        <v>49</v>
      </c>
      <c r="B38" s="160" t="s">
        <v>50</v>
      </c>
    </row>
    <row r="40" spans="1:3" x14ac:dyDescent="0.3">
      <c r="A40" s="160" t="s">
        <v>51</v>
      </c>
      <c r="B40" s="160" t="s">
        <v>52</v>
      </c>
    </row>
    <row r="41" spans="1:3" x14ac:dyDescent="0.3">
      <c r="B41" s="160" t="s">
        <v>53</v>
      </c>
    </row>
    <row r="42" spans="1:3" x14ac:dyDescent="0.3">
      <c r="B42" s="160" t="s">
        <v>54</v>
      </c>
    </row>
    <row r="43" spans="1:3" x14ac:dyDescent="0.3">
      <c r="B43" s="160" t="s">
        <v>55</v>
      </c>
    </row>
    <row r="45" spans="1:3" x14ac:dyDescent="0.3">
      <c r="A45" s="160" t="s">
        <v>56</v>
      </c>
      <c r="B45" s="160" t="s">
        <v>57</v>
      </c>
    </row>
    <row r="46" spans="1:3" x14ac:dyDescent="0.3">
      <c r="B46" s="160" t="s">
        <v>58</v>
      </c>
    </row>
    <row r="48" spans="1:3" x14ac:dyDescent="0.3">
      <c r="A48" s="160" t="s">
        <v>59</v>
      </c>
      <c r="B48" s="160" t="s">
        <v>60</v>
      </c>
    </row>
    <row r="49" spans="1:3" x14ac:dyDescent="0.3">
      <c r="B49" s="160" t="s">
        <v>61</v>
      </c>
    </row>
    <row r="51" spans="1:3" x14ac:dyDescent="0.3">
      <c r="A51" s="160" t="s">
        <v>62</v>
      </c>
      <c r="B51" s="160" t="s">
        <v>63</v>
      </c>
    </row>
    <row r="52" spans="1:3" x14ac:dyDescent="0.3">
      <c r="B52" s="160" t="s">
        <v>64</v>
      </c>
    </row>
    <row r="54" spans="1:3" x14ac:dyDescent="0.3">
      <c r="A54" s="160" t="s">
        <v>65</v>
      </c>
      <c r="B54" s="160" t="s">
        <v>66</v>
      </c>
      <c r="C54" s="160">
        <v>0</v>
      </c>
    </row>
    <row r="55" spans="1:3" x14ac:dyDescent="0.3">
      <c r="B55" s="160" t="s">
        <v>67</v>
      </c>
      <c r="C55" s="160">
        <v>0</v>
      </c>
    </row>
    <row r="58" spans="1:3" x14ac:dyDescent="0.3">
      <c r="A58" s="160" t="s">
        <v>68</v>
      </c>
      <c r="B58" s="160" t="s">
        <v>69</v>
      </c>
    </row>
    <row r="59" spans="1:3" x14ac:dyDescent="0.3">
      <c r="B59" s="160" t="s">
        <v>70</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71</v>
      </c>
      <c r="B63" s="160" t="s">
        <v>72</v>
      </c>
    </row>
    <row r="64" spans="1:3" x14ac:dyDescent="0.3">
      <c r="B64" s="160" t="s">
        <v>73</v>
      </c>
    </row>
    <row r="65" spans="1:9" x14ac:dyDescent="0.3">
      <c r="B65" s="160" t="s">
        <v>74</v>
      </c>
    </row>
    <row r="66" spans="1:9" x14ac:dyDescent="0.3">
      <c r="B66" s="160" t="s">
        <v>75</v>
      </c>
      <c r="C66" s="160">
        <v>0</v>
      </c>
    </row>
    <row r="74" spans="1:9" x14ac:dyDescent="0.3">
      <c r="H74" s="160" t="s">
        <v>76</v>
      </c>
      <c r="I74" s="160" t="s">
        <v>77</v>
      </c>
    </row>
    <row r="75" spans="1:9" x14ac:dyDescent="0.3">
      <c r="B75" s="160" t="s">
        <v>78</v>
      </c>
      <c r="G75" s="160" t="s">
        <v>79</v>
      </c>
      <c r="H75" s="160" t="e">
        <f>IF(OR(H6&lt;&gt;"",H5&lt;&gt;""),(Ануїтетна_графік_Іпотека!B16/1200*(1+Ануїтетна_графік_Іпотека!B16/1200)^H5)/(((1+Ануїтетна_графік_Іпотека!B16/1200)^H5)-1)+H4/100,0)</f>
        <v>#VALUE!</v>
      </c>
      <c r="I75" s="160" t="e">
        <f>IF(OR(H6&lt;&gt;"",H5&lt;&gt;""),1/H5+Ануїтетна_графік_Іпотека!B16/100*31/360+H4/100,0)</f>
        <v>#VALUE!</v>
      </c>
    </row>
    <row r="76" spans="1:9" x14ac:dyDescent="0.3">
      <c r="B76" s="160" t="s">
        <v>80</v>
      </c>
      <c r="C76" s="160" t="e">
        <f>MAX(H75:H78)</f>
        <v>#VALUE!</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82</v>
      </c>
      <c r="C77" s="160" t="e">
        <f>MAX(I75:I78)</f>
        <v>#VALUE!</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84</v>
      </c>
      <c r="C78" s="160" t="e">
        <f>IF(H3="ануїтет",C76,C77)</f>
        <v>#VALUE!</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86</v>
      </c>
      <c r="B80" s="160" t="s">
        <v>87</v>
      </c>
      <c r="C80" s="160">
        <f>$H$91</f>
        <v>4000000</v>
      </c>
      <c r="G80" s="160" t="s">
        <v>88</v>
      </c>
    </row>
    <row r="81" spans="1:9" x14ac:dyDescent="0.3">
      <c r="B81" s="160" t="s">
        <v>89</v>
      </c>
      <c r="C81" s="160">
        <f>C29+C30</f>
        <v>0</v>
      </c>
    </row>
    <row r="82" spans="1:9" x14ac:dyDescent="0.3">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3">
      <c r="G83" s="160" t="s">
        <v>92</v>
      </c>
      <c r="H83" s="160">
        <v>0.65</v>
      </c>
    </row>
    <row r="84" spans="1:9" x14ac:dyDescent="0.3">
      <c r="A84" s="160" t="s">
        <v>93</v>
      </c>
      <c r="B84" s="160" t="s">
        <v>94</v>
      </c>
      <c r="C84" s="160" t="s">
        <v>21</v>
      </c>
      <c r="D84" s="160" t="s">
        <v>43</v>
      </c>
      <c r="E84" s="160" t="s">
        <v>22</v>
      </c>
      <c r="G84" s="160" t="s">
        <v>95</v>
      </c>
      <c r="H84" s="160">
        <v>1</v>
      </c>
    </row>
    <row r="85" spans="1:9" x14ac:dyDescent="0.3">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3">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3">
      <c r="B87" s="160" t="s">
        <v>100</v>
      </c>
      <c r="C87" s="160">
        <f>C38</f>
        <v>0</v>
      </c>
      <c r="D87" s="160">
        <f>D38</f>
        <v>0</v>
      </c>
      <c r="E87" s="160">
        <f>E38</f>
        <v>0</v>
      </c>
      <c r="G87" s="160" t="s">
        <v>101</v>
      </c>
      <c r="H87" s="160">
        <v>4000000</v>
      </c>
    </row>
    <row r="88" spans="1:9" x14ac:dyDescent="0.3">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3">
      <c r="B89" s="160" t="s">
        <v>105</v>
      </c>
      <c r="C89" s="160">
        <f>C45</f>
        <v>0</v>
      </c>
      <c r="D89" s="160">
        <f>D45</f>
        <v>0</v>
      </c>
      <c r="E89" s="160">
        <f>E45</f>
        <v>0</v>
      </c>
      <c r="G89" s="160" t="s">
        <v>106</v>
      </c>
      <c r="H89" s="160">
        <v>1</v>
      </c>
    </row>
    <row r="90" spans="1:9" x14ac:dyDescent="0.3">
      <c r="B90" s="160" t="s">
        <v>107</v>
      </c>
      <c r="C90" s="160">
        <f>C48-C49</f>
        <v>0</v>
      </c>
      <c r="D90" s="160">
        <f>D48-D49</f>
        <v>0</v>
      </c>
      <c r="E90" s="160">
        <f>E48-E49</f>
        <v>0</v>
      </c>
      <c r="G90" s="160" t="s">
        <v>108</v>
      </c>
      <c r="H90" s="160">
        <v>1</v>
      </c>
    </row>
    <row r="91" spans="1:9" x14ac:dyDescent="0.3">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3">
      <c r="B92" s="160" t="s">
        <v>111</v>
      </c>
      <c r="C92" s="160">
        <f>SUM(C86:C91)</f>
        <v>1610000</v>
      </c>
      <c r="D92" s="160">
        <f>SUM(D86:D91)</f>
        <v>0</v>
      </c>
      <c r="E92" s="160">
        <f>SUM(E86:E91)</f>
        <v>0</v>
      </c>
    </row>
    <row r="93" spans="1:9" x14ac:dyDescent="0.3">
      <c r="B93" s="160" t="s">
        <v>112</v>
      </c>
      <c r="C93" s="160">
        <f>C92+D92+IF(C9="Так",E92,0)</f>
        <v>1610000</v>
      </c>
    </row>
    <row r="95" spans="1:9" x14ac:dyDescent="0.3">
      <c r="A95" s="160" t="s">
        <v>113</v>
      </c>
      <c r="B95" s="160" t="s">
        <v>90</v>
      </c>
      <c r="C95" s="160">
        <f>H82</f>
        <v>30</v>
      </c>
    </row>
    <row r="96" spans="1:9" x14ac:dyDescent="0.3">
      <c r="B96" s="160" t="s">
        <v>114</v>
      </c>
      <c r="C96" s="160">
        <f>IF(C3&lt;&gt;"",C4/C3*100,0)</f>
        <v>70</v>
      </c>
    </row>
    <row r="97" spans="1:4" x14ac:dyDescent="0.3">
      <c r="B97" s="160" t="s">
        <v>113</v>
      </c>
      <c r="C97" s="160">
        <f>IF(C1="Поточні потреби під заставу нерухомості",C82,IF(C96&gt;C95,C3-C4+(D10+D11+D12)*H90,C3-(C3*C95/100)+(D10+D11+D12)*H90))</f>
        <v>103960.00000000003</v>
      </c>
    </row>
    <row r="99" spans="1:4" x14ac:dyDescent="0.3">
      <c r="A99" s="160" t="s">
        <v>115</v>
      </c>
      <c r="B99" s="160" t="s">
        <v>92</v>
      </c>
      <c r="C99" s="160">
        <f>H83</f>
        <v>0.65</v>
      </c>
    </row>
    <row r="100" spans="1:4" x14ac:dyDescent="0.3">
      <c r="B100" s="160" t="s">
        <v>116</v>
      </c>
      <c r="C100" s="160">
        <f>C54+D54+E54+C55+D55+E55</f>
        <v>0</v>
      </c>
    </row>
    <row r="101" spans="1:4" x14ac:dyDescent="0.3">
      <c r="B101" s="160" t="s">
        <v>115</v>
      </c>
      <c r="C101" s="160" t="e">
        <f>IF(C78&lt;&gt;0,(C99*C93-C100)/C78,0)</f>
        <v>#VALUE!</v>
      </c>
    </row>
    <row r="103" spans="1:4" x14ac:dyDescent="0.3">
      <c r="A103" s="160" t="s">
        <v>117</v>
      </c>
      <c r="B103" s="160" t="s">
        <v>95</v>
      </c>
      <c r="C103" s="160">
        <f>H84</f>
        <v>1</v>
      </c>
    </row>
    <row r="104" spans="1:4" x14ac:dyDescent="0.3">
      <c r="B104" s="160" t="s">
        <v>97</v>
      </c>
      <c r="C104" s="160">
        <f>H85</f>
        <v>1.266</v>
      </c>
    </row>
    <row r="105" spans="1:4" x14ac:dyDescent="0.3">
      <c r="B105" s="160" t="s">
        <v>99</v>
      </c>
      <c r="C105" s="160">
        <f>H86</f>
        <v>1420.07</v>
      </c>
    </row>
    <row r="106" spans="1:4" x14ac:dyDescent="0.3">
      <c r="C106" s="160" t="s">
        <v>21</v>
      </c>
      <c r="D106" s="160" t="s">
        <v>22</v>
      </c>
    </row>
    <row r="107" spans="1:4" x14ac:dyDescent="0.3">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119</v>
      </c>
      <c r="C108" s="160">
        <f>IFERROR(VLOOKUP(C20,'Таблиця МП_БВС'!$B:$E,4,),1.33)</f>
        <v>1.33</v>
      </c>
      <c r="D108" s="160">
        <f>IFERROR(VLOOKUP(D20,'Таблиця МП_БВС'!$B:$E,4,),1)</f>
        <v>1</v>
      </c>
    </row>
    <row r="109" spans="1:4" x14ac:dyDescent="0.3">
      <c r="B109" s="160" t="s">
        <v>120</v>
      </c>
      <c r="C109" s="160">
        <f>IFERROR(VLOOKUP(C21,'Таблиця МП_БВС'!$B:$E,4,),1.33)</f>
        <v>1.33</v>
      </c>
      <c r="D109" s="160">
        <f>IFERROR(VLOOKUP(D21,'Таблиця МП_БВС'!$B:$E,4,),1)</f>
        <v>1</v>
      </c>
    </row>
    <row r="110" spans="1:4" x14ac:dyDescent="0.3">
      <c r="B110" s="160" t="s">
        <v>121</v>
      </c>
      <c r="C110" s="160">
        <f>IFERROR(VLOOKUP(C22,'Таблиця МП_БВС'!$B:$E,4,),1.33)</f>
        <v>1.33</v>
      </c>
      <c r="D110" s="160">
        <f>IFERROR(VLOOKUP(C22,'Таблиця МП_БВС'!$B:$E,4,),1)</f>
        <v>1</v>
      </c>
    </row>
    <row r="111" spans="1:4" x14ac:dyDescent="0.3">
      <c r="B111" s="160" t="s">
        <v>122</v>
      </c>
      <c r="C111" s="160">
        <f>IF(C1="Автокредит",MAX(C108,C109),MAX(C108,C109,C110))</f>
        <v>1.33</v>
      </c>
      <c r="D111" s="160">
        <f>MAX(D108,D109,D110)</f>
        <v>1</v>
      </c>
    </row>
    <row r="112" spans="1:4" x14ac:dyDescent="0.3">
      <c r="B112" s="160" t="s">
        <v>123</v>
      </c>
      <c r="C112" s="160">
        <f>1+IF(OR(H18="одружений(на)",H18="не зареєстрований шлюб"),1,0)+H19</f>
        <v>1</v>
      </c>
      <c r="D112" s="160">
        <f>1+IF(OR(I18="одружений(на)",I18="не зареєстрований шлюб"),1,0)+I19</f>
        <v>1</v>
      </c>
    </row>
    <row r="113" spans="1:4" x14ac:dyDescent="0.3">
      <c r="B113" s="160" t="s">
        <v>124</v>
      </c>
      <c r="C113" s="160">
        <f>MAX(C19,C107*C111*$C$104)</f>
        <v>8621.2398426</v>
      </c>
      <c r="D113" s="160">
        <f>IF(C9="Так",MAX(D19,D107*D111*$C$104),0)</f>
        <v>0</v>
      </c>
    </row>
    <row r="114" spans="1:4" x14ac:dyDescent="0.3">
      <c r="B114" s="160" t="s">
        <v>117</v>
      </c>
      <c r="C114" s="160" t="e">
        <f>IF(C78&lt;&gt;0,(C103*C93-C100-C113-D113)/C78,0)</f>
        <v>#VALUE!</v>
      </c>
    </row>
    <row r="116" spans="1:4" x14ac:dyDescent="0.3">
      <c r="A116" s="160" t="s">
        <v>125</v>
      </c>
      <c r="B116" s="160" t="s">
        <v>94</v>
      </c>
    </row>
    <row r="118" spans="1:4" x14ac:dyDescent="0.3">
      <c r="A118" s="160" t="s">
        <v>126</v>
      </c>
      <c r="B118" s="160" t="s">
        <v>101</v>
      </c>
      <c r="C118" s="160">
        <f>H87</f>
        <v>4000000</v>
      </c>
    </row>
    <row r="119" spans="1:4" x14ac:dyDescent="0.3">
      <c r="B119" s="160" t="s">
        <v>127</v>
      </c>
      <c r="C119" s="160">
        <f>C63+C64+C65+C66</f>
        <v>0</v>
      </c>
    </row>
    <row r="120" spans="1:4" x14ac:dyDescent="0.3">
      <c r="B120" s="160" t="s">
        <v>126</v>
      </c>
      <c r="C120" s="160">
        <f>C118-C119</f>
        <v>4000000</v>
      </c>
    </row>
    <row r="122" spans="1:4" x14ac:dyDescent="0.3">
      <c r="A122" s="160" t="s">
        <v>128</v>
      </c>
      <c r="B122" s="160" t="s">
        <v>87</v>
      </c>
      <c r="C122" s="160">
        <f>$H$91</f>
        <v>4000000</v>
      </c>
    </row>
    <row r="124" spans="1:4" x14ac:dyDescent="0.3">
      <c r="B124" s="160" t="s">
        <v>128</v>
      </c>
      <c r="C124" s="160">
        <f>IF(C123+H5*31&lt;=C122,C80,0)</f>
        <v>4000000</v>
      </c>
    </row>
    <row r="126" spans="1:4" x14ac:dyDescent="0.3">
      <c r="A126" s="160" t="s">
        <v>129</v>
      </c>
      <c r="B126" s="160" t="s">
        <v>129</v>
      </c>
      <c r="C126" s="160">
        <f>IF(C13=0,C3-C4+SUMIF(C10:C12,"Так",D10:D12),C13)</f>
        <v>100000.00000000003</v>
      </c>
    </row>
    <row r="128" spans="1:4" x14ac:dyDescent="0.3">
      <c r="A128" s="160" t="s">
        <v>130</v>
      </c>
      <c r="B128" s="160" t="s">
        <v>94</v>
      </c>
    </row>
    <row r="129" spans="1:3" x14ac:dyDescent="0.3">
      <c r="A129" s="160" t="s">
        <v>131</v>
      </c>
      <c r="B129" s="160" t="s">
        <v>94</v>
      </c>
    </row>
    <row r="130" spans="1:3" x14ac:dyDescent="0.3">
      <c r="A130" s="160" t="s">
        <v>132</v>
      </c>
      <c r="B130" s="160" t="s">
        <v>94</v>
      </c>
    </row>
    <row r="132" spans="1:3" x14ac:dyDescent="0.3">
      <c r="A132" s="160" t="s">
        <v>133</v>
      </c>
      <c r="B132" s="160" t="s">
        <v>103</v>
      </c>
      <c r="C132" s="160">
        <f>H88</f>
        <v>0.5</v>
      </c>
    </row>
    <row r="133" spans="1:3" x14ac:dyDescent="0.3">
      <c r="B133" s="160" t="s">
        <v>133</v>
      </c>
      <c r="C133" s="160">
        <f>IF(C5&gt;0,C132*C5,0)</f>
        <v>2500000</v>
      </c>
    </row>
    <row r="135" spans="1:3" x14ac:dyDescent="0.3">
      <c r="B135" s="160" t="s">
        <v>134</v>
      </c>
      <c r="C135" s="160" t="e">
        <f>ROUNDDOWN(MAX(MIN(C82,C97,C101,C114,C120,C124,C126,C133),0)*H89,-2)</f>
        <v>#VALUE!</v>
      </c>
    </row>
    <row r="138" spans="1:3" x14ac:dyDescent="0.3">
      <c r="B138" s="160" t="s">
        <v>135</v>
      </c>
    </row>
    <row r="139" spans="1:3" x14ac:dyDescent="0.3">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3">
      <c r="A140" s="160" t="s">
        <v>138</v>
      </c>
      <c r="B140" s="160" t="s">
        <v>139</v>
      </c>
      <c r="C140" s="160">
        <f>IFERROR(MAX(C19,'Таблиця МП_БВС'!I4*MAX('Таблиця МП_БВС'!$E$3:$E$47)*H85),0)</f>
        <v>8621.2398426</v>
      </c>
    </row>
    <row r="141" spans="1:3" x14ac:dyDescent="0.3">
      <c r="A141" s="160" t="s">
        <v>140</v>
      </c>
      <c r="B141" s="160" t="s">
        <v>141</v>
      </c>
      <c r="C141" s="160">
        <f>MAX(C92-C140-C54-C55,0)</f>
        <v>1601378.7601574</v>
      </c>
    </row>
    <row r="142" spans="1:3" x14ac:dyDescent="0.3">
      <c r="A142" s="160" t="s">
        <v>142</v>
      </c>
      <c r="B142" s="160" t="s">
        <v>143</v>
      </c>
      <c r="C142" s="160">
        <f>IF(C92=0,0,C92/(C140+C54+C55+C139))</f>
        <v>38.666816356547358</v>
      </c>
    </row>
    <row r="143" spans="1:3" x14ac:dyDescent="0.3">
      <c r="A143" s="160" t="s">
        <v>144</v>
      </c>
      <c r="B143" s="160" t="s">
        <v>145</v>
      </c>
      <c r="C143" s="160">
        <f>IF(C92=0,0,(C139+C54+C55)/C92)</f>
        <v>2.050716149068323E-2</v>
      </c>
    </row>
    <row r="144" spans="1:3" x14ac:dyDescent="0.3">
      <c r="A144" s="160" t="s">
        <v>146</v>
      </c>
      <c r="B144" s="160" t="s">
        <v>147</v>
      </c>
      <c r="C144" s="160" t="e">
        <f>IF(C5=0,0,C135*(1+H6/100*31/360)/C5)</f>
        <v>#VALUE!</v>
      </c>
    </row>
    <row r="145" spans="1:4" x14ac:dyDescent="0.3">
      <c r="A145" s="160" t="s">
        <v>148</v>
      </c>
      <c r="B145" s="160" t="s">
        <v>149</v>
      </c>
      <c r="C145" s="160">
        <f>IF(C58="I",C59,C59/4)</f>
        <v>0</v>
      </c>
    </row>
    <row r="146" spans="1:4" x14ac:dyDescent="0.3">
      <c r="B146" s="160" t="s">
        <v>150</v>
      </c>
      <c r="C146" s="160">
        <f>IF(C58="I",C60,
IF(C58="II",C60,
IF(C58="III",C60/2,
IF(C58="IV",C60/3,0))))</f>
        <v>0</v>
      </c>
      <c r="D146" s="160" t="s">
        <v>151</v>
      </c>
    </row>
    <row r="147" spans="1:4" x14ac:dyDescent="0.3">
      <c r="B147" s="160" t="s">
        <v>152</v>
      </c>
      <c r="C147" s="160" t="str">
        <f>IF(OR(C145=0,C146=0),"Позич не здійснює п.д.",IF(C58="I",(C145/C146-1)*100%,(C146/C145-1)*100%))</f>
        <v>Позич не здійснює п.д.</v>
      </c>
    </row>
    <row r="149" spans="1:4" x14ac:dyDescent="0.3">
      <c r="B149" s="160" t="s">
        <v>153</v>
      </c>
    </row>
    <row r="150" spans="1:4" x14ac:dyDescent="0.3">
      <c r="A150" s="160">
        <v>1</v>
      </c>
      <c r="B150" s="160" t="s">
        <v>143</v>
      </c>
      <c r="C150" s="160">
        <f>IF(C142&lt;=0.5,0,IF(C142&lt;=1,600,IF(C142&lt;=1.05,1000,IF(C142&lt;=1.1,1200,IF(C142&lt;=1.15,1400,1500)))))</f>
        <v>1500</v>
      </c>
    </row>
    <row r="151" spans="1:4" x14ac:dyDescent="0.3">
      <c r="A151" s="160">
        <v>2</v>
      </c>
      <c r="B151" s="160" t="s">
        <v>147</v>
      </c>
      <c r="C151" s="160" t="e">
        <f>IF(C144&lt;0.5,1250,IF(C144&lt;0.7,1000,IF(C144&lt;0.8,750,IF(C144&lt;1,500,IF(C144&lt;1.3,250,0)))))</f>
        <v>#VALUE!</v>
      </c>
    </row>
    <row r="152" spans="1:4" x14ac:dyDescent="0.3">
      <c r="A152" s="160">
        <v>3</v>
      </c>
      <c r="B152" s="160" t="s">
        <v>145</v>
      </c>
      <c r="C152" s="160">
        <f>IF(C143&lt;0.85,1000,IF(C143&lt;0.9,800,IF(C143&lt;0.95,600,IF(C143&lt;1,400,200))))</f>
        <v>1000</v>
      </c>
    </row>
    <row r="153" spans="1:4" x14ac:dyDescent="0.3">
      <c r="A153" s="160">
        <v>4</v>
      </c>
      <c r="B153" s="160" t="s">
        <v>154</v>
      </c>
      <c r="C153" s="160">
        <f>IF(C141&gt;=C139,500,0)</f>
        <v>500</v>
      </c>
    </row>
    <row r="154" spans="1:4" x14ac:dyDescent="0.3">
      <c r="B154" s="160" t="s">
        <v>155</v>
      </c>
    </row>
    <row r="155" spans="1:4" x14ac:dyDescent="0.3">
      <c r="A155" s="160">
        <v>5</v>
      </c>
      <c r="B155" s="160" t="s">
        <v>156</v>
      </c>
      <c r="C155" s="160">
        <f>IF(C24&lt;=35,84,IF(C24&lt;=83,87,IF(C24&lt;=195,92,98)))</f>
        <v>84</v>
      </c>
    </row>
    <row r="156" spans="1:4" x14ac:dyDescent="0.3">
      <c r="A156" s="160">
        <v>6</v>
      </c>
      <c r="B156" s="160" t="s">
        <v>33</v>
      </c>
      <c r="C156" s="160">
        <f>SUM(C157:C160)</f>
        <v>87</v>
      </c>
    </row>
    <row r="157" spans="1:4" x14ac:dyDescent="0.3">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161</v>
      </c>
      <c r="C161" s="160">
        <f ca="1">IF(DATEDIF(H20,TODAY(),"Y")&lt;=25,87,
IF(DATEDIF(H20,TODAY(),"Y")&lt;=40,88,
IF(DATEDIF(H20,TODAY(),"Y")&lt;=48,89,
IF(DATEDIF(H20,TODAY(),"Y")&lt;=55,92,93))))</f>
        <v>88</v>
      </c>
    </row>
    <row r="162" spans="1:3" x14ac:dyDescent="0.3">
      <c r="A162" s="160">
        <v>8</v>
      </c>
      <c r="B162" s="160" t="s">
        <v>162</v>
      </c>
      <c r="C162" s="160">
        <f>SUM(C163:C165)</f>
        <v>92</v>
      </c>
    </row>
    <row r="163" spans="1:3" x14ac:dyDescent="0.3">
      <c r="B163" s="160" t="s">
        <v>157</v>
      </c>
      <c r="C163" s="160">
        <f>IF(AND(H18="не одружений(на)",H19&gt;0),92,
IF(AND(H18="не одружений(на)",H19=0),92,
IF(AND(H18="розлучений(на)",H19&gt;0),92,
IF(AND(H18="не зареєстрований шлюб",H19=0),92,0))))</f>
        <v>92</v>
      </c>
    </row>
    <row r="164" spans="1:3" x14ac:dyDescent="0.3">
      <c r="B164" s="160" t="s">
        <v>158</v>
      </c>
      <c r="C164" s="160">
        <f>IF(AND(H18="вдова/вдівець",H19=0),90,
IF(AND(H18="одружений(на)",H19&gt;0),90,
IF(AND(H18="не зареєстрований шлюб",H19&gt;0),90,0)))</f>
        <v>0</v>
      </c>
    </row>
    <row r="165" spans="1:3" x14ac:dyDescent="0.3">
      <c r="B165" s="160" t="s">
        <v>159</v>
      </c>
      <c r="C165" s="160">
        <f>IF(AND(H18="вдова/вдівець",H19&gt;0),88,
IF(AND(H18="одружений(на)",H19=0),88,
IF(AND(H18="розлучений(на)",H19=0),88,0)))</f>
        <v>0</v>
      </c>
    </row>
    <row r="166" spans="1:3" x14ac:dyDescent="0.3">
      <c r="A166" s="160">
        <v>9</v>
      </c>
      <c r="B166" s="160" t="s">
        <v>163</v>
      </c>
      <c r="C166" s="160">
        <f>IF(C25&lt;=7,200,IF(C25&lt;=30,100,IF(C25&lt;=60,50,IF(C25&lt;=90,25,0))))</f>
        <v>200</v>
      </c>
    </row>
    <row r="167" spans="1:3" x14ac:dyDescent="0.3">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165</v>
      </c>
      <c r="B169" s="160" t="s">
        <v>166</v>
      </c>
      <c r="C169" s="160" t="e">
        <f ca="1">SUM(C150:C153)+MIN(0.3/0.7*SUM(C150:C153),C155+C156+C161+C162+C166+C167)</f>
        <v>#VALUE!</v>
      </c>
    </row>
    <row r="170" spans="1:3" x14ac:dyDescent="0.3">
      <c r="B170" s="160" t="s">
        <v>167</v>
      </c>
      <c r="C170" s="160" t="e">
        <f ca="1">IF(C169&lt;1250,5,IF(C169&lt;2000,4,IF(C169&lt;3000,3,IF(C169&lt;3500,2,1))))</f>
        <v>#VALUE!</v>
      </c>
    </row>
    <row r="171" spans="1:3" x14ac:dyDescent="0.3">
      <c r="B171" s="160" t="s">
        <v>168</v>
      </c>
      <c r="C171" s="160">
        <f>IF(C143&lt;=0.5,1,IF(C143&lt;=0.6,2,IF(C143&lt;=0.7,3,IF(C143&lt;=0.8,4,5))))</f>
        <v>1</v>
      </c>
    </row>
    <row r="172" spans="1:3" x14ac:dyDescent="0.3">
      <c r="B172" s="160" t="s">
        <v>169</v>
      </c>
      <c r="C172" s="160">
        <f>IF(C25&lt;=7,1,IF(C25&lt;=30,2,IF(C25&lt;=60,3,IF(C25&lt;=90,4,5))))</f>
        <v>1</v>
      </c>
    </row>
    <row r="174" spans="1:3" x14ac:dyDescent="0.3">
      <c r="B174" s="160" t="s">
        <v>170</v>
      </c>
      <c r="C174" s="160" t="e">
        <f ca="1">IF(AND(H23="ні",H24="ні",H25="ні",H26="ні",H27="ні"),MAX(C170,C171,C172,2),MAX(C170,C171,C172))</f>
        <v>#VALUE!</v>
      </c>
    </row>
  </sheetData>
  <phoneticPr fontId="6" type="noConversion"/>
  <conditionalFormatting sqref="C112">
    <cfRule type="containsText" dxfId="66" priority="1" operator="containsText" text="Поручитель неплатоспроможний">
      <formula>NOT(ISERROR(SEARCH("Поручитель неплатоспроможний",C112)))</formula>
    </cfRule>
    <cfRule type="containsText" dxfId="65" priority="2" operator="containsText" text="Поручитель платоспроможний">
      <formula>NOT(ISERROR(SEARCH("Поручитель платоспроможний",C112)))</formula>
    </cfRule>
  </conditionalFormatting>
  <conditionalFormatting sqref="D1">
    <cfRule type="expression" dxfId="64"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87</xdr:col>
                <xdr:colOff>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47"/>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2" width="0" style="160" hidden="1" customWidth="1"/>
    <col min="63" max="16384" width="8.6640625" style="160"/>
  </cols>
  <sheetData>
    <row r="1" spans="1:9" x14ac:dyDescent="0.3">
      <c r="A1" s="160" t="s">
        <v>419</v>
      </c>
      <c r="B1" s="158"/>
      <c r="C1" s="159"/>
      <c r="D1" s="159"/>
      <c r="H1" s="160" t="s">
        <v>420</v>
      </c>
    </row>
    <row r="2" spans="1:9" x14ac:dyDescent="0.3">
      <c r="A2" s="160" t="s">
        <v>421</v>
      </c>
      <c r="B2" s="161" t="s">
        <v>422</v>
      </c>
      <c r="C2" s="162" t="s">
        <v>423</v>
      </c>
      <c r="D2" s="162" t="s">
        <v>424</v>
      </c>
      <c r="E2" s="160" t="s">
        <v>122</v>
      </c>
      <c r="F2" s="160" t="s">
        <v>425</v>
      </c>
      <c r="H2" s="160" t="s">
        <v>426</v>
      </c>
      <c r="I2" s="160" t="s">
        <v>118</v>
      </c>
    </row>
    <row r="3" spans="1:9" x14ac:dyDescent="0.3">
      <c r="A3" s="160">
        <v>1</v>
      </c>
      <c r="B3" s="160" t="s">
        <v>28</v>
      </c>
      <c r="C3" s="163" t="s">
        <v>427</v>
      </c>
      <c r="D3" s="163" t="s">
        <v>428</v>
      </c>
      <c r="E3" s="160">
        <v>1.33</v>
      </c>
    </row>
    <row r="4" spans="1:9" x14ac:dyDescent="0.3">
      <c r="A4" s="160">
        <v>2</v>
      </c>
      <c r="B4" s="160" t="s">
        <v>429</v>
      </c>
      <c r="C4" s="163" t="s">
        <v>430</v>
      </c>
      <c r="D4" s="163" t="s">
        <v>431</v>
      </c>
      <c r="E4" s="160">
        <v>1.19</v>
      </c>
      <c r="F4" s="160" t="s">
        <v>432</v>
      </c>
      <c r="H4" s="160">
        <v>1</v>
      </c>
      <c r="I4" s="160">
        <v>5120.17</v>
      </c>
    </row>
    <row r="5" spans="1:9" x14ac:dyDescent="0.3">
      <c r="A5" s="160">
        <v>3</v>
      </c>
      <c r="B5" s="160" t="s">
        <v>433</v>
      </c>
      <c r="C5" s="163" t="s">
        <v>434</v>
      </c>
      <c r="D5" s="163"/>
      <c r="E5" s="160">
        <v>1.19</v>
      </c>
      <c r="H5" s="160">
        <v>2</v>
      </c>
      <c r="I5" s="160">
        <v>8474.64</v>
      </c>
    </row>
    <row r="6" spans="1:9" x14ac:dyDescent="0.3">
      <c r="A6" s="160">
        <v>4</v>
      </c>
      <c r="B6" s="160" t="s">
        <v>435</v>
      </c>
      <c r="C6" s="163" t="s">
        <v>427</v>
      </c>
      <c r="D6" s="163"/>
      <c r="E6" s="160">
        <v>1.19</v>
      </c>
      <c r="H6" s="160">
        <v>3</v>
      </c>
      <c r="I6" s="160">
        <v>11256.9</v>
      </c>
    </row>
    <row r="7" spans="1:9" x14ac:dyDescent="0.3">
      <c r="A7" s="160">
        <v>5</v>
      </c>
      <c r="B7" s="160" t="s">
        <v>436</v>
      </c>
      <c r="C7" s="163" t="s">
        <v>427</v>
      </c>
      <c r="D7" s="163"/>
      <c r="E7" s="160">
        <v>1.19</v>
      </c>
      <c r="H7" s="160">
        <v>4</v>
      </c>
      <c r="I7" s="160">
        <v>12676.98</v>
      </c>
    </row>
    <row r="8" spans="1:9" x14ac:dyDescent="0.3">
      <c r="A8" s="160">
        <v>6</v>
      </c>
      <c r="B8" s="160" t="s">
        <v>437</v>
      </c>
      <c r="C8" s="163" t="s">
        <v>438</v>
      </c>
      <c r="D8" s="163"/>
      <c r="E8" s="160">
        <v>1.19</v>
      </c>
      <c r="H8" s="160" t="s">
        <v>439</v>
      </c>
      <c r="I8" s="160" t="s">
        <v>440</v>
      </c>
    </row>
    <row r="9" spans="1:9" x14ac:dyDescent="0.3">
      <c r="A9" s="160">
        <v>7</v>
      </c>
      <c r="B9" s="160" t="s">
        <v>441</v>
      </c>
      <c r="C9" s="163" t="s">
        <v>442</v>
      </c>
      <c r="D9" s="163"/>
      <c r="E9" s="160">
        <v>1.19</v>
      </c>
    </row>
    <row r="10" spans="1:9" x14ac:dyDescent="0.3">
      <c r="A10" s="160">
        <v>8</v>
      </c>
      <c r="B10" s="160" t="s">
        <v>443</v>
      </c>
      <c r="C10" s="163" t="s">
        <v>444</v>
      </c>
      <c r="D10" s="163"/>
      <c r="E10" s="160">
        <v>1.19</v>
      </c>
      <c r="H10" s="160" t="s">
        <v>445</v>
      </c>
    </row>
    <row r="11" spans="1:9" x14ac:dyDescent="0.3">
      <c r="A11" s="160">
        <v>9</v>
      </c>
      <c r="B11" s="160" t="s">
        <v>446</v>
      </c>
      <c r="C11" s="160" t="s">
        <v>442</v>
      </c>
      <c r="E11" s="160">
        <v>1.19</v>
      </c>
      <c r="H11" s="160" t="s">
        <v>447</v>
      </c>
      <c r="I11" s="160" t="s">
        <v>448</v>
      </c>
    </row>
    <row r="12" spans="1:9" x14ac:dyDescent="0.3">
      <c r="A12" s="160">
        <v>10</v>
      </c>
      <c r="B12" s="161" t="s">
        <v>449</v>
      </c>
      <c r="C12" s="161" t="s">
        <v>450</v>
      </c>
      <c r="E12" s="160">
        <v>1.19</v>
      </c>
      <c r="H12" s="160" t="s">
        <v>451</v>
      </c>
      <c r="I12" s="160">
        <v>5.0000000000000001E-3</v>
      </c>
    </row>
    <row r="13" spans="1:9" x14ac:dyDescent="0.3">
      <c r="A13" s="160">
        <v>11</v>
      </c>
      <c r="B13" s="160" t="s">
        <v>452</v>
      </c>
      <c r="C13" s="163" t="s">
        <v>453</v>
      </c>
      <c r="E13" s="160">
        <v>1.19</v>
      </c>
      <c r="H13" s="160" t="s">
        <v>454</v>
      </c>
      <c r="I13" s="160">
        <v>0.01</v>
      </c>
    </row>
    <row r="14" spans="1:9" x14ac:dyDescent="0.3">
      <c r="A14" s="160">
        <v>12</v>
      </c>
      <c r="B14" s="160" t="s">
        <v>455</v>
      </c>
      <c r="C14" s="163" t="s">
        <v>434</v>
      </c>
      <c r="E14" s="160">
        <v>1.19</v>
      </c>
      <c r="H14" s="160" t="s">
        <v>456</v>
      </c>
      <c r="I14" s="160">
        <v>2.5000000000000001E-2</v>
      </c>
    </row>
    <row r="15" spans="1:9" x14ac:dyDescent="0.3">
      <c r="A15" s="160">
        <v>13</v>
      </c>
      <c r="B15" s="160" t="s">
        <v>457</v>
      </c>
      <c r="C15" s="163" t="s">
        <v>458</v>
      </c>
      <c r="E15" s="160">
        <v>1.19</v>
      </c>
    </row>
    <row r="16" spans="1:9" x14ac:dyDescent="0.3">
      <c r="A16" s="160">
        <v>14</v>
      </c>
      <c r="B16" s="160" t="s">
        <v>459</v>
      </c>
      <c r="C16" s="163" t="s">
        <v>444</v>
      </c>
      <c r="E16" s="160">
        <v>1.19</v>
      </c>
    </row>
    <row r="17" spans="1:9" x14ac:dyDescent="0.3">
      <c r="A17" s="160">
        <v>15</v>
      </c>
      <c r="B17" s="160" t="s">
        <v>460</v>
      </c>
      <c r="C17" s="163" t="s">
        <v>450</v>
      </c>
      <c r="E17" s="160">
        <v>1.19</v>
      </c>
      <c r="H17" s="160" t="s">
        <v>461</v>
      </c>
    </row>
    <row r="18" spans="1:9" x14ac:dyDescent="0.3">
      <c r="A18" s="160">
        <v>16</v>
      </c>
      <c r="B18" s="160" t="s">
        <v>462</v>
      </c>
      <c r="C18" s="160" t="s">
        <v>442</v>
      </c>
      <c r="E18" s="160">
        <v>1.19</v>
      </c>
      <c r="H18" s="160" t="s">
        <v>463</v>
      </c>
      <c r="I18" s="160" t="s">
        <v>464</v>
      </c>
    </row>
    <row r="19" spans="1:9" x14ac:dyDescent="0.3">
      <c r="A19" s="160">
        <v>17</v>
      </c>
      <c r="B19" s="160" t="s">
        <v>465</v>
      </c>
      <c r="C19" s="160" t="s">
        <v>466</v>
      </c>
      <c r="E19" s="160">
        <v>1.19</v>
      </c>
    </row>
    <row r="20" spans="1:9" x14ac:dyDescent="0.3">
      <c r="A20" s="160">
        <v>18</v>
      </c>
      <c r="B20" s="160" t="s">
        <v>467</v>
      </c>
      <c r="C20" s="160" t="s">
        <v>444</v>
      </c>
      <c r="E20" s="160">
        <v>1.19</v>
      </c>
    </row>
    <row r="21" spans="1:9" x14ac:dyDescent="0.3">
      <c r="A21" s="160">
        <v>19</v>
      </c>
      <c r="B21" s="160" t="s">
        <v>468</v>
      </c>
      <c r="C21" s="160" t="s">
        <v>469</v>
      </c>
      <c r="E21" s="160">
        <v>1.19</v>
      </c>
    </row>
    <row r="22" spans="1:9" x14ac:dyDescent="0.3">
      <c r="A22" s="160">
        <v>20</v>
      </c>
      <c r="B22" s="160" t="s">
        <v>470</v>
      </c>
      <c r="C22" s="160" t="s">
        <v>430</v>
      </c>
      <c r="E22" s="160">
        <v>1.19</v>
      </c>
    </row>
    <row r="23" spans="1:9" x14ac:dyDescent="0.3">
      <c r="A23" s="160">
        <v>21</v>
      </c>
      <c r="B23" s="160" t="s">
        <v>471</v>
      </c>
      <c r="C23" s="160" t="s">
        <v>472</v>
      </c>
      <c r="E23" s="160">
        <v>1.19</v>
      </c>
    </row>
    <row r="24" spans="1:9" x14ac:dyDescent="0.3">
      <c r="A24" s="160">
        <v>22</v>
      </c>
      <c r="B24" s="160" t="s">
        <v>473</v>
      </c>
      <c r="C24" s="160" t="s">
        <v>474</v>
      </c>
      <c r="E24" s="160">
        <v>1.19</v>
      </c>
    </row>
    <row r="25" spans="1:9" x14ac:dyDescent="0.3">
      <c r="A25" s="160">
        <v>23</v>
      </c>
      <c r="B25" s="160" t="s">
        <v>475</v>
      </c>
      <c r="C25" s="160" t="s">
        <v>442</v>
      </c>
      <c r="E25" s="160">
        <v>1.19</v>
      </c>
    </row>
    <row r="26" spans="1:9" x14ac:dyDescent="0.3">
      <c r="A26" s="160">
        <v>24</v>
      </c>
      <c r="B26" s="160" t="s">
        <v>476</v>
      </c>
      <c r="C26" s="160" t="s">
        <v>442</v>
      </c>
      <c r="E26" s="160">
        <v>1.19</v>
      </c>
    </row>
    <row r="27" spans="1:9" x14ac:dyDescent="0.3">
      <c r="A27" s="160">
        <v>25</v>
      </c>
      <c r="B27" s="160" t="s">
        <v>477</v>
      </c>
      <c r="C27" s="160" t="s">
        <v>434</v>
      </c>
      <c r="E27" s="160">
        <v>1.19</v>
      </c>
    </row>
    <row r="28" spans="1:9" x14ac:dyDescent="0.3">
      <c r="A28" s="160">
        <v>26</v>
      </c>
      <c r="B28" s="160" t="s">
        <v>478</v>
      </c>
      <c r="C28" s="160" t="s">
        <v>479</v>
      </c>
      <c r="E28" s="160">
        <v>1.19</v>
      </c>
    </row>
    <row r="29" spans="1:9" x14ac:dyDescent="0.3">
      <c r="A29" s="160">
        <v>27</v>
      </c>
      <c r="B29" s="160" t="s">
        <v>480</v>
      </c>
      <c r="C29" s="160" t="s">
        <v>444</v>
      </c>
      <c r="E29" s="160">
        <v>1.19</v>
      </c>
    </row>
    <row r="30" spans="1:9" x14ac:dyDescent="0.3">
      <c r="A30" s="160">
        <v>28</v>
      </c>
      <c r="B30" s="160" t="s">
        <v>481</v>
      </c>
      <c r="C30" s="160" t="s">
        <v>482</v>
      </c>
      <c r="E30" s="160">
        <v>1.19</v>
      </c>
    </row>
    <row r="31" spans="1:9" x14ac:dyDescent="0.3">
      <c r="A31" s="160">
        <v>29</v>
      </c>
      <c r="B31" s="160" t="s">
        <v>483</v>
      </c>
      <c r="C31" s="160" t="s">
        <v>444</v>
      </c>
      <c r="E31" s="160">
        <v>1.19</v>
      </c>
    </row>
    <row r="32" spans="1:9" x14ac:dyDescent="0.3">
      <c r="A32" s="160">
        <v>30</v>
      </c>
      <c r="B32" s="160" t="s">
        <v>484</v>
      </c>
      <c r="C32" s="160" t="s">
        <v>466</v>
      </c>
      <c r="E32" s="160">
        <v>1.19</v>
      </c>
    </row>
    <row r="33" spans="1:6" x14ac:dyDescent="0.3">
      <c r="A33" s="160">
        <v>31</v>
      </c>
      <c r="B33" s="160" t="s">
        <v>485</v>
      </c>
      <c r="C33" s="160" t="s">
        <v>486</v>
      </c>
      <c r="E33" s="160">
        <v>1.19</v>
      </c>
    </row>
    <row r="34" spans="1:6" x14ac:dyDescent="0.3">
      <c r="A34" s="160">
        <v>32</v>
      </c>
      <c r="B34" s="160" t="s">
        <v>487</v>
      </c>
      <c r="C34" s="160" t="s">
        <v>488</v>
      </c>
      <c r="E34" s="160">
        <v>1.19</v>
      </c>
    </row>
    <row r="35" spans="1:6" x14ac:dyDescent="0.3">
      <c r="A35" s="160">
        <v>33</v>
      </c>
      <c r="B35" s="160" t="s">
        <v>489</v>
      </c>
      <c r="C35" s="160" t="s">
        <v>430</v>
      </c>
      <c r="E35" s="160">
        <v>1.19</v>
      </c>
    </row>
    <row r="36" spans="1:6" x14ac:dyDescent="0.3">
      <c r="A36" s="160">
        <v>34</v>
      </c>
      <c r="B36" s="160" t="s">
        <v>490</v>
      </c>
      <c r="C36" s="160" t="s">
        <v>450</v>
      </c>
      <c r="E36" s="160">
        <v>1.19</v>
      </c>
    </row>
    <row r="37" spans="1:6" x14ac:dyDescent="0.3">
      <c r="A37" s="160">
        <v>35</v>
      </c>
      <c r="B37" s="160" t="s">
        <v>491</v>
      </c>
      <c r="C37" s="160" t="s">
        <v>442</v>
      </c>
      <c r="E37" s="160">
        <v>1.19</v>
      </c>
    </row>
    <row r="38" spans="1:6" x14ac:dyDescent="0.3">
      <c r="A38" s="160">
        <v>36</v>
      </c>
      <c r="B38" s="160" t="s">
        <v>492</v>
      </c>
      <c r="C38" s="160" t="s">
        <v>493</v>
      </c>
      <c r="E38" s="160">
        <v>1.19</v>
      </c>
    </row>
    <row r="39" spans="1:6" x14ac:dyDescent="0.3">
      <c r="A39" s="160">
        <v>37</v>
      </c>
      <c r="B39" s="160" t="s">
        <v>494</v>
      </c>
      <c r="C39" s="160" t="s">
        <v>495</v>
      </c>
      <c r="E39" s="160">
        <v>1.19</v>
      </c>
    </row>
    <row r="40" spans="1:6" x14ac:dyDescent="0.3">
      <c r="A40" s="160">
        <v>38</v>
      </c>
      <c r="B40" s="160" t="s">
        <v>496</v>
      </c>
      <c r="C40" s="160" t="s">
        <v>497</v>
      </c>
      <c r="E40" s="160">
        <v>1.19</v>
      </c>
    </row>
    <row r="41" spans="1:6" x14ac:dyDescent="0.3">
      <c r="A41" s="160">
        <v>39</v>
      </c>
      <c r="B41" s="160" t="s">
        <v>498</v>
      </c>
      <c r="C41" s="160" t="s">
        <v>499</v>
      </c>
      <c r="E41" s="160">
        <v>1.19</v>
      </c>
    </row>
    <row r="42" spans="1:6" x14ac:dyDescent="0.3">
      <c r="A42" s="160">
        <v>40</v>
      </c>
      <c r="B42" s="160" t="s">
        <v>500</v>
      </c>
      <c r="C42" s="160" t="s">
        <v>501</v>
      </c>
      <c r="E42" s="160">
        <v>1.19</v>
      </c>
    </row>
    <row r="43" spans="1:6" x14ac:dyDescent="0.3">
      <c r="A43" s="160">
        <v>41</v>
      </c>
      <c r="B43" s="160" t="s">
        <v>502</v>
      </c>
      <c r="C43" s="160" t="s">
        <v>503</v>
      </c>
      <c r="E43" s="160">
        <v>1.19</v>
      </c>
    </row>
    <row r="44" spans="1:6" x14ac:dyDescent="0.3">
      <c r="A44" s="160">
        <v>42</v>
      </c>
      <c r="B44" s="160" t="s">
        <v>504</v>
      </c>
      <c r="C44" s="160" t="s">
        <v>505</v>
      </c>
      <c r="E44" s="160">
        <v>1.19</v>
      </c>
    </row>
    <row r="45" spans="1:6" x14ac:dyDescent="0.3">
      <c r="A45" s="160">
        <v>43</v>
      </c>
      <c r="B45" s="160" t="s">
        <v>506</v>
      </c>
      <c r="C45" s="160" t="s">
        <v>507</v>
      </c>
      <c r="E45" s="160">
        <v>1.19</v>
      </c>
    </row>
    <row r="46" spans="1:6" x14ac:dyDescent="0.3">
      <c r="A46" s="160">
        <v>44</v>
      </c>
      <c r="B46" s="160" t="s">
        <v>508</v>
      </c>
      <c r="C46" s="160" t="s">
        <v>509</v>
      </c>
      <c r="E46" s="160">
        <v>1.19</v>
      </c>
    </row>
    <row r="47" spans="1:6" x14ac:dyDescent="0.3">
      <c r="A47" s="160">
        <v>45</v>
      </c>
      <c r="B47" s="160" t="s">
        <v>510</v>
      </c>
      <c r="C47" s="160" t="s">
        <v>511</v>
      </c>
      <c r="D47" s="160" t="s">
        <v>512</v>
      </c>
      <c r="E47" s="160">
        <v>1</v>
      </c>
      <c r="F47" s="160" t="s">
        <v>513</v>
      </c>
    </row>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76" width="0" style="160" hidden="1" customWidth="1"/>
    <col min="77" max="16384" width="8.6640625" style="160"/>
  </cols>
  <sheetData>
    <row r="1" spans="1:15" x14ac:dyDescent="0.3">
      <c r="A1" s="160" t="s">
        <v>171</v>
      </c>
      <c r="B1" s="158" t="e">
        <f>((E1*POWER(1+(E2/12),E3)*(E2/12)))/(POWER(1+(E2/12),E3)-1)</f>
        <v>#VALUE!</v>
      </c>
      <c r="C1" s="159" t="e">
        <f>PMT(E2/12,E3,-E1)</f>
        <v>#VALUE!</v>
      </c>
      <c r="D1" s="159" t="s">
        <v>172</v>
      </c>
      <c r="E1" s="160" t="e">
        <f>'Платоспроможність боржника'!C135</f>
        <v>#VALUE!</v>
      </c>
      <c r="H1" s="160" t="s">
        <v>173</v>
      </c>
      <c r="J1" s="160">
        <f ca="1">TODAY()</f>
        <v>46181</v>
      </c>
      <c r="O1" s="160" t="s">
        <v>174</v>
      </c>
    </row>
    <row r="2" spans="1:15" x14ac:dyDescent="0.3">
      <c r="A2" s="160" t="s">
        <v>175</v>
      </c>
      <c r="B2" s="161" t="e">
        <f>E1*(E2/12)</f>
        <v>#VALUE!</v>
      </c>
      <c r="C2" s="162" t="e">
        <f>IPMT(E2/12,1,E3,-(E1))</f>
        <v>#VALUE!</v>
      </c>
      <c r="D2" s="162" t="s">
        <v>176</v>
      </c>
      <c r="E2" s="160" t="str">
        <f>'Платоспроможність боржника'!H6</f>
        <v/>
      </c>
      <c r="F2" s="160" t="s">
        <v>177</v>
      </c>
      <c r="G2" s="160" t="s">
        <v>178</v>
      </c>
      <c r="H2" s="160" t="s">
        <v>179</v>
      </c>
    </row>
    <row r="3" spans="1:15" x14ac:dyDescent="0.3">
      <c r="A3" s="160" t="s">
        <v>180</v>
      </c>
      <c r="B3" s="160" t="e">
        <f>B1-B2</f>
        <v>#VALUE!</v>
      </c>
      <c r="C3" s="163" t="e">
        <f>PPMT(E2/12,1,E3,-E1)</f>
        <v>#VALUE!</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3">
      <c r="A4" s="160" t="s">
        <v>189</v>
      </c>
      <c r="C4" s="163">
        <f ca="1">TODAY()</f>
        <v>46181</v>
      </c>
      <c r="D4" s="163" t="s">
        <v>190</v>
      </c>
      <c r="E4" s="160" t="e">
        <f>'Платоспроможність боржника'!H4/100*E1</f>
        <v>#VALUE!</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t="e">
        <f>E1</f>
        <v>#VALUE!</v>
      </c>
    </row>
    <row r="5" spans="1:15" x14ac:dyDescent="0.3">
      <c r="A5" s="160" t="s">
        <v>193</v>
      </c>
      <c r="B5" s="160">
        <v>1</v>
      </c>
      <c r="C5" s="163">
        <v>1</v>
      </c>
      <c r="D5" s="163" t="s">
        <v>194</v>
      </c>
      <c r="E5" s="160" t="s">
        <v>195</v>
      </c>
      <c r="F5" s="160" t="str">
        <f ca="1">IF(G5="Всього:","",IF(AND(G5&gt;$B$9,G5&lt;=$B$10),$C$16,IF(AND(G5&gt;$B$9,G5&lt;=$B$11),$D$16,IF(AND(G5&gt;$B$10,G5&lt;=$B$14),$E$16,$B$16))))</f>
        <v/>
      </c>
      <c r="G5" s="160">
        <f ca="1">IF(AND(DAY(C4)&lt;=15,$B$7&gt;DAY(C4)),DATE(YEAR(C4),MONTH(C4),IF($B$7&lt;&gt;"",DAY(IF($B$7&gt;DAY(EOMONTH(C4,0)),EOMONTH(C4,0),$B$7)),DAY(1))),DATE(YEAR(C4),MONTH(C4)+1,IF($B$7&lt;&gt;"",DAY(IF($B$7&gt;DAY(EOMONTH(C4,1)),EOMONTH(C4,1),$B$7)),DAY(1))))</f>
        <v>46204</v>
      </c>
      <c r="H5" s="160">
        <f ca="1">IF(H4&gt;$E$8,"",H4+1)</f>
        <v>1</v>
      </c>
      <c r="I5" s="160">
        <f ca="1">IF($G5="Всього:",SUM($I$4:I4),IF(AND(DAY($C$4)&gt;=15,H5=1),K5+L5,$C$32))</f>
        <v>3804</v>
      </c>
      <c r="J5" s="160" t="e">
        <f ca="1">IF($G5="Всього:",SUM($J$4:J4),IF(DAY(C4)&gt;15,0,IF(I5-SUM(K5:L5)&lt;0,0,I5-SUM(K5:L5))))</f>
        <v>#VALUE!</v>
      </c>
      <c r="K5" s="160" t="e">
        <f ca="1">$E$1*F5*(G5-$C$4)/36000</f>
        <v>#VALUE!</v>
      </c>
      <c r="L5" s="160" t="e">
        <f>$E$4</f>
        <v>#VALUE!</v>
      </c>
      <c r="M5" s="160" t="e">
        <f ca="1">IF($E$5="UAH",J5+L5+K5,J5+K5)</f>
        <v>#VALUE!</v>
      </c>
      <c r="N5" s="160" t="str">
        <f>IF($E$5="UAH","",L5)</f>
        <v/>
      </c>
      <c r="O5" s="160" t="e">
        <f t="shared" ref="O5:O68" ca="1" si="0">O4-J5</f>
        <v>#VALUE!</v>
      </c>
    </row>
    <row r="6" spans="1:15" x14ac:dyDescent="0.3">
      <c r="A6" s="160" t="s">
        <v>196</v>
      </c>
      <c r="C6" s="163" t="e">
        <f>IF(E5="EUR",C1*E7,IF(E5="USD",C1*E6,C1))</f>
        <v>#VALUE!</v>
      </c>
      <c r="D6" s="163"/>
      <c r="F6" s="160" t="str">
        <f t="shared" ref="F6:F69" ca="1" si="1">IF(G6="Всього:","",IF(AND(G6&gt;$B$9,G6&lt;=$B$10),$C$16,IF(AND(G6&gt;$B$9,G6&lt;=$B$11),$D$16,IF(AND(G6&gt;$B$10,G6&lt;=$B$14),$E$16,$B$16))))</f>
        <v/>
      </c>
      <c r="G6" s="160">
        <f ca="1">IF(H5=$E$8,"Всього:",IF($E$3+1=H6,$B$14,DATE(YEAR(G5),MONTH(G5)+1,IF($B$7&lt;&gt;"",DAY(IF($B$7&gt;DAY(EOMONTH(G5,1)),EOMONTH(G5,1),$B$7)),DAY(1)))))</f>
        <v>46235</v>
      </c>
      <c r="H6" s="160">
        <f t="shared" ref="H6:H69" ca="1" si="2">IF(H5&gt;$E$8,"",H5+1)</f>
        <v>2</v>
      </c>
      <c r="I6" s="160">
        <f ca="1">IF($G6="Всього:",SUM($I$4:I5),IF(AND(DAY($C$4)&gt;=15,H6=1),K6+L6,$C$32))</f>
        <v>3804</v>
      </c>
      <c r="J6" s="160" t="e">
        <f ca="1">IF($G6="Всього:",SUM($J$4:J5),IF(I6-SUM(K6:L6)&lt;0,0,I6-SUM(K6:L6)))</f>
        <v>#VALUE!</v>
      </c>
      <c r="K6" s="160" t="e">
        <f ca="1">IF(G6="Всього:",SUM($K$5:K5),IF(F6&lt;&gt;F5,(F6*O5/36000*(G6-CONCATENATE(DAY($C$4),".",MONTH(G5),".",YEAR(G5)))+(F5*O5/36000*(CONCATENATE(DAY($C$4),".",MONTH(G5),".",YEAR(G5))-G5))),F6*O5/36000*(G6-G5)))</f>
        <v>#VALUE!</v>
      </c>
      <c r="L6" s="160" t="e">
        <f ca="1">IF(G6="Всього:",SUM($L$5:L5),$E$4)</f>
        <v>#VALUE!</v>
      </c>
      <c r="M6" s="160" t="e">
        <f ca="1">IF(G6="Всього:",SUM($M$5:M5),IF($E$5="UAH",J6+L6+K6,J6+K6))</f>
        <v>#VALUE!</v>
      </c>
      <c r="N6" s="160" t="str">
        <f ca="1">IF(G6="Всього:",SUM($N$4:N5),IF($E$5="UAH","",L6))</f>
        <v/>
      </c>
      <c r="O6" s="160" t="e">
        <f t="shared" ca="1" si="0"/>
        <v>#VALUE!</v>
      </c>
    </row>
    <row r="7" spans="1:15" x14ac:dyDescent="0.3">
      <c r="A7" s="160" t="s">
        <v>197</v>
      </c>
      <c r="B7" s="160">
        <v>1</v>
      </c>
      <c r="C7" s="163"/>
      <c r="D7" s="163"/>
      <c r="F7" s="160" t="str">
        <f t="shared" ca="1" si="1"/>
        <v/>
      </c>
      <c r="G7" s="160">
        <f t="shared" ref="G7:G70" ca="1" si="3">IF(H6=$E$8,"Всього:",IF($E$3+1=H7,$B$14,DATE(YEAR(G6),MONTH(G6)+1,IF($B$7&lt;&gt;"",DAY(IF($B$7&gt;DAY(EOMONTH(G6,1)),EOMONTH(G6,1),$B$7)),DAY(1)))))</f>
        <v>46266</v>
      </c>
      <c r="H7" s="160">
        <f t="shared" ca="1" si="2"/>
        <v>3</v>
      </c>
      <c r="I7" s="160">
        <f ca="1">IF($G7="Всього:",SUM($I$4:I6),IF(AND(DAY($C$4)&gt;=15,H7=1),K7+L7,$C$32))</f>
        <v>3804</v>
      </c>
      <c r="J7" s="160" t="e">
        <f ca="1">IF($G7="Всього:",SUM($J$4:J6),IF(I7-SUM(K7:L7)&lt;0,0,I7-SUM(K7:L7)))</f>
        <v>#VALUE!</v>
      </c>
      <c r="K7" s="160" t="e">
        <f ca="1">IF(G7="Всього:",SUM($K$5:K6),IF(F7&lt;&gt;F6,(F7*O6/36000*(G7-CONCATENATE(DAY($C$4),".",MONTH(G6),".",YEAR(G6)))+(F6*O6/36000*(CONCATENATE(DAY($C$4),".",MONTH(G6),".",YEAR(G6))-G6))),F7*O6/36000*(G7-G6)))</f>
        <v>#VALUE!</v>
      </c>
      <c r="L7" s="160" t="e">
        <f ca="1">IF(G7="Всього:",SUM($L$5:L6),$E$4)</f>
        <v>#VALUE!</v>
      </c>
      <c r="M7" s="160" t="e">
        <f ca="1">IF(G7="Всього:",SUM($M$5:M6),IF($E$5="UAH",J7+L7+K7,J7+K7))</f>
        <v>#VALUE!</v>
      </c>
      <c r="N7" s="160" t="str">
        <f ca="1">IF(G7="Всього:",SUM($N$4:N6),IF($E$5="UAH","",L7))</f>
        <v/>
      </c>
      <c r="O7" s="160" t="e">
        <f t="shared" ca="1" si="0"/>
        <v>#VALUE!</v>
      </c>
    </row>
    <row r="8" spans="1:15" x14ac:dyDescent="0.3">
      <c r="A8" s="160" t="s">
        <v>198</v>
      </c>
      <c r="B8" s="160">
        <f ca="1">C4</f>
        <v>46181</v>
      </c>
      <c r="C8" s="163"/>
      <c r="D8" s="163" t="s">
        <v>199</v>
      </c>
      <c r="E8" s="160">
        <f ca="1">IF(DAY(C4)&gt;=15,E3+1,E3+1)</f>
        <v>61</v>
      </c>
      <c r="F8" s="160" t="str">
        <f t="shared" ca="1" si="1"/>
        <v/>
      </c>
      <c r="G8" s="160">
        <f t="shared" ca="1" si="3"/>
        <v>46296</v>
      </c>
      <c r="H8" s="160">
        <f t="shared" ca="1" si="2"/>
        <v>4</v>
      </c>
      <c r="I8" s="160">
        <f ca="1">IF($G8="Всього:",SUM($I$4:I7),IF(AND(DAY($C$4)&gt;=15,H8=1),K8+L8,$C$32))</f>
        <v>3804</v>
      </c>
      <c r="J8" s="160" t="e">
        <f ca="1">IF($G8="Всього:",SUM($J$4:J7),IF(I8-SUM(K8:L8)&lt;0,0,I8-SUM(K8:L8)))</f>
        <v>#VALUE!</v>
      </c>
      <c r="K8" s="160" t="e">
        <f ca="1">IF(G8="Всього:",SUM($K$5:K7),IF(F8&lt;&gt;F7,(F8*O7/36000*(G8-CONCATENATE(DAY($C$4),".",MONTH(G7),".",YEAR(G7)))+(F7*O7/36000*(CONCATENATE(DAY($C$4),".",MONTH(G7),".",YEAR(G7))-G7))),F8*O7/36000*(G8-G7)))</f>
        <v>#VALUE!</v>
      </c>
      <c r="L8" s="160" t="e">
        <f ca="1">IF(G8="Всього:",SUM($L$5:L7),$E$4)</f>
        <v>#VALUE!</v>
      </c>
      <c r="M8" s="160" t="e">
        <f ca="1">IF(G8="Всього:",SUM($M$5:M7),IF($E$5="UAH",J8+L8+K8,J8+K8))</f>
        <v>#VALUE!</v>
      </c>
      <c r="N8" s="160" t="str">
        <f ca="1">IF(G8="Всього:",SUM($N$4:N7),IF($E$5="UAH","",L8))</f>
        <v/>
      </c>
      <c r="O8" s="160" t="e">
        <f t="shared" ca="1" si="0"/>
        <v>#VALUE!</v>
      </c>
    </row>
    <row r="9" spans="1:15" x14ac:dyDescent="0.3">
      <c r="A9" s="160" t="s">
        <v>200</v>
      </c>
      <c r="B9" s="160">
        <f ca="1">IF('Платоспроможність боржника'!H7="",B14,EDATE($C$4,'Платоспроможність боржника'!$H$7))</f>
        <v>48006</v>
      </c>
      <c r="C9" s="163"/>
      <c r="D9" s="163"/>
      <c r="F9" s="160" t="str">
        <f t="shared" ca="1" si="1"/>
        <v/>
      </c>
      <c r="G9" s="160">
        <f t="shared" ca="1" si="3"/>
        <v>46327</v>
      </c>
      <c r="H9" s="160">
        <f t="shared" ca="1" si="2"/>
        <v>5</v>
      </c>
      <c r="I9" s="160">
        <f ca="1">IF($G9="Всього:",SUM($I$4:I8),IF(AND(DAY($C$4)&gt;=15,H9=1),K9+L9,$C$32))</f>
        <v>3804</v>
      </c>
      <c r="J9" s="160" t="e">
        <f ca="1">IF($G9="Всього:",SUM($J$4:J8),IF(I9-SUM(K9:L9)&lt;0,0,I9-SUM(K9:L9)))</f>
        <v>#VALUE!</v>
      </c>
      <c r="K9" s="160" t="e">
        <f ca="1">IF(G9="Всього:",SUM($K$5:K8),IF(F9&lt;&gt;F8,(F9*O8/36000*(G9-CONCATENATE(DAY($C$4),".",MONTH(G8),".",YEAR(G8)))+(F8*O8/36000*(CONCATENATE(DAY($C$4),".",MONTH(G8),".",YEAR(G8))-G8))),F9*O8/36000*(G9-G8)))</f>
        <v>#VALUE!</v>
      </c>
      <c r="L9" s="160" t="e">
        <f ca="1">IF(G9="Всього:",SUM($L$5:L8),$E$4)</f>
        <v>#VALUE!</v>
      </c>
      <c r="M9" s="160" t="e">
        <f ca="1">IF(G9="Всього:",SUM($M$5:M8),IF($E$5="UAH",J9+L9+K9,J9+K9))</f>
        <v>#VALUE!</v>
      </c>
      <c r="N9" s="160" t="str">
        <f ca="1">IF(G9="Всього:",SUM($N$4:N8),IF($E$5="UAH","",L9))</f>
        <v/>
      </c>
      <c r="O9" s="160" t="e">
        <f t="shared" ca="1" si="0"/>
        <v>#VALUE!</v>
      </c>
    </row>
    <row r="10" spans="1:15" x14ac:dyDescent="0.3">
      <c r="A10" s="160" t="s">
        <v>201</v>
      </c>
      <c r="B10" s="160">
        <f ca="1">IF('Платоспроможність боржника'!I7="",B14,EDATE($C$4,'Платоспроможність боржника'!$H$7+'Платоспроможність боржника'!$I$7))</f>
        <v>48006</v>
      </c>
      <c r="C10" s="163"/>
      <c r="D10" s="163"/>
      <c r="F10" s="160" t="str">
        <f t="shared" ca="1" si="1"/>
        <v/>
      </c>
      <c r="G10" s="160">
        <f t="shared" ca="1" si="3"/>
        <v>46357</v>
      </c>
      <c r="H10" s="160">
        <f t="shared" ca="1" si="2"/>
        <v>6</v>
      </c>
      <c r="I10" s="160">
        <f ca="1">IF($G10="Всього:",SUM($I$4:I9),IF(AND(DAY($C$4)&gt;=15,H10=1),K10+L10,$C$32))</f>
        <v>3804</v>
      </c>
      <c r="J10" s="160" t="e">
        <f ca="1">IF($G10="Всього:",SUM($J$4:J9),IF(I10-SUM(K10:L10)&lt;0,0,I10-SUM(K10:L10)))</f>
        <v>#VALUE!</v>
      </c>
      <c r="K10" s="160" t="e">
        <f ca="1">IF(G10="Всього:",SUM($K$5:K9),IF(F10&lt;&gt;F9,(F10*O9/36000*(G10-CONCATENATE(DAY($C$4),".",MONTH(G9),".",YEAR(G9)))+(F9*O9/36000*(CONCATENATE(DAY($C$4),".",MONTH(G9),".",YEAR(G9))-G9))),F10*O9/36000*(G10-G9)))</f>
        <v>#VALUE!</v>
      </c>
      <c r="L10" s="160" t="e">
        <f ca="1">IF(G10="Всього:",SUM($L$5:L9),$E$4)</f>
        <v>#VALUE!</v>
      </c>
      <c r="M10" s="160" t="e">
        <f ca="1">IF(G10="Всього:",SUM($M$5:M9),IF($E$5="UAH",J10+L10+K10,J10+K10))</f>
        <v>#VALUE!</v>
      </c>
      <c r="N10" s="160" t="str">
        <f ca="1">IF(G10="Всього:",SUM($N$4:N9),IF($E$5="UAH","",L10))</f>
        <v/>
      </c>
      <c r="O10" s="160" t="e">
        <f t="shared" ca="1" si="0"/>
        <v>#VALUE!</v>
      </c>
    </row>
    <row r="11" spans="1:15" x14ac:dyDescent="0.3">
      <c r="A11" s="160" t="s">
        <v>202</v>
      </c>
      <c r="B11" s="160">
        <f ca="1">IF('Платоспроможність боржника'!J7="",B14,EDATE($C$4,'Платоспроможність боржника'!$H$7+'Платоспроможність боржника'!$I$7+'Платоспроможність боржника'!$J$7))</f>
        <v>48006</v>
      </c>
      <c r="F11" s="160" t="str">
        <f t="shared" ca="1" si="1"/>
        <v/>
      </c>
      <c r="G11" s="160">
        <f t="shared" ca="1" si="3"/>
        <v>46388</v>
      </c>
      <c r="H11" s="160">
        <f t="shared" ca="1" si="2"/>
        <v>7</v>
      </c>
      <c r="I11" s="160">
        <f ca="1">IF($G11="Всього:",SUM($I$4:I10),IF(AND(DAY($C$4)&gt;=15,H11=1),K11+L11,$C$32))</f>
        <v>3804</v>
      </c>
      <c r="J11" s="160" t="e">
        <f ca="1">IF($G11="Всього:",SUM($J$4:J10),IF(I11-SUM(K11:L11)&lt;0,0,I11-SUM(K11:L11)))</f>
        <v>#VALUE!</v>
      </c>
      <c r="K11" s="160" t="e">
        <f ca="1">IF(G11="Всього:",SUM($K$5:K10),IF(F11&lt;&gt;F10,(F11*O10/36000*(G11-CONCATENATE(DAY($C$4),".",MONTH(G10),".",YEAR(G10)))+(F10*O10/36000*(CONCATENATE(DAY($C$4),".",MONTH(G10),".",YEAR(G10))-G10))),F11*O10/36000*(G11-G10)))</f>
        <v>#VALUE!</v>
      </c>
      <c r="L11" s="160" t="e">
        <f ca="1">IF(G11="Всього:",SUM($L$5:L10),$E$4)</f>
        <v>#VALUE!</v>
      </c>
      <c r="M11" s="160" t="e">
        <f ca="1">IF(G11="Всього:",SUM($M$5:M10),IF($E$5="UAH",J11+L11+K11,J11+K11))</f>
        <v>#VALUE!</v>
      </c>
      <c r="N11" s="160" t="str">
        <f ca="1">IF(G11="Всього:",SUM($N$4:N10),IF($E$5="UAH","",L11))</f>
        <v/>
      </c>
      <c r="O11" s="160" t="e">
        <f t="shared" ca="1" si="0"/>
        <v>#VALUE!</v>
      </c>
    </row>
    <row r="12" spans="1:15" x14ac:dyDescent="0.3">
      <c r="B12" s="161"/>
      <c r="C12" s="161"/>
      <c r="F12" s="160" t="str">
        <f t="shared" ca="1" si="1"/>
        <v/>
      </c>
      <c r="G12" s="160">
        <f t="shared" ca="1" si="3"/>
        <v>46419</v>
      </c>
      <c r="H12" s="160">
        <f t="shared" ca="1" si="2"/>
        <v>8</v>
      </c>
      <c r="I12" s="160">
        <f ca="1">IF($G12="Всього:",SUM($I$4:I11),IF(AND(DAY($C$4)&gt;=15,H12=1),K12+L12,$C$32))</f>
        <v>3804</v>
      </c>
      <c r="J12" s="160" t="e">
        <f ca="1">IF($G12="Всього:",SUM($J$4:J11),IF(I12-SUM(K12:L12)&lt;0,0,I12-SUM(K12:L12)))</f>
        <v>#VALUE!</v>
      </c>
      <c r="K12" s="160" t="e">
        <f ca="1">IF(G12="Всього:",SUM($K$5:K11),IF(F12&lt;&gt;F11,(F12*O11/36000*(G12-CONCATENATE(DAY($C$4),".",MONTH(G11),".",YEAR(G11)))+(F11*O11/36000*(CONCATENATE(DAY($C$4),".",MONTH(G11),".",YEAR(G11))-G11))),F12*O11/36000*(G12-G11)))</f>
        <v>#VALUE!</v>
      </c>
      <c r="L12" s="160" t="e">
        <f ca="1">IF(G12="Всього:",SUM($L$5:L11),$E$4)</f>
        <v>#VALUE!</v>
      </c>
      <c r="M12" s="160" t="e">
        <f ca="1">IF(G12="Всього:",SUM($M$5:M11),IF($E$5="UAH",J12+L12+K12,J12+K12))</f>
        <v>#VALUE!</v>
      </c>
      <c r="N12" s="160" t="str">
        <f ca="1">IF(G12="Всього:",SUM($N$4:N11),IF($E$5="UAH","",L12))</f>
        <v/>
      </c>
      <c r="O12" s="160" t="e">
        <f t="shared" ca="1" si="0"/>
        <v>#VALUE!</v>
      </c>
    </row>
    <row r="13" spans="1:15" x14ac:dyDescent="0.3">
      <c r="C13" s="163"/>
      <c r="F13" s="160" t="str">
        <f t="shared" ca="1" si="1"/>
        <v/>
      </c>
      <c r="G13" s="160">
        <f t="shared" ca="1" si="3"/>
        <v>46447</v>
      </c>
      <c r="H13" s="160">
        <f t="shared" ca="1" si="2"/>
        <v>9</v>
      </c>
      <c r="I13" s="160">
        <f ca="1">IF($G13="Всього:",SUM($I$4:I12),IF(AND(DAY($C$4)&gt;=15,H13=1),K13+L13,$C$32))</f>
        <v>3804</v>
      </c>
      <c r="J13" s="160" t="e">
        <f ca="1">IF($G13="Всього:",SUM($J$4:J12),IF(I13-SUM(K13:L13)&lt;0,0,I13-SUM(K13:L13)))</f>
        <v>#VALUE!</v>
      </c>
      <c r="K13" s="160" t="e">
        <f ca="1">IF(G13="Всього:",SUM($K$5:K12),IF(F13&lt;&gt;F12,(F13*O12/36000*(G13-CONCATENATE(DAY($C$4),".",MONTH(G12),".",YEAR(G12)))+(F12*O12/36000*(CONCATENATE(DAY($C$4),".",MONTH(G12),".",YEAR(G12))-G12))),F13*O12/36000*(G13-G12)))</f>
        <v>#VALUE!</v>
      </c>
      <c r="L13" s="160" t="e">
        <f ca="1">IF(G13="Всього:",SUM($L$5:L12),$E$4)</f>
        <v>#VALUE!</v>
      </c>
      <c r="M13" s="160" t="e">
        <f ca="1">IF(G13="Всього:",SUM($M$5:M12),IF($E$5="UAH",J13+L13+K13,J13+K13))</f>
        <v>#VALUE!</v>
      </c>
      <c r="N13" s="160" t="str">
        <f ca="1">IF(G13="Всього:",SUM($N$4:N12),IF($E$5="UAH","",L13))</f>
        <v/>
      </c>
      <c r="O13" s="160" t="e">
        <f t="shared" ca="1" si="0"/>
        <v>#VALUE!</v>
      </c>
    </row>
    <row r="14" spans="1:15" x14ac:dyDescent="0.3">
      <c r="A14" s="160" t="s">
        <v>203</v>
      </c>
      <c r="B14" s="160">
        <f ca="1">EDATE($C$4,$E$3)-1</f>
        <v>48006</v>
      </c>
      <c r="C14" s="163"/>
      <c r="F14" s="160" t="str">
        <f t="shared" ca="1" si="1"/>
        <v/>
      </c>
      <c r="G14" s="160">
        <f t="shared" ca="1" si="3"/>
        <v>46478</v>
      </c>
      <c r="H14" s="160">
        <f t="shared" ca="1" si="2"/>
        <v>10</v>
      </c>
      <c r="I14" s="160">
        <f ca="1">IF($G14="Всього:",SUM($I$4:I13),IF(AND(DAY($C$4)&gt;=15,H14=1),K14+L14,$C$32))</f>
        <v>3804</v>
      </c>
      <c r="J14" s="160" t="e">
        <f ca="1">IF($G14="Всього:",SUM($J$4:J13),IF(I14-SUM(K14:L14)&lt;0,0,I14-SUM(K14:L14)))</f>
        <v>#VALUE!</v>
      </c>
      <c r="K14" s="160" t="e">
        <f ca="1">IF(G14="Всього:",SUM($K$5:K13),IF(F14&lt;&gt;F13,(F14*O13/36000*(G14-CONCATENATE(DAY($C$4),".",MONTH(G13),".",YEAR(G13)))+(F13*O13/36000*(CONCATENATE(DAY($C$4),".",MONTH(G13),".",YEAR(G13))-G13))),F14*O13/36000*(G14-G13)))</f>
        <v>#VALUE!</v>
      </c>
      <c r="L14" s="160" t="e">
        <f ca="1">IF(G14="Всього:",SUM($L$5:L13),$E$4)</f>
        <v>#VALUE!</v>
      </c>
      <c r="M14" s="160" t="e">
        <f ca="1">IF(G14="Всього:",SUM($M$5:M13),IF($E$5="UAH",J14+L14+K14,J14+K14))</f>
        <v>#VALUE!</v>
      </c>
      <c r="N14" s="160" t="str">
        <f ca="1">IF(G14="Всього:",SUM($N$4:N13),IF($E$5="UAH","",L14))</f>
        <v/>
      </c>
      <c r="O14" s="160" t="e">
        <f t="shared" ca="1" si="0"/>
        <v>#VALUE!</v>
      </c>
    </row>
    <row r="15" spans="1:15" x14ac:dyDescent="0.3">
      <c r="C15" s="163"/>
      <c r="F15" s="160" t="str">
        <f t="shared" ca="1" si="1"/>
        <v/>
      </c>
      <c r="G15" s="160">
        <f t="shared" ca="1" si="3"/>
        <v>46508</v>
      </c>
      <c r="H15" s="160">
        <f t="shared" ca="1" si="2"/>
        <v>11</v>
      </c>
      <c r="I15" s="160">
        <f ca="1">IF($G15="Всього:",SUM($I$4:I14),IF(AND(DAY($C$4)&gt;=15,H15=1),K15+L15,$C$32))</f>
        <v>3804</v>
      </c>
      <c r="J15" s="160" t="e">
        <f ca="1">IF($G15="Всього:",SUM($J$4:J14),IF(I15-SUM(K15:L15)&lt;0,0,I15-SUM(K15:L15)))</f>
        <v>#VALUE!</v>
      </c>
      <c r="K15" s="160" t="e">
        <f ca="1">IF(G15="Всього:",SUM($K$5:K14),IF(F15&lt;&gt;F14,(F15*O14/36000*(G15-CONCATENATE(DAY($C$4),".",MONTH(G14),".",YEAR(G14)))+(F14*O14/36000*(CONCATENATE(DAY($C$4),".",MONTH(G14),".",YEAR(G14))-G14))),F15*O14/36000*(G15-G14)))</f>
        <v>#VALUE!</v>
      </c>
      <c r="L15" s="160" t="e">
        <f ca="1">IF(G15="Всього:",SUM($L$5:L14),$E$4)</f>
        <v>#VALUE!</v>
      </c>
      <c r="M15" s="160" t="e">
        <f ca="1">IF(G15="Всього:",SUM($M$5:M14),IF($E$5="UAH",J15+L15+K15,J15+K15))</f>
        <v>#VALUE!</v>
      </c>
      <c r="N15" s="160" t="str">
        <f ca="1">IF(G15="Всього:",SUM($N$4:N14),IF($E$5="UAH","",L15))</f>
        <v/>
      </c>
      <c r="O15" s="160" t="e">
        <f t="shared" ca="1" si="0"/>
        <v>#VALUE!</v>
      </c>
    </row>
    <row r="16" spans="1:15" x14ac:dyDescent="0.3">
      <c r="A16" s="160" t="s">
        <v>10</v>
      </c>
      <c r="B16" s="160"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t="str">
        <f t="shared" ca="1" si="1"/>
        <v/>
      </c>
      <c r="G16" s="160">
        <f t="shared" ca="1" si="3"/>
        <v>46539</v>
      </c>
      <c r="H16" s="160">
        <f t="shared" ca="1" si="2"/>
        <v>12</v>
      </c>
      <c r="I16" s="160">
        <f ca="1">IF($G16="Всього:",SUM($I$4:I15),IF(AND(DAY($C$4)&gt;=15,H16=1),K16+L16,$C$32))</f>
        <v>3804</v>
      </c>
      <c r="J16" s="160" t="e">
        <f ca="1">IF($G16="Всього:",SUM($J$4:J15),IF(I16-SUM(K16:L16)&lt;0,0,I16-SUM(K16:L16)))</f>
        <v>#VALUE!</v>
      </c>
      <c r="K16" s="160" t="e">
        <f ca="1">IF(G16="Всього:",SUM($K$5:K15),IF(F16&lt;&gt;F15,(F16*O15/36000*(G16-CONCATENATE(DAY($C$4),".",MONTH(G15),".",YEAR(G15)))+(F15*O15/36000*(CONCATENATE(DAY($C$4),".",MONTH(G15),".",YEAR(G15))-G15))),F16*O15/36000*(G16-G15)))</f>
        <v>#VALUE!</v>
      </c>
      <c r="L16" s="160" t="e">
        <f ca="1">IF(G16="Всього:",SUM($L$5:L15),$E$4)</f>
        <v>#VALUE!</v>
      </c>
      <c r="M16" s="160" t="e">
        <f ca="1">IF(G16="Всього:",SUM($M$5:M15),IF($E$5="UAH",J16+L16+K16,J16+K16))</f>
        <v>#VALUE!</v>
      </c>
      <c r="N16" s="160" t="str">
        <f ca="1">IF(G16="Всього:",SUM($N$4:N15),IF($E$5="UAH","",L16))</f>
        <v/>
      </c>
      <c r="O16" s="160" t="e">
        <f t="shared" ca="1" si="0"/>
        <v>#VALUE!</v>
      </c>
    </row>
    <row r="17" spans="1:15" x14ac:dyDescent="0.3">
      <c r="C17" s="163"/>
      <c r="F17" s="160" t="str">
        <f t="shared" ca="1" si="1"/>
        <v/>
      </c>
      <c r="G17" s="160">
        <f t="shared" ca="1" si="3"/>
        <v>46569</v>
      </c>
      <c r="H17" s="160">
        <f t="shared" ca="1" si="2"/>
        <v>13</v>
      </c>
      <c r="I17" s="160">
        <f ca="1">IF($G17="Всього:",SUM($I$4:I16),IF(AND(DAY($C$4)&gt;=15,H17=1),K17+L17,$C$32))</f>
        <v>3804</v>
      </c>
      <c r="J17" s="160" t="e">
        <f ca="1">IF($G17="Всього:",SUM($J$4:J16),IF(I17-SUM(K17:L17)&lt;0,0,I17-SUM(K17:L17)))</f>
        <v>#VALUE!</v>
      </c>
      <c r="K17" s="160" t="e">
        <f ca="1">IF(G17="Всього:",SUM($K$5:K16),IF(F17&lt;&gt;F16,(F17*O16/36000*(G17-CONCATENATE(DAY($C$4),".",MONTH(G16),".",YEAR(G16)))+(F16*O16/36000*(CONCATENATE(DAY($C$4),".",MONTH(G16),".",YEAR(G16))-G16))),F17*O16/36000*(G17-G16)))</f>
        <v>#VALUE!</v>
      </c>
      <c r="L17" s="160" t="e">
        <f ca="1">IF(G17="Всього:",SUM($L$5:L16),$E$4)</f>
        <v>#VALUE!</v>
      </c>
      <c r="M17" s="160" t="e">
        <f ca="1">IF(G17="Всього:",SUM($M$5:M16),IF($E$5="UAH",J17+L17+K17,J17+K17))</f>
        <v>#VALUE!</v>
      </c>
      <c r="N17" s="160" t="str">
        <f ca="1">IF(G17="Всього:",SUM($N$4:N16),IF($E$5="UAH","",L17))</f>
        <v/>
      </c>
      <c r="O17" s="160" t="e">
        <f t="shared" ca="1" si="0"/>
        <v>#VALUE!</v>
      </c>
    </row>
    <row r="18" spans="1:15" x14ac:dyDescent="0.3">
      <c r="F18" s="160" t="str">
        <f t="shared" ca="1" si="1"/>
        <v/>
      </c>
      <c r="G18" s="160">
        <f t="shared" ca="1" si="3"/>
        <v>46600</v>
      </c>
      <c r="H18" s="160">
        <f t="shared" ca="1" si="2"/>
        <v>14</v>
      </c>
      <c r="I18" s="160">
        <f ca="1">IF($G18="Всього:",SUM($I$4:I17),IF(AND(DAY($C$4)&gt;=15,H18=1),K18+L18,$C$32))</f>
        <v>3804</v>
      </c>
      <c r="J18" s="160" t="e">
        <f ca="1">IF($G18="Всього:",SUM($J$4:J17),IF(I18-SUM(K18:L18)&lt;0,0,I18-SUM(K18:L18)))</f>
        <v>#VALUE!</v>
      </c>
      <c r="K18" s="160" t="e">
        <f ca="1">IF(G18="Всього:",SUM($K$5:K17),IF(F18&lt;&gt;F17,(F18*O17/36000*(G18-CONCATENATE(DAY($C$4),".",MONTH(G17),".",YEAR(G17)))+(F17*O17/36000*(CONCATENATE(DAY($C$4),".",MONTH(G17),".",YEAR(G17))-G17))),F18*O17/36000*(G18-G17)))</f>
        <v>#VALUE!</v>
      </c>
      <c r="L18" s="160" t="e">
        <f ca="1">IF(G18="Всього:",SUM($L$5:L17),$E$4)</f>
        <v>#VALUE!</v>
      </c>
      <c r="M18" s="160" t="e">
        <f ca="1">IF(G18="Всього:",SUM($M$5:M17),IF($E$5="UAH",J18+L18+K18,J18+K18))</f>
        <v>#VALUE!</v>
      </c>
      <c r="N18" s="160" t="str">
        <f ca="1">IF(G18="Всього:",SUM($N$4:N17),IF($E$5="UAH","",L18))</f>
        <v/>
      </c>
      <c r="O18" s="160" t="e">
        <f t="shared" ca="1" si="0"/>
        <v>#VALUE!</v>
      </c>
    </row>
    <row r="19" spans="1:15" x14ac:dyDescent="0.3">
      <c r="F19" s="160" t="str">
        <f t="shared" ca="1" si="1"/>
        <v/>
      </c>
      <c r="G19" s="160">
        <f t="shared" ca="1" si="3"/>
        <v>46631</v>
      </c>
      <c r="H19" s="160">
        <f t="shared" ca="1" si="2"/>
        <v>15</v>
      </c>
      <c r="I19" s="160">
        <f ca="1">IF($G19="Всього:",SUM($I$4:I18),IF(AND(DAY($C$4)&gt;=15,H19=1),K19+L19,$C$32))</f>
        <v>3804</v>
      </c>
      <c r="J19" s="160" t="e">
        <f ca="1">IF($G19="Всього:",SUM($J$4:J18),IF(I19-SUM(K19:L19)&lt;0,0,I19-SUM(K19:L19)))</f>
        <v>#VALUE!</v>
      </c>
      <c r="K19" s="160" t="e">
        <f ca="1">IF(G19="Всього:",SUM($K$5:K18),IF(F19&lt;&gt;F18,(F19*O18/36000*(G19-CONCATENATE(DAY($C$4),".",MONTH(G18),".",YEAR(G18)))+(F18*O18/36000*(CONCATENATE(DAY($C$4),".",MONTH(G18),".",YEAR(G18))-G18))),F19*O18/36000*(G19-G18)))</f>
        <v>#VALUE!</v>
      </c>
      <c r="L19" s="160" t="e">
        <f ca="1">IF(G19="Всього:",SUM($L$5:L18),$E$4)</f>
        <v>#VALUE!</v>
      </c>
      <c r="M19" s="160" t="e">
        <f ca="1">IF(G19="Всього:",SUM($M$5:M18),IF($E$5="UAH",J19+L19+K19,J19+K19))</f>
        <v>#VALUE!</v>
      </c>
      <c r="N19" s="160" t="str">
        <f ca="1">IF(G19="Всього:",SUM($N$4:N18),IF($E$5="UAH","",L19))</f>
        <v/>
      </c>
      <c r="O19" s="160" t="e">
        <f t="shared" ca="1" si="0"/>
        <v>#VALUE!</v>
      </c>
    </row>
    <row r="20" spans="1:15" x14ac:dyDescent="0.3">
      <c r="F20" s="160" t="str">
        <f t="shared" ca="1" si="1"/>
        <v/>
      </c>
      <c r="G20" s="160">
        <f t="shared" ca="1" si="3"/>
        <v>46661</v>
      </c>
      <c r="H20" s="160">
        <f t="shared" ca="1" si="2"/>
        <v>16</v>
      </c>
      <c r="I20" s="160">
        <f ca="1">IF($G20="Всього:",SUM($I$4:I19),IF(AND(DAY($C$4)&gt;=15,H20=1),K20+L20,$C$32))</f>
        <v>3804</v>
      </c>
      <c r="J20" s="160" t="e">
        <f ca="1">IF($G20="Всього:",SUM($J$4:J19),IF(I20-SUM(K20:L20)&lt;0,0,I20-SUM(K20:L20)))</f>
        <v>#VALUE!</v>
      </c>
      <c r="K20" s="160" t="e">
        <f ca="1">IF(G20="Всього:",SUM($K$5:K19),IF(F20&lt;&gt;F19,(F20*O19/36000*(G20-CONCATENATE(DAY($C$4),".",MONTH(G19),".",YEAR(G19)))+(F19*O19/36000*(CONCATENATE(DAY($C$4),".",MONTH(G19),".",YEAR(G19))-G19))),F20*O19/36000*(G20-G19)))</f>
        <v>#VALUE!</v>
      </c>
      <c r="L20" s="160" t="e">
        <f ca="1">IF(G20="Всього:",SUM($L$5:L19),$E$4)</f>
        <v>#VALUE!</v>
      </c>
      <c r="M20" s="160" t="e">
        <f ca="1">IF(G20="Всього:",SUM($M$5:M19),IF($E$5="UAH",J20+L20+K20,J20+K20))</f>
        <v>#VALUE!</v>
      </c>
      <c r="N20" s="160" t="str">
        <f ca="1">IF(G20="Всього:",SUM($N$4:N19),IF($E$5="UAH","",L20))</f>
        <v/>
      </c>
      <c r="O20" s="160" t="e">
        <f t="shared" ca="1" si="0"/>
        <v>#VALUE!</v>
      </c>
    </row>
    <row r="21" spans="1:15" x14ac:dyDescent="0.3">
      <c r="F21" s="160" t="str">
        <f t="shared" ca="1" si="1"/>
        <v/>
      </c>
      <c r="G21" s="160">
        <f t="shared" ca="1" si="3"/>
        <v>46692</v>
      </c>
      <c r="H21" s="160">
        <f t="shared" ca="1" si="2"/>
        <v>17</v>
      </c>
      <c r="I21" s="160">
        <f ca="1">IF($G21="Всього:",SUM($I$4:I20),IF(AND(DAY($C$4)&gt;=15,H21=1),K21+L21,$C$32))</f>
        <v>3804</v>
      </c>
      <c r="J21" s="160" t="e">
        <f ca="1">IF($G21="Всього:",SUM($J$4:J20),IF(I21-SUM(K21:L21)&lt;0,0,I21-SUM(K21:L21)))</f>
        <v>#VALUE!</v>
      </c>
      <c r="K21" s="160" t="e">
        <f ca="1">IF(G21="Всього:",SUM($K$5:K20),IF(F21&lt;&gt;F20,(F21*O20/36000*(G21-CONCATENATE(DAY($C$4),".",MONTH(G20),".",YEAR(G20)))+(F20*O20/36000*(CONCATENATE(DAY($C$4),".",MONTH(G20),".",YEAR(G20))-G20))),F21*O20/36000*(G21-G20)))</f>
        <v>#VALUE!</v>
      </c>
      <c r="L21" s="160" t="e">
        <f ca="1">IF(G21="Всього:",SUM($L$5:L20),$E$4)</f>
        <v>#VALUE!</v>
      </c>
      <c r="M21" s="160" t="e">
        <f ca="1">IF(G21="Всього:",SUM($M$5:M20),IF($E$5="UAH",J21+L21+K21,J21+K21))</f>
        <v>#VALUE!</v>
      </c>
      <c r="N21" s="160" t="str">
        <f ca="1">IF(G21="Всього:",SUM($N$4:N20),IF($E$5="UAH","",L21))</f>
        <v/>
      </c>
      <c r="O21" s="160" t="e">
        <f t="shared" ca="1" si="0"/>
        <v>#VALUE!</v>
      </c>
    </row>
    <row r="22" spans="1:15" x14ac:dyDescent="0.3">
      <c r="F22" s="160" t="str">
        <f t="shared" ca="1" si="1"/>
        <v/>
      </c>
      <c r="G22" s="160">
        <f t="shared" ca="1" si="3"/>
        <v>46722</v>
      </c>
      <c r="H22" s="160">
        <f t="shared" ca="1" si="2"/>
        <v>18</v>
      </c>
      <c r="I22" s="160">
        <f ca="1">IF($G22="Всього:",SUM($I$4:I21),IF(AND(DAY($C$4)&gt;=15,H22=1),K22+L22,$C$32))</f>
        <v>3804</v>
      </c>
      <c r="J22" s="160" t="e">
        <f ca="1">IF($G22="Всього:",SUM($J$4:J21),IF(I22-SUM(K22:L22)&lt;0,0,I22-SUM(K22:L22)))</f>
        <v>#VALUE!</v>
      </c>
      <c r="K22" s="160" t="e">
        <f ca="1">IF(G22="Всього:",SUM($K$5:K21),IF(F22&lt;&gt;F21,(F22*O21/36000*(G22-CONCATENATE(DAY($C$4),".",MONTH(G21),".",YEAR(G21)))+(F21*O21/36000*(CONCATENATE(DAY($C$4),".",MONTH(G21),".",YEAR(G21))-G21))),F22*O21/36000*(G22-G21)))</f>
        <v>#VALUE!</v>
      </c>
      <c r="L22" s="160" t="e">
        <f ca="1">IF(G22="Всього:",SUM($L$5:L21),$E$4)</f>
        <v>#VALUE!</v>
      </c>
      <c r="M22" s="160" t="e">
        <f ca="1">IF(G22="Всього:",SUM($M$5:M21),IF($E$5="UAH",J22+L22+K22,J22+K22))</f>
        <v>#VALUE!</v>
      </c>
      <c r="N22" s="160" t="str">
        <f ca="1">IF(G22="Всього:",SUM($N$4:N21),IF($E$5="UAH","",L22))</f>
        <v/>
      </c>
      <c r="O22" s="160" t="e">
        <f t="shared" ca="1" si="0"/>
        <v>#VALUE!</v>
      </c>
    </row>
    <row r="23" spans="1:15" x14ac:dyDescent="0.3">
      <c r="F23" s="160" t="str">
        <f t="shared" ca="1" si="1"/>
        <v/>
      </c>
      <c r="G23" s="160">
        <f t="shared" ca="1" si="3"/>
        <v>46753</v>
      </c>
      <c r="H23" s="160">
        <f t="shared" ca="1" si="2"/>
        <v>19</v>
      </c>
      <c r="I23" s="160">
        <f ca="1">IF($G23="Всього:",SUM($I$4:I22),IF(AND(DAY($C$4)&gt;=15,H23=1),K23+L23,$C$32))</f>
        <v>3804</v>
      </c>
      <c r="J23" s="160" t="e">
        <f ca="1">IF($G23="Всього:",SUM($J$4:J22),IF(I23-SUM(K23:L23)&lt;0,0,I23-SUM(K23:L23)))</f>
        <v>#VALUE!</v>
      </c>
      <c r="K23" s="160" t="e">
        <f ca="1">IF(G23="Всього:",SUM($K$5:K22),IF(F23&lt;&gt;F22,(F23*O22/36000*(G23-CONCATENATE(DAY($C$4),".",MONTH(G22),".",YEAR(G22)))+(F22*O22/36000*(CONCATENATE(DAY($C$4),".",MONTH(G22),".",YEAR(G22))-G22))),F23*O22/36000*(G23-G22)))</f>
        <v>#VALUE!</v>
      </c>
      <c r="L23" s="160" t="e">
        <f ca="1">IF(G23="Всього:",SUM($L$5:L22),$E$4)</f>
        <v>#VALUE!</v>
      </c>
      <c r="M23" s="160" t="e">
        <f ca="1">IF(G23="Всього:",SUM($M$5:M22),IF($E$5="UAH",J23+L23+K23,J23+K23))</f>
        <v>#VALUE!</v>
      </c>
      <c r="N23" s="160" t="str">
        <f ca="1">IF(G23="Всього:",SUM($N$4:N22),IF($E$5="UAH","",L23))</f>
        <v/>
      </c>
      <c r="O23" s="160" t="e">
        <f t="shared" ca="1" si="0"/>
        <v>#VALUE!</v>
      </c>
    </row>
    <row r="24" spans="1:15" x14ac:dyDescent="0.3">
      <c r="F24" s="160" t="str">
        <f t="shared" ca="1" si="1"/>
        <v/>
      </c>
      <c r="G24" s="160">
        <f t="shared" ca="1" si="3"/>
        <v>46784</v>
      </c>
      <c r="H24" s="160">
        <f t="shared" ca="1" si="2"/>
        <v>20</v>
      </c>
      <c r="I24" s="160">
        <f ca="1">IF($G24="Всього:",SUM($I$4:I23),IF(AND(DAY($C$4)&gt;=15,H24=1),K24+L24,$C$32))</f>
        <v>3804</v>
      </c>
      <c r="J24" s="160" t="e">
        <f ca="1">IF($G24="Всього:",SUM($J$4:J23),IF(I24-SUM(K24:L24)&lt;0,0,I24-SUM(K24:L24)))</f>
        <v>#VALUE!</v>
      </c>
      <c r="K24" s="160" t="e">
        <f ca="1">IF(G24="Всього:",SUM($K$5:K23),IF(F24&lt;&gt;F23,(F24*O23/36000*(G24-CONCATENATE(DAY($C$4),".",MONTH(G23),".",YEAR(G23)))+(F23*O23/36000*(CONCATENATE(DAY($C$4),".",MONTH(G23),".",YEAR(G23))-G23))),F24*O23/36000*(G24-G23)))</f>
        <v>#VALUE!</v>
      </c>
      <c r="L24" s="160" t="e">
        <f ca="1">IF(G24="Всього:",SUM($L$5:L23),$E$4)</f>
        <v>#VALUE!</v>
      </c>
      <c r="M24" s="160" t="e">
        <f ca="1">IF(G24="Всього:",SUM($M$5:M23),IF($E$5="UAH",J24+L24+K24,J24+K24))</f>
        <v>#VALUE!</v>
      </c>
      <c r="N24" s="160" t="str">
        <f ca="1">IF(G24="Всього:",SUM($N$4:N23),IF($E$5="UAH","",L24))</f>
        <v/>
      </c>
      <c r="O24" s="160" t="e">
        <f t="shared" ca="1" si="0"/>
        <v>#VALUE!</v>
      </c>
    </row>
    <row r="25" spans="1:15" x14ac:dyDescent="0.3">
      <c r="F25" s="160" t="str">
        <f t="shared" ca="1" si="1"/>
        <v/>
      </c>
      <c r="G25" s="160">
        <f t="shared" ca="1" si="3"/>
        <v>46813</v>
      </c>
      <c r="H25" s="160">
        <f t="shared" ca="1" si="2"/>
        <v>21</v>
      </c>
      <c r="I25" s="160">
        <f ca="1">IF($G25="Всього:",SUM($I$4:I24),IF(AND(DAY($C$4)&gt;=15,H25=1),K25+L25,$C$32))</f>
        <v>3804</v>
      </c>
      <c r="J25" s="160" t="e">
        <f ca="1">IF($G25="Всього:",SUM($J$4:J24),IF(I25-SUM(K25:L25)&lt;0,0,I25-SUM(K25:L25)))</f>
        <v>#VALUE!</v>
      </c>
      <c r="K25" s="160" t="e">
        <f ca="1">IF(G25="Всього:",SUM($K$5:K24),IF(F25&lt;&gt;F24,(F25*O24/36000*(G25-CONCATENATE(DAY($C$4),".",MONTH(G24),".",YEAR(G24)))+(F24*O24/36000*(CONCATENATE(DAY($C$4),".",MONTH(G24),".",YEAR(G24))-G24))),F25*O24/36000*(G25-G24)))</f>
        <v>#VALUE!</v>
      </c>
      <c r="L25" s="160" t="e">
        <f ca="1">IF(G25="Всього:",SUM($L$5:L24),$E$4)</f>
        <v>#VALUE!</v>
      </c>
      <c r="M25" s="160" t="e">
        <f ca="1">IF(G25="Всього:",SUM($M$5:M24),IF($E$5="UAH",J25+L25+K25,J25+K25))</f>
        <v>#VALUE!</v>
      </c>
      <c r="N25" s="160" t="str">
        <f ca="1">IF(G25="Всього:",SUM($N$4:N24),IF($E$5="UAH","",L25))</f>
        <v/>
      </c>
      <c r="O25" s="160" t="e">
        <f t="shared" ca="1" si="0"/>
        <v>#VALUE!</v>
      </c>
    </row>
    <row r="26" spans="1:15" x14ac:dyDescent="0.3">
      <c r="F26" s="160" t="str">
        <f t="shared" ca="1" si="1"/>
        <v/>
      </c>
      <c r="G26" s="160">
        <f t="shared" ca="1" si="3"/>
        <v>46844</v>
      </c>
      <c r="H26" s="160">
        <f t="shared" ca="1" si="2"/>
        <v>22</v>
      </c>
      <c r="I26" s="160">
        <f ca="1">IF($G26="Всього:",SUM($I$4:I25),IF(AND(DAY($C$4)&gt;=15,H26=1),K26+L26,$C$32))</f>
        <v>3804</v>
      </c>
      <c r="J26" s="160" t="e">
        <f ca="1">IF($G26="Всього:",SUM($J$4:J25),IF(I26-SUM(K26:L26)&lt;0,0,I26-SUM(K26:L26)))</f>
        <v>#VALUE!</v>
      </c>
      <c r="K26" s="160" t="e">
        <f ca="1">IF(G26="Всього:",SUM($K$5:K25),IF(F26&lt;&gt;F25,(F26*O25/36000*(G26-CONCATENATE(DAY($C$4),".",MONTH(G25),".",YEAR(G25)))+(F25*O25/36000*(CONCATENATE(DAY($C$4),".",MONTH(G25),".",YEAR(G25))-G25))),F26*O25/36000*(G26-G25)))</f>
        <v>#VALUE!</v>
      </c>
      <c r="L26" s="160" t="e">
        <f ca="1">IF(G26="Всього:",SUM($L$5:L25),$E$4)</f>
        <v>#VALUE!</v>
      </c>
      <c r="M26" s="160" t="e">
        <f ca="1">IF(G26="Всього:",SUM($M$5:M25),IF($E$5="UAH",J26+L26+K26,J26+K26))</f>
        <v>#VALUE!</v>
      </c>
      <c r="N26" s="160" t="str">
        <f ca="1">IF(G26="Всього:",SUM($N$4:N25),IF($E$5="UAH","",L26))</f>
        <v/>
      </c>
      <c r="O26" s="160" t="e">
        <f t="shared" ca="1" si="0"/>
        <v>#VALUE!</v>
      </c>
    </row>
    <row r="27" spans="1:15" x14ac:dyDescent="0.3">
      <c r="F27" s="160" t="str">
        <f t="shared" ca="1" si="1"/>
        <v/>
      </c>
      <c r="G27" s="160">
        <f t="shared" ca="1" si="3"/>
        <v>46874</v>
      </c>
      <c r="H27" s="160">
        <f t="shared" ca="1" si="2"/>
        <v>23</v>
      </c>
      <c r="I27" s="160">
        <f ca="1">IF($G27="Всього:",SUM($I$4:I26),IF(AND(DAY($C$4)&gt;=15,H27=1),K27+L27,$C$32))</f>
        <v>3804</v>
      </c>
      <c r="J27" s="160" t="e">
        <f ca="1">IF($G27="Всього:",SUM($J$4:J26),IF(I27-SUM(K27:L27)&lt;0,0,I27-SUM(K27:L27)))</f>
        <v>#VALUE!</v>
      </c>
      <c r="K27" s="160" t="e">
        <f ca="1">IF(G27="Всього:",SUM($K$5:K26),IF(F27&lt;&gt;F26,(F27*O26/36000*(G27-CONCATENATE(DAY($C$4),".",MONTH(G26),".",YEAR(G26)))+(F26*O26/36000*(CONCATENATE(DAY($C$4),".",MONTH(G26),".",YEAR(G26))-G26))),F27*O26/36000*(G27-G26)))</f>
        <v>#VALUE!</v>
      </c>
      <c r="L27" s="160" t="e">
        <f ca="1">IF(G27="Всього:",SUM($L$5:L26),$E$4)</f>
        <v>#VALUE!</v>
      </c>
      <c r="M27" s="160" t="e">
        <f ca="1">IF(G27="Всього:",SUM($M$5:M26),IF($E$5="UAH",J27+L27+K27,J27+K27))</f>
        <v>#VALUE!</v>
      </c>
      <c r="N27" s="160" t="str">
        <f ca="1">IF(G27="Всього:",SUM($N$4:N26),IF($E$5="UAH","",L27))</f>
        <v/>
      </c>
      <c r="O27" s="160" t="e">
        <f t="shared" ca="1" si="0"/>
        <v>#VALUE!</v>
      </c>
    </row>
    <row r="28" spans="1:15" x14ac:dyDescent="0.3">
      <c r="F28" s="160" t="str">
        <f t="shared" ca="1" si="1"/>
        <v/>
      </c>
      <c r="G28" s="160">
        <f t="shared" ca="1" si="3"/>
        <v>46905</v>
      </c>
      <c r="H28" s="160">
        <f t="shared" ca="1" si="2"/>
        <v>24</v>
      </c>
      <c r="I28" s="160">
        <f ca="1">IF($G28="Всього:",SUM($I$4:I27),IF(AND(DAY($C$4)&gt;=15,H28=1),K28+L28,$C$32))</f>
        <v>3804</v>
      </c>
      <c r="J28" s="160" t="e">
        <f ca="1">IF($G28="Всього:",SUM($J$4:J27),IF(I28-SUM(K28:L28)&lt;0,0,I28-SUM(K28:L28)))</f>
        <v>#VALUE!</v>
      </c>
      <c r="K28" s="160" t="e">
        <f ca="1">IF(G28="Всього:",SUM($K$5:K27),IF(F28&lt;&gt;F27,(F28*O27/36000*(G28-CONCATENATE(DAY($C$4),".",MONTH(G27),".",YEAR(G27)))+(F27*O27/36000*(CONCATENATE(DAY($C$4),".",MONTH(G27),".",YEAR(G27))-G27))),F28*O27/36000*(G28-G27)))</f>
        <v>#VALUE!</v>
      </c>
      <c r="L28" s="160" t="e">
        <f ca="1">IF(G28="Всього:",SUM($L$5:L27),$E$4)</f>
        <v>#VALUE!</v>
      </c>
      <c r="M28" s="160" t="e">
        <f ca="1">IF(G28="Всього:",SUM($M$5:M27),IF($E$5="UAH",J28+L28+K28,J28+K28))</f>
        <v>#VALUE!</v>
      </c>
      <c r="N28" s="160" t="str">
        <f ca="1">IF(G28="Всього:",SUM($N$4:N27),IF($E$5="UAH","",L28))</f>
        <v/>
      </c>
      <c r="O28" s="160" t="e">
        <f t="shared" ca="1" si="0"/>
        <v>#VALUE!</v>
      </c>
    </row>
    <row r="29" spans="1:15" x14ac:dyDescent="0.3">
      <c r="F29" s="160" t="str">
        <f t="shared" ca="1" si="1"/>
        <v/>
      </c>
      <c r="G29" s="160">
        <f t="shared" ca="1" si="3"/>
        <v>46935</v>
      </c>
      <c r="H29" s="160">
        <f t="shared" ca="1" si="2"/>
        <v>25</v>
      </c>
      <c r="I29" s="160">
        <f ca="1">IF($G29="Всього:",SUM($I$4:I28),IF(AND(DAY($C$4)&gt;=15,H29=1),K29+L29,$C$32))</f>
        <v>3804</v>
      </c>
      <c r="J29" s="160" t="e">
        <f ca="1">IF($G29="Всього:",SUM($J$4:J28),IF(I29-SUM(K29:L29)&lt;0,0,I29-SUM(K29:L29)))</f>
        <v>#VALUE!</v>
      </c>
      <c r="K29" s="160" t="e">
        <f ca="1">IF(G29="Всього:",SUM($K$5:K28),IF(F29&lt;&gt;F28,(F29*O28/36000*(G29-CONCATENATE(DAY($C$4),".",MONTH(G28),".",YEAR(G28)))+(F28*O28/36000*(CONCATENATE(DAY($C$4),".",MONTH(G28),".",YEAR(G28))-G28))),F29*O28/36000*(G29-G28)))</f>
        <v>#VALUE!</v>
      </c>
      <c r="L29" s="160" t="e">
        <f ca="1">IF(G29="Всього:",SUM($L$5:L28),$E$4)</f>
        <v>#VALUE!</v>
      </c>
      <c r="M29" s="160" t="e">
        <f ca="1">IF(G29="Всього:",SUM($M$5:M28),IF($E$5="UAH",J29+L29+K29,J29+K29))</f>
        <v>#VALUE!</v>
      </c>
      <c r="N29" s="160" t="str">
        <f ca="1">IF(G29="Всього:",SUM($N$4:N28),IF($E$5="UAH","",L29))</f>
        <v/>
      </c>
      <c r="O29" s="160" t="e">
        <f t="shared" ca="1" si="0"/>
        <v>#VALUE!</v>
      </c>
    </row>
    <row r="30" spans="1:15" x14ac:dyDescent="0.3">
      <c r="F30" s="160" t="str">
        <f t="shared" ca="1" si="1"/>
        <v/>
      </c>
      <c r="G30" s="160">
        <f t="shared" ca="1" si="3"/>
        <v>46966</v>
      </c>
      <c r="H30" s="160">
        <f t="shared" ca="1" si="2"/>
        <v>26</v>
      </c>
      <c r="I30" s="160">
        <f ca="1">IF($G30="Всього:",SUM($I$4:I29),IF(AND(DAY($C$4)&gt;=15,H30=1),K30+L30,$C$32))</f>
        <v>3804</v>
      </c>
      <c r="J30" s="160" t="e">
        <f ca="1">IF($G30="Всього:",SUM($J$4:J29),IF(I30-SUM(K30:L30)&lt;0,0,I30-SUM(K30:L30)))</f>
        <v>#VALUE!</v>
      </c>
      <c r="K30" s="160" t="e">
        <f ca="1">IF(G30="Всього:",SUM($K$5:K29),IF(F30&lt;&gt;F29,(F30*O29/36000*(G30-CONCATENATE(DAY($C$4),".",MONTH(G29),".",YEAR(G29)))+(F29*O29/36000*(CONCATENATE(DAY($C$4),".",MONTH(G29),".",YEAR(G29))-G29))),F30*O29/36000*(G30-G29)))</f>
        <v>#VALUE!</v>
      </c>
      <c r="L30" s="160" t="e">
        <f ca="1">IF(G30="Всього:",SUM($L$5:L29),$E$4)</f>
        <v>#VALUE!</v>
      </c>
      <c r="M30" s="160" t="e">
        <f ca="1">IF(G30="Всього:",SUM($M$5:M29),IF($E$5="UAH",J30+L30+K30,J30+K30))</f>
        <v>#VALUE!</v>
      </c>
      <c r="N30" s="160" t="str">
        <f ca="1">IF(G30="Всього:",SUM($N$4:N29),IF($E$5="UAH","",L30))</f>
        <v/>
      </c>
      <c r="O30" s="160" t="e">
        <f t="shared" ca="1" si="0"/>
        <v>#VALUE!</v>
      </c>
    </row>
    <row r="31" spans="1:15" x14ac:dyDescent="0.3">
      <c r="F31" s="160" t="str">
        <f t="shared" ca="1" si="1"/>
        <v/>
      </c>
      <c r="G31" s="160">
        <f t="shared" ca="1" si="3"/>
        <v>46997</v>
      </c>
      <c r="H31" s="160">
        <f t="shared" ca="1" si="2"/>
        <v>27</v>
      </c>
      <c r="I31" s="160">
        <f ca="1">IF($G31="Всього:",SUM($I$4:I30),IF(AND(DAY($C$4)&gt;=15,H31=1),K31+L31,$C$32))</f>
        <v>3804</v>
      </c>
      <c r="J31" s="160" t="e">
        <f ca="1">IF($G31="Всього:",SUM($J$4:J30),IF(I31-SUM(K31:L31)&lt;0,0,I31-SUM(K31:L31)))</f>
        <v>#VALUE!</v>
      </c>
      <c r="K31" s="160" t="e">
        <f ca="1">IF(G31="Всього:",SUM($K$5:K30),IF(F31&lt;&gt;F30,(F31*O30/36000*(G31-CONCATENATE(DAY($C$4),".",MONTH(G30),".",YEAR(G30)))+(F30*O30/36000*(CONCATENATE(DAY($C$4),".",MONTH(G30),".",YEAR(G30))-G30))),F31*O30/36000*(G31-G30)))</f>
        <v>#VALUE!</v>
      </c>
      <c r="L31" s="160" t="e">
        <f ca="1">IF(G31="Всього:",SUM($L$5:L30),$E$4)</f>
        <v>#VALUE!</v>
      </c>
      <c r="M31" s="160" t="e">
        <f ca="1">IF(G31="Всього:",SUM($M$5:M30),IF($E$5="UAH",J31+L31+K31,J31+K31))</f>
        <v>#VALUE!</v>
      </c>
      <c r="N31" s="160" t="str">
        <f ca="1">IF(G31="Всього:",SUM($N$4:N30),IF($E$5="UAH","",L31))</f>
        <v/>
      </c>
      <c r="O31" s="160" t="e">
        <f t="shared" ca="1" si="0"/>
        <v>#VALUE!</v>
      </c>
    </row>
    <row r="32" spans="1:15" x14ac:dyDescent="0.3">
      <c r="A32" s="160" t="s">
        <v>204</v>
      </c>
      <c r="B32" s="160">
        <v>3803.9567544298634</v>
      </c>
      <c r="C32" s="160">
        <v>3804</v>
      </c>
      <c r="D32" s="160" t="s">
        <v>76</v>
      </c>
      <c r="F32" s="160" t="str">
        <f t="shared" ca="1" si="1"/>
        <v/>
      </c>
      <c r="G32" s="160">
        <f t="shared" ca="1" si="3"/>
        <v>47027</v>
      </c>
      <c r="H32" s="160">
        <f t="shared" ca="1" si="2"/>
        <v>28</v>
      </c>
      <c r="I32" s="160">
        <f ca="1">IF($G32="Всього:",SUM($I$4:I31),IF(AND(DAY($C$4)&gt;=15,H32=1),K32+L32,$C$32))</f>
        <v>3804</v>
      </c>
      <c r="J32" s="160" t="e">
        <f ca="1">IF($G32="Всього:",SUM($J$4:J31),IF(I32-SUM(K32:L32)&lt;0,0,I32-SUM(K32:L32)))</f>
        <v>#VALUE!</v>
      </c>
      <c r="K32" s="160" t="e">
        <f ca="1">IF(G32="Всього:",SUM($K$5:K31),IF(F32&lt;&gt;F31,(F32*O31/36000*(G32-CONCATENATE(DAY($C$4),".",MONTH(G31),".",YEAR(G31)))+(F31*O31/36000*(CONCATENATE(DAY($C$4),".",MONTH(G31),".",YEAR(G31))-G31))),F32*O31/36000*(G32-G31)))</f>
        <v>#VALUE!</v>
      </c>
      <c r="L32" s="160" t="e">
        <f ca="1">IF(G32="Всього:",SUM($L$5:L31),$E$4)</f>
        <v>#VALUE!</v>
      </c>
      <c r="M32" s="160" t="e">
        <f ca="1">IF(G32="Всього:",SUM($M$5:M31),IF($E$5="UAH",J32+L32+K32,J32+K32))</f>
        <v>#VALUE!</v>
      </c>
      <c r="N32" s="160" t="str">
        <f ca="1">IF(G32="Всього:",SUM($N$4:N31),IF($E$5="UAH","",L32))</f>
        <v/>
      </c>
      <c r="O32" s="160" t="e">
        <f t="shared" ca="1" si="0"/>
        <v>#VALUE!</v>
      </c>
    </row>
    <row r="33" spans="1:15" x14ac:dyDescent="0.3">
      <c r="A33" s="160" t="s">
        <v>205</v>
      </c>
      <c r="B33" s="160">
        <v>3803.9571162986153</v>
      </c>
      <c r="C33" s="160">
        <v>3804</v>
      </c>
      <c r="D33" s="160" t="s">
        <v>206</v>
      </c>
      <c r="F33" s="160" t="str">
        <f t="shared" ca="1" si="1"/>
        <v/>
      </c>
      <c r="G33" s="160">
        <f t="shared" ca="1" si="3"/>
        <v>47058</v>
      </c>
      <c r="H33" s="160">
        <f t="shared" ca="1" si="2"/>
        <v>29</v>
      </c>
      <c r="I33" s="160">
        <f ca="1">IF($G33="Всього:",SUM($I$4:I32),IF(AND(DAY($C$4)&gt;=15,H33=1),K33+L33,$C$32))</f>
        <v>3804</v>
      </c>
      <c r="J33" s="160" t="e">
        <f ca="1">IF($G33="Всього:",SUM($J$4:J32),IF(I33-SUM(K33:L33)&lt;0,0,I33-SUM(K33:L33)))</f>
        <v>#VALUE!</v>
      </c>
      <c r="K33" s="160" t="e">
        <f ca="1">IF(G33="Всього:",SUM($K$5:K32),IF(F33&lt;&gt;F32,(F33*O32/36000*(G33-CONCATENATE(DAY($C$4),".",MONTH(G32),".",YEAR(G32)))+(F32*O32/36000*(CONCATENATE(DAY($C$4),".",MONTH(G32),".",YEAR(G32))-G32))),F33*O32/36000*(G33-G32)))</f>
        <v>#VALUE!</v>
      </c>
      <c r="L33" s="160" t="e">
        <f ca="1">IF(G33="Всього:",SUM($L$5:L32),$E$4)</f>
        <v>#VALUE!</v>
      </c>
      <c r="M33" s="160" t="e">
        <f ca="1">IF(G33="Всього:",SUM($M$5:M32),IF($E$5="UAH",J33+L33+K33,J33+K33))</f>
        <v>#VALUE!</v>
      </c>
      <c r="N33" s="160" t="str">
        <f ca="1">IF(G33="Всього:",SUM($N$4:N32),IF($E$5="UAH","",L33))</f>
        <v/>
      </c>
      <c r="O33" s="160" t="e">
        <f t="shared" ca="1" si="0"/>
        <v>#VALUE!</v>
      </c>
    </row>
    <row r="34" spans="1:15" x14ac:dyDescent="0.3">
      <c r="A34" s="160" t="s">
        <v>207</v>
      </c>
      <c r="B34" s="160">
        <v>3795.2158627380263</v>
      </c>
      <c r="F34" s="160" t="str">
        <f t="shared" ca="1" si="1"/>
        <v/>
      </c>
      <c r="G34" s="160">
        <f t="shared" ca="1" si="3"/>
        <v>47088</v>
      </c>
      <c r="H34" s="160">
        <f t="shared" ca="1" si="2"/>
        <v>30</v>
      </c>
      <c r="I34" s="160">
        <f ca="1">IF($G34="Всього:",SUM($I$4:I33),IF(AND(DAY($C$4)&gt;=15,H34=1),K34+L34,$C$32))</f>
        <v>3804</v>
      </c>
      <c r="J34" s="160" t="e">
        <f ca="1">IF($G34="Всього:",SUM($J$4:J33),IF(I34-SUM(K34:L34)&lt;0,0,I34-SUM(K34:L34)))</f>
        <v>#VALUE!</v>
      </c>
      <c r="K34" s="160" t="e">
        <f ca="1">IF(G34="Всього:",SUM($K$5:K33),IF(F34&lt;&gt;F33,(F34*O33/36000*(G34-CONCATENATE(DAY($C$4),".",MONTH(G33),".",YEAR(G33)))+(F33*O33/36000*(CONCATENATE(DAY($C$4),".",MONTH(G33),".",YEAR(G33))-G33))),F34*O33/36000*(G34-G33)))</f>
        <v>#VALUE!</v>
      </c>
      <c r="L34" s="160" t="e">
        <f ca="1">IF(G34="Всього:",SUM($L$5:L33),$E$4)</f>
        <v>#VALUE!</v>
      </c>
      <c r="M34" s="160" t="e">
        <f ca="1">IF(G34="Всього:",SUM($M$5:M33),IF($E$5="UAH",J34+L34+K34,J34+K34))</f>
        <v>#VALUE!</v>
      </c>
      <c r="N34" s="160" t="str">
        <f ca="1">IF(G34="Всього:",SUM($N$4:N33),IF($E$5="UAH","",L34))</f>
        <v/>
      </c>
      <c r="O34" s="160" t="e">
        <f t="shared" ca="1" si="0"/>
        <v>#VALUE!</v>
      </c>
    </row>
    <row r="35" spans="1:15" x14ac:dyDescent="0.3">
      <c r="F35" s="160" t="str">
        <f t="shared" ca="1" si="1"/>
        <v/>
      </c>
      <c r="G35" s="160">
        <f t="shared" ca="1" si="3"/>
        <v>47119</v>
      </c>
      <c r="H35" s="160">
        <f t="shared" ca="1" si="2"/>
        <v>31</v>
      </c>
      <c r="I35" s="160">
        <f ca="1">IF($G35="Всього:",SUM($I$4:I34),IF(AND(DAY($C$4)&gt;=15,H35=1),K35+L35,$C$32))</f>
        <v>3804</v>
      </c>
      <c r="J35" s="160" t="e">
        <f ca="1">IF($G35="Всього:",SUM($J$4:J34),IF(I35-SUM(K35:L35)&lt;0,0,I35-SUM(K35:L35)))</f>
        <v>#VALUE!</v>
      </c>
      <c r="K35" s="160" t="e">
        <f ca="1">IF(G35="Всього:",SUM($K$5:K34),IF(F35&lt;&gt;F34,(F35*O34/36000*(G35-CONCATENATE(DAY($C$4),".",MONTH(G34),".",YEAR(G34)))+(F34*O34/36000*(CONCATENATE(DAY($C$4),".",MONTH(G34),".",YEAR(G34))-G34))),F35*O34/36000*(G35-G34)))</f>
        <v>#VALUE!</v>
      </c>
      <c r="L35" s="160" t="e">
        <f ca="1">IF(G35="Всього:",SUM($L$5:L34),$E$4)</f>
        <v>#VALUE!</v>
      </c>
      <c r="M35" s="160" t="e">
        <f ca="1">IF(G35="Всього:",SUM($M$5:M34),IF($E$5="UAH",J35+L35+K35,J35+K35))</f>
        <v>#VALUE!</v>
      </c>
      <c r="N35" s="160" t="str">
        <f ca="1">IF(G35="Всього:",SUM($N$4:N34),IF($E$5="UAH","",L35))</f>
        <v/>
      </c>
      <c r="O35" s="160" t="e">
        <f t="shared" ca="1" si="0"/>
        <v>#VALUE!</v>
      </c>
    </row>
    <row r="36" spans="1:15" x14ac:dyDescent="0.3">
      <c r="F36" s="160" t="str">
        <f t="shared" ca="1" si="1"/>
        <v/>
      </c>
      <c r="G36" s="160">
        <f t="shared" ca="1" si="3"/>
        <v>47150</v>
      </c>
      <c r="H36" s="160">
        <f t="shared" ca="1" si="2"/>
        <v>32</v>
      </c>
      <c r="I36" s="160">
        <f ca="1">IF($G36="Всього:",SUM($I$4:I35),IF(AND(DAY($C$4)&gt;=15,H36=1),K36+L36,$C$32))</f>
        <v>3804</v>
      </c>
      <c r="J36" s="160" t="e">
        <f ca="1">IF($G36="Всього:",SUM($J$4:J35),IF(I36-SUM(K36:L36)&lt;0,0,I36-SUM(K36:L36)))</f>
        <v>#VALUE!</v>
      </c>
      <c r="K36" s="160" t="e">
        <f ca="1">IF(G36="Всього:",SUM($K$5:K35),IF(F36&lt;&gt;F35,(F36*O35/36000*(G36-CONCATENATE(DAY($C$4),".",MONTH(G35),".",YEAR(G35)))+(F35*O35/36000*(CONCATENATE(DAY($C$4),".",MONTH(G35),".",YEAR(G35))-G35))),F36*O35/36000*(G36-G35)))</f>
        <v>#VALUE!</v>
      </c>
      <c r="L36" s="160" t="e">
        <f ca="1">IF(G36="Всього:",SUM($L$5:L35),$E$4)</f>
        <v>#VALUE!</v>
      </c>
      <c r="M36" s="160" t="e">
        <f ca="1">IF(G36="Всього:",SUM($M$5:M35),IF($E$5="UAH",J36+L36+K36,J36+K36))</f>
        <v>#VALUE!</v>
      </c>
      <c r="N36" s="160" t="str">
        <f ca="1">IF(G36="Всього:",SUM($N$4:N35),IF($E$5="UAH","",L36))</f>
        <v/>
      </c>
      <c r="O36" s="160" t="e">
        <f t="shared" ca="1" si="0"/>
        <v>#VALUE!</v>
      </c>
    </row>
    <row r="37" spans="1:15" x14ac:dyDescent="0.3">
      <c r="F37" s="160" t="str">
        <f t="shared" ca="1" si="1"/>
        <v/>
      </c>
      <c r="G37" s="160">
        <f t="shared" ca="1" si="3"/>
        <v>47178</v>
      </c>
      <c r="H37" s="160">
        <f t="shared" ca="1" si="2"/>
        <v>33</v>
      </c>
      <c r="I37" s="160">
        <f ca="1">IF($G37="Всього:",SUM($I$4:I36),IF(AND(DAY($C$4)&gt;=15,H37=1),K37+L37,$C$32))</f>
        <v>3804</v>
      </c>
      <c r="J37" s="160" t="e">
        <f ca="1">IF($G37="Всього:",SUM($J$4:J36),IF(I37-SUM(K37:L37)&lt;0,0,I37-SUM(K37:L37)))</f>
        <v>#VALUE!</v>
      </c>
      <c r="K37" s="160" t="e">
        <f ca="1">IF(G37="Всього:",SUM($K$5:K36),IF(F37&lt;&gt;F36,(F37*O36/36000*(G37-CONCATENATE(DAY($C$4),".",MONTH(G36),".",YEAR(G36)))+(F36*O36/36000*(CONCATENATE(DAY($C$4),".",MONTH(G36),".",YEAR(G36))-G36))),F37*O36/36000*(G37-G36)))</f>
        <v>#VALUE!</v>
      </c>
      <c r="L37" s="160" t="e">
        <f ca="1">IF(G37="Всього:",SUM($L$5:L36),$E$4)</f>
        <v>#VALUE!</v>
      </c>
      <c r="M37" s="160" t="e">
        <f ca="1">IF(G37="Всього:",SUM($M$5:M36),IF($E$5="UAH",J37+L37+K37,J37+K37))</f>
        <v>#VALUE!</v>
      </c>
      <c r="N37" s="160" t="str">
        <f ca="1">IF(G37="Всього:",SUM($N$4:N36),IF($E$5="UAH","",L37))</f>
        <v/>
      </c>
      <c r="O37" s="160" t="e">
        <f t="shared" ca="1" si="0"/>
        <v>#VALUE!</v>
      </c>
    </row>
    <row r="38" spans="1:15" x14ac:dyDescent="0.3">
      <c r="F38" s="160" t="str">
        <f t="shared" ca="1" si="1"/>
        <v/>
      </c>
      <c r="G38" s="160">
        <f t="shared" ca="1" si="3"/>
        <v>47209</v>
      </c>
      <c r="H38" s="160">
        <f t="shared" ca="1" si="2"/>
        <v>34</v>
      </c>
      <c r="I38" s="160">
        <f ca="1">IF($G38="Всього:",SUM($I$4:I37),IF(AND(DAY($C$4)&gt;=15,H38=1),K38+L38,$C$32))</f>
        <v>3804</v>
      </c>
      <c r="J38" s="160" t="e">
        <f ca="1">IF($G38="Всього:",SUM($J$4:J37),IF(I38-SUM(K38:L38)&lt;0,0,I38-SUM(K38:L38)))</f>
        <v>#VALUE!</v>
      </c>
      <c r="K38" s="160" t="e">
        <f ca="1">IF(G38="Всього:",SUM($K$5:K37),IF(F38&lt;&gt;F37,(F38*O37/36000*(G38-CONCATENATE(DAY($C$4),".",MONTH(G37),".",YEAR(G37)))+(F37*O37/36000*(CONCATENATE(DAY($C$4),".",MONTH(G37),".",YEAR(G37))-G37))),F38*O37/36000*(G38-G37)))</f>
        <v>#VALUE!</v>
      </c>
      <c r="L38" s="160" t="e">
        <f ca="1">IF(G38="Всього:",SUM($L$5:L37),$E$4)</f>
        <v>#VALUE!</v>
      </c>
      <c r="M38" s="160" t="e">
        <f ca="1">IF(G38="Всього:",SUM($M$5:M37),IF($E$5="UAH",J38+L38+K38,J38+K38))</f>
        <v>#VALUE!</v>
      </c>
      <c r="N38" s="160" t="str">
        <f ca="1">IF(G38="Всього:",SUM($N$4:N37),IF($E$5="UAH","",L38))</f>
        <v/>
      </c>
      <c r="O38" s="160" t="e">
        <f t="shared" ca="1" si="0"/>
        <v>#VALUE!</v>
      </c>
    </row>
    <row r="39" spans="1:15" x14ac:dyDescent="0.3">
      <c r="F39" s="160" t="str">
        <f t="shared" ca="1" si="1"/>
        <v/>
      </c>
      <c r="G39" s="160">
        <f t="shared" ca="1" si="3"/>
        <v>47239</v>
      </c>
      <c r="H39" s="160">
        <f t="shared" ca="1" si="2"/>
        <v>35</v>
      </c>
      <c r="I39" s="160">
        <f ca="1">IF($G39="Всього:",SUM($I$4:I38),IF(AND(DAY($C$4)&gt;=15,H39=1),K39+L39,$C$32))</f>
        <v>3804</v>
      </c>
      <c r="J39" s="160" t="e">
        <f ca="1">IF($G39="Всього:",SUM($J$4:J38),IF(I39-SUM(K39:L39)&lt;0,0,I39-SUM(K39:L39)))</f>
        <v>#VALUE!</v>
      </c>
      <c r="K39" s="160" t="e">
        <f ca="1">IF(G39="Всього:",SUM($K$5:K38),IF(F39&lt;&gt;F38,(F39*O38/36000*(G39-CONCATENATE(DAY($C$4),".",MONTH(G38),".",YEAR(G38)))+(F38*O38/36000*(CONCATENATE(DAY($C$4),".",MONTH(G38),".",YEAR(G38))-G38))),F39*O38/36000*(G39-G38)))</f>
        <v>#VALUE!</v>
      </c>
      <c r="L39" s="160" t="e">
        <f ca="1">IF(G39="Всього:",SUM($L$5:L38),$E$4)</f>
        <v>#VALUE!</v>
      </c>
      <c r="M39" s="160" t="e">
        <f ca="1">IF(G39="Всього:",SUM($M$5:M38),IF($E$5="UAH",J39+L39+K39,J39+K39))</f>
        <v>#VALUE!</v>
      </c>
      <c r="N39" s="160" t="str">
        <f ca="1">IF(G39="Всього:",SUM($N$4:N38),IF($E$5="UAH","",L39))</f>
        <v/>
      </c>
      <c r="O39" s="160" t="e">
        <f t="shared" ca="1" si="0"/>
        <v>#VALUE!</v>
      </c>
    </row>
    <row r="40" spans="1:15" x14ac:dyDescent="0.3">
      <c r="F40" s="160" t="str">
        <f t="shared" ca="1" si="1"/>
        <v/>
      </c>
      <c r="G40" s="160">
        <f t="shared" ca="1" si="3"/>
        <v>47270</v>
      </c>
      <c r="H40" s="160">
        <f t="shared" ca="1" si="2"/>
        <v>36</v>
      </c>
      <c r="I40" s="160">
        <f ca="1">IF($G40="Всього:",SUM($I$4:I39),IF(AND(DAY($C$4)&gt;=15,H40=1),K40+L40,$C$32))</f>
        <v>3804</v>
      </c>
      <c r="J40" s="160" t="e">
        <f ca="1">IF($G40="Всього:",SUM($J$4:J39),IF(I40-SUM(K40:L40)&lt;0,0,I40-SUM(K40:L40)))</f>
        <v>#VALUE!</v>
      </c>
      <c r="K40" s="160" t="e">
        <f ca="1">IF(G40="Всього:",SUM($K$5:K39),IF(F40&lt;&gt;F39,(F40*O39/36000*(G40-CONCATENATE(DAY($C$4),".",MONTH(G39),".",YEAR(G39)))+(F39*O39/36000*(CONCATENATE(DAY($C$4),".",MONTH(G39),".",YEAR(G39))-G39))),F40*O39/36000*(G40-G39)))</f>
        <v>#VALUE!</v>
      </c>
      <c r="L40" s="160" t="e">
        <f ca="1">IF(G40="Всього:",SUM($L$5:L39),$E$4)</f>
        <v>#VALUE!</v>
      </c>
      <c r="M40" s="160" t="e">
        <f ca="1">IF(G40="Всього:",SUM($M$5:M39),IF($E$5="UAH",J40+L40+K40,J40+K40))</f>
        <v>#VALUE!</v>
      </c>
      <c r="N40" s="160" t="str">
        <f ca="1">IF(G40="Всього:",SUM($N$4:N39),IF($E$5="UAH","",L40))</f>
        <v/>
      </c>
      <c r="O40" s="160" t="e">
        <f t="shared" ca="1" si="0"/>
        <v>#VALUE!</v>
      </c>
    </row>
    <row r="41" spans="1:15" x14ac:dyDescent="0.3">
      <c r="F41" s="160" t="str">
        <f t="shared" ca="1" si="1"/>
        <v/>
      </c>
      <c r="G41" s="160">
        <f t="shared" ca="1" si="3"/>
        <v>47300</v>
      </c>
      <c r="H41" s="160">
        <f t="shared" ca="1" si="2"/>
        <v>37</v>
      </c>
      <c r="I41" s="160">
        <f ca="1">IF($G41="Всього:",SUM($I$4:I40),IF(AND(DAY($C$4)&gt;=15,H41=1),K41+L41,$C$32))</f>
        <v>3804</v>
      </c>
      <c r="J41" s="160" t="e">
        <f ca="1">IF($G41="Всього:",SUM($J$4:J40),IF(I41-SUM(K41:L41)&lt;0,0,I41-SUM(K41:L41)))</f>
        <v>#VALUE!</v>
      </c>
      <c r="K41" s="160" t="e">
        <f ca="1">IF(G41="Всього:",SUM($K$5:K40),IF(F41&lt;&gt;F40,(F41*O40/36000*(G41-CONCATENATE(DAY($C$4),".",MONTH(G40),".",YEAR(G40)))+(F40*O40/36000*(CONCATENATE(DAY($C$4),".",MONTH(G40),".",YEAR(G40))-G40))),F41*O40/36000*(G41-G40)))</f>
        <v>#VALUE!</v>
      </c>
      <c r="L41" s="160" t="e">
        <f ca="1">IF(G41="Всього:",SUM($L$5:L40),$E$4)</f>
        <v>#VALUE!</v>
      </c>
      <c r="M41" s="160" t="e">
        <f ca="1">IF(G41="Всього:",SUM($M$5:M40),IF($E$5="UAH",J41+L41+K41,J41+K41))</f>
        <v>#VALUE!</v>
      </c>
      <c r="N41" s="160" t="str">
        <f ca="1">IF(G41="Всього:",SUM($N$4:N40),IF($E$5="UAH","",L41))</f>
        <v/>
      </c>
      <c r="O41" s="160" t="e">
        <f t="shared" ca="1" si="0"/>
        <v>#VALUE!</v>
      </c>
    </row>
    <row r="42" spans="1:15" x14ac:dyDescent="0.3">
      <c r="F42" s="160" t="str">
        <f t="shared" ca="1" si="1"/>
        <v/>
      </c>
      <c r="G42" s="160">
        <f t="shared" ca="1" si="3"/>
        <v>47331</v>
      </c>
      <c r="H42" s="160">
        <f t="shared" ca="1" si="2"/>
        <v>38</v>
      </c>
      <c r="I42" s="160">
        <f ca="1">IF($G42="Всього:",SUM($I$4:I41),IF(AND(DAY($C$4)&gt;=15,H42=1),K42+L42,$C$32))</f>
        <v>3804</v>
      </c>
      <c r="J42" s="160" t="e">
        <f ca="1">IF($G42="Всього:",SUM($J$4:J41),IF(I42-SUM(K42:L42)&lt;0,0,I42-SUM(K42:L42)))</f>
        <v>#VALUE!</v>
      </c>
      <c r="K42" s="160" t="e">
        <f ca="1">IF(G42="Всього:",SUM($K$5:K41),IF(F42&lt;&gt;F41,(F42*O41/36000*(G42-CONCATENATE(DAY($C$4),".",MONTH(G41),".",YEAR(G41)))+(F41*O41/36000*(CONCATENATE(DAY($C$4),".",MONTH(G41),".",YEAR(G41))-G41))),F42*O41/36000*(G42-G41)))</f>
        <v>#VALUE!</v>
      </c>
      <c r="L42" s="160" t="e">
        <f ca="1">IF(G42="Всього:",SUM($L$5:L41),$E$4)</f>
        <v>#VALUE!</v>
      </c>
      <c r="M42" s="160" t="e">
        <f ca="1">IF(G42="Всього:",SUM($M$5:M41),IF($E$5="UAH",J42+L42+K42,J42+K42))</f>
        <v>#VALUE!</v>
      </c>
      <c r="N42" s="160" t="str">
        <f ca="1">IF(G42="Всього:",SUM($N$4:N41),IF($E$5="UAH","",L42))</f>
        <v/>
      </c>
      <c r="O42" s="160" t="e">
        <f t="shared" ca="1" si="0"/>
        <v>#VALUE!</v>
      </c>
    </row>
    <row r="43" spans="1:15" x14ac:dyDescent="0.3">
      <c r="F43" s="160" t="str">
        <f t="shared" ca="1" si="1"/>
        <v/>
      </c>
      <c r="G43" s="160">
        <f t="shared" ca="1" si="3"/>
        <v>47362</v>
      </c>
      <c r="H43" s="160">
        <f t="shared" ca="1" si="2"/>
        <v>39</v>
      </c>
      <c r="I43" s="160">
        <f ca="1">IF($G43="Всього:",SUM($I$4:I42),IF(AND(DAY($C$4)&gt;=15,H43=1),K43+L43,$C$32))</f>
        <v>3804</v>
      </c>
      <c r="J43" s="160" t="e">
        <f ca="1">IF($G43="Всього:",SUM($J$4:J42),IF(I43-SUM(K43:L43)&lt;0,0,I43-SUM(K43:L43)))</f>
        <v>#VALUE!</v>
      </c>
      <c r="K43" s="160" t="e">
        <f ca="1">IF(G43="Всього:",SUM($K$5:K42),IF(F43&lt;&gt;F42,(F43*O42/36000*(G43-CONCATENATE(DAY($C$4),".",MONTH(G42),".",YEAR(G42)))+(F42*O42/36000*(CONCATENATE(DAY($C$4),".",MONTH(G42),".",YEAR(G42))-G42))),F43*O42/36000*(G43-G42)))</f>
        <v>#VALUE!</v>
      </c>
      <c r="L43" s="160" t="e">
        <f ca="1">IF(G43="Всього:",SUM($L$5:L42),$E$4)</f>
        <v>#VALUE!</v>
      </c>
      <c r="M43" s="160" t="e">
        <f ca="1">IF(G43="Всього:",SUM($M$5:M42),IF($E$5="UAH",J43+L43+K43,J43+K43))</f>
        <v>#VALUE!</v>
      </c>
      <c r="N43" s="160" t="str">
        <f ca="1">IF(G43="Всього:",SUM($N$4:N42),IF($E$5="UAH","",L43))</f>
        <v/>
      </c>
      <c r="O43" s="160" t="e">
        <f t="shared" ca="1" si="0"/>
        <v>#VALUE!</v>
      </c>
    </row>
    <row r="44" spans="1:15" x14ac:dyDescent="0.3">
      <c r="F44" s="160" t="str">
        <f t="shared" ca="1" si="1"/>
        <v/>
      </c>
      <c r="G44" s="160">
        <f t="shared" ca="1" si="3"/>
        <v>47392</v>
      </c>
      <c r="H44" s="160">
        <f t="shared" ca="1" si="2"/>
        <v>40</v>
      </c>
      <c r="I44" s="160">
        <f ca="1">IF($G44="Всього:",SUM($I$4:I43),IF(AND(DAY($C$4)&gt;=15,H44=1),K44+L44,$C$32))</f>
        <v>3804</v>
      </c>
      <c r="J44" s="160" t="e">
        <f ca="1">IF($G44="Всього:",SUM($J$4:J43),IF(I44-SUM(K44:L44)&lt;0,0,I44-SUM(K44:L44)))</f>
        <v>#VALUE!</v>
      </c>
      <c r="K44" s="160" t="e">
        <f ca="1">IF(G44="Всього:",SUM($K$5:K43),IF(F44&lt;&gt;F43,(F44*O43/36000*(G44-CONCATENATE(DAY($C$4),".",MONTH(G43),".",YEAR(G43)))+(F43*O43/36000*(CONCATENATE(DAY($C$4),".",MONTH(G43),".",YEAR(G43))-G43))),F44*O43/36000*(G44-G43)))</f>
        <v>#VALUE!</v>
      </c>
      <c r="L44" s="160" t="e">
        <f ca="1">IF(G44="Всього:",SUM($L$5:L43),$E$4)</f>
        <v>#VALUE!</v>
      </c>
      <c r="M44" s="160" t="e">
        <f ca="1">IF(G44="Всього:",SUM($M$5:M43),IF($E$5="UAH",J44+L44+K44,J44+K44))</f>
        <v>#VALUE!</v>
      </c>
      <c r="N44" s="160" t="str">
        <f ca="1">IF(G44="Всього:",SUM($N$4:N43),IF($E$5="UAH","",L44))</f>
        <v/>
      </c>
      <c r="O44" s="160" t="e">
        <f t="shared" ca="1" si="0"/>
        <v>#VALUE!</v>
      </c>
    </row>
    <row r="45" spans="1:15" x14ac:dyDescent="0.3">
      <c r="F45" s="160" t="str">
        <f t="shared" ca="1" si="1"/>
        <v/>
      </c>
      <c r="G45" s="160">
        <f t="shared" ca="1" si="3"/>
        <v>47423</v>
      </c>
      <c r="H45" s="160">
        <f t="shared" ca="1" si="2"/>
        <v>41</v>
      </c>
      <c r="I45" s="160">
        <f ca="1">IF($G45="Всього:",SUM($I$4:I44),IF(AND(DAY($C$4)&gt;=15,H45=1),K45+L45,$C$32))</f>
        <v>3804</v>
      </c>
      <c r="J45" s="160" t="e">
        <f ca="1">IF($G45="Всього:",SUM($J$4:J44),IF(I45-SUM(K45:L45)&lt;0,0,I45-SUM(K45:L45)))</f>
        <v>#VALUE!</v>
      </c>
      <c r="K45" s="160" t="e">
        <f ca="1">IF(G45="Всього:",SUM($K$5:K44),IF(F45&lt;&gt;F44,(F45*O44/36000*(G45-CONCATENATE(DAY($C$4),".",MONTH(G44),".",YEAR(G44)))+(F44*O44/36000*(CONCATENATE(DAY($C$4),".",MONTH(G44),".",YEAR(G44))-G44))),F45*O44/36000*(G45-G44)))</f>
        <v>#VALUE!</v>
      </c>
      <c r="L45" s="160" t="e">
        <f ca="1">IF(G45="Всього:",SUM($L$5:L44),$E$4)</f>
        <v>#VALUE!</v>
      </c>
      <c r="M45" s="160" t="e">
        <f ca="1">IF(G45="Всього:",SUM($M$5:M44),IF($E$5="UAH",J45+L45+K45,J45+K45))</f>
        <v>#VALUE!</v>
      </c>
      <c r="N45" s="160" t="str">
        <f ca="1">IF(G45="Всього:",SUM($N$4:N44),IF($E$5="UAH","",L45))</f>
        <v/>
      </c>
      <c r="O45" s="160" t="e">
        <f t="shared" ca="1" si="0"/>
        <v>#VALUE!</v>
      </c>
    </row>
    <row r="46" spans="1:15" x14ac:dyDescent="0.3">
      <c r="F46" s="160" t="str">
        <f t="shared" ca="1" si="1"/>
        <v/>
      </c>
      <c r="G46" s="160">
        <f t="shared" ca="1" si="3"/>
        <v>47453</v>
      </c>
      <c r="H46" s="160">
        <f t="shared" ca="1" si="2"/>
        <v>42</v>
      </c>
      <c r="I46" s="160">
        <f ca="1">IF($G46="Всього:",SUM($I$4:I45),IF(AND(DAY($C$4)&gt;=15,H46=1),K46+L46,$C$32))</f>
        <v>3804</v>
      </c>
      <c r="J46" s="160" t="e">
        <f ca="1">IF($G46="Всього:",SUM($J$4:J45),IF(I46-SUM(K46:L46)&lt;0,0,I46-SUM(K46:L46)))</f>
        <v>#VALUE!</v>
      </c>
      <c r="K46" s="160" t="e">
        <f ca="1">IF(G46="Всього:",SUM($K$5:K45),IF(F46&lt;&gt;F45,(F46*O45/36000*(G46-CONCATENATE(DAY($C$4),".",MONTH(G45),".",YEAR(G45)))+(F45*O45/36000*(CONCATENATE(DAY($C$4),".",MONTH(G45),".",YEAR(G45))-G45))),F46*O45/36000*(G46-G45)))</f>
        <v>#VALUE!</v>
      </c>
      <c r="L46" s="160" t="e">
        <f ca="1">IF(G46="Всього:",SUM($L$5:L45),$E$4)</f>
        <v>#VALUE!</v>
      </c>
      <c r="M46" s="160" t="e">
        <f ca="1">IF(G46="Всього:",SUM($M$5:M45),IF($E$5="UAH",J46+L46+K46,J46+K46))</f>
        <v>#VALUE!</v>
      </c>
      <c r="N46" s="160" t="str">
        <f ca="1">IF(G46="Всього:",SUM($N$4:N45),IF($E$5="UAH","",L46))</f>
        <v/>
      </c>
      <c r="O46" s="160" t="e">
        <f t="shared" ca="1" si="0"/>
        <v>#VALUE!</v>
      </c>
    </row>
    <row r="47" spans="1:15" x14ac:dyDescent="0.3">
      <c r="F47" s="160" t="str">
        <f t="shared" ca="1" si="1"/>
        <v/>
      </c>
      <c r="G47" s="160">
        <f t="shared" ca="1" si="3"/>
        <v>47484</v>
      </c>
      <c r="H47" s="160">
        <f t="shared" ca="1" si="2"/>
        <v>43</v>
      </c>
      <c r="I47" s="160">
        <f ca="1">IF($G47="Всього:",SUM($I$4:I46),IF(AND(DAY($C$4)&gt;=15,H47=1),K47+L47,$C$32))</f>
        <v>3804</v>
      </c>
      <c r="J47" s="160" t="e">
        <f ca="1">IF($G47="Всього:",SUM($J$4:J46),IF(I47-SUM(K47:L47)&lt;0,0,I47-SUM(K47:L47)))</f>
        <v>#VALUE!</v>
      </c>
      <c r="K47" s="160" t="e">
        <f ca="1">IF(G47="Всього:",SUM($K$5:K46),IF(F47&lt;&gt;F46,(F47*O46/36000*(G47-CONCATENATE(DAY($C$4),".",MONTH(G46),".",YEAR(G46)))+(F46*O46/36000*(CONCATENATE(DAY($C$4),".",MONTH(G46),".",YEAR(G46))-G46))),F47*O46/36000*(G47-G46)))</f>
        <v>#VALUE!</v>
      </c>
      <c r="L47" s="160" t="e">
        <f ca="1">IF(G47="Всього:",SUM($L$5:L46),$E$4)</f>
        <v>#VALUE!</v>
      </c>
      <c r="M47" s="160" t="e">
        <f ca="1">IF(G47="Всього:",SUM($M$5:M46),IF($E$5="UAH",J47+L47+K47,J47+K47))</f>
        <v>#VALUE!</v>
      </c>
      <c r="N47" s="160" t="str">
        <f ca="1">IF(G47="Всього:",SUM($N$4:N46),IF($E$5="UAH","",L47))</f>
        <v/>
      </c>
      <c r="O47" s="160" t="e">
        <f t="shared" ca="1" si="0"/>
        <v>#VALUE!</v>
      </c>
    </row>
    <row r="48" spans="1:15" x14ac:dyDescent="0.3">
      <c r="F48" s="160" t="str">
        <f t="shared" ca="1" si="1"/>
        <v/>
      </c>
      <c r="G48" s="160">
        <f t="shared" ca="1" si="3"/>
        <v>47515</v>
      </c>
      <c r="H48" s="160">
        <f t="shared" ca="1" si="2"/>
        <v>44</v>
      </c>
      <c r="I48" s="160">
        <f ca="1">IF($G48="Всього:",SUM($I$4:I47),IF(AND(DAY($C$4)&gt;=15,H48=1),K48+L48,$C$32))</f>
        <v>3804</v>
      </c>
      <c r="J48" s="160" t="e">
        <f ca="1">IF($G48="Всього:",SUM($J$4:J47),IF(I48-SUM(K48:L48)&lt;0,0,I48-SUM(K48:L48)))</f>
        <v>#VALUE!</v>
      </c>
      <c r="K48" s="160" t="e">
        <f ca="1">IF(G48="Всього:",SUM($K$5:K47),IF(F48&lt;&gt;F47,(F48*O47/36000*(G48-CONCATENATE(DAY($C$4),".",MONTH(G47),".",YEAR(G47)))+(F47*O47/36000*(CONCATENATE(DAY($C$4),".",MONTH(G47),".",YEAR(G47))-G47))),F48*O47/36000*(G48-G47)))</f>
        <v>#VALUE!</v>
      </c>
      <c r="L48" s="160" t="e">
        <f ca="1">IF(G48="Всього:",SUM($L$5:L47),$E$4)</f>
        <v>#VALUE!</v>
      </c>
      <c r="M48" s="160" t="e">
        <f ca="1">IF(G48="Всього:",SUM($M$5:M47),IF($E$5="UAH",J48+L48+K48,J48+K48))</f>
        <v>#VALUE!</v>
      </c>
      <c r="N48" s="160" t="str">
        <f ca="1">IF(G48="Всього:",SUM($N$4:N47),IF($E$5="UAH","",L48))</f>
        <v/>
      </c>
      <c r="O48" s="160" t="e">
        <f t="shared" ca="1" si="0"/>
        <v>#VALUE!</v>
      </c>
    </row>
    <row r="49" spans="6:15" x14ac:dyDescent="0.3">
      <c r="F49" s="160" t="str">
        <f t="shared" ca="1" si="1"/>
        <v/>
      </c>
      <c r="G49" s="160">
        <f t="shared" ca="1" si="3"/>
        <v>47543</v>
      </c>
      <c r="H49" s="160">
        <f t="shared" ca="1" si="2"/>
        <v>45</v>
      </c>
      <c r="I49" s="160">
        <f ca="1">IF($G49="Всього:",SUM($I$4:I48),IF(AND(DAY($C$4)&gt;=15,H49=1),K49+L49,$C$32))</f>
        <v>3804</v>
      </c>
      <c r="J49" s="160" t="e">
        <f ca="1">IF($G49="Всього:",SUM($J$4:J48),IF(I49-SUM(K49:L49)&lt;0,0,I49-SUM(K49:L49)))</f>
        <v>#VALUE!</v>
      </c>
      <c r="K49" s="160" t="e">
        <f ca="1">IF(G49="Всього:",SUM($K$5:K48),IF(F49&lt;&gt;F48,(F49*O48/36000*(G49-CONCATENATE(DAY($C$4),".",MONTH(G48),".",YEAR(G48)))+(F48*O48/36000*(CONCATENATE(DAY($C$4),".",MONTH(G48),".",YEAR(G48))-G48))),F49*O48/36000*(G49-G48)))</f>
        <v>#VALUE!</v>
      </c>
      <c r="L49" s="160" t="e">
        <f ca="1">IF(G49="Всього:",SUM($L$5:L48),$E$4)</f>
        <v>#VALUE!</v>
      </c>
      <c r="M49" s="160" t="e">
        <f ca="1">IF(G49="Всього:",SUM($M$5:M48),IF($E$5="UAH",J49+L49+K49,J49+K49))</f>
        <v>#VALUE!</v>
      </c>
      <c r="N49" s="160" t="str">
        <f ca="1">IF(G49="Всього:",SUM($N$4:N48),IF($E$5="UAH","",L49))</f>
        <v/>
      </c>
      <c r="O49" s="160" t="e">
        <f t="shared" ca="1" si="0"/>
        <v>#VALUE!</v>
      </c>
    </row>
    <row r="50" spans="6:15" x14ac:dyDescent="0.3">
      <c r="F50" s="160" t="str">
        <f t="shared" ca="1" si="1"/>
        <v/>
      </c>
      <c r="G50" s="160">
        <f t="shared" ca="1" si="3"/>
        <v>47574</v>
      </c>
      <c r="H50" s="160">
        <f t="shared" ca="1" si="2"/>
        <v>46</v>
      </c>
      <c r="I50" s="160">
        <f ca="1">IF($G50="Всього:",SUM($I$4:I49),IF(AND(DAY($C$4)&gt;=15,H50=1),K50+L50,$C$32))</f>
        <v>3804</v>
      </c>
      <c r="J50" s="160" t="e">
        <f ca="1">IF($G50="Всього:",SUM($J$4:J49),IF(I50-SUM(K50:L50)&lt;0,0,I50-SUM(K50:L50)))</f>
        <v>#VALUE!</v>
      </c>
      <c r="K50" s="160" t="e">
        <f ca="1">IF(G50="Всього:",SUM($K$5:K49),IF(F50&lt;&gt;F49,(F50*O49/36000*(G50-CONCATENATE(DAY($C$4),".",MONTH(G49),".",YEAR(G49)))+(F49*O49/36000*(CONCATENATE(DAY($C$4),".",MONTH(G49),".",YEAR(G49))-G49))),F50*O49/36000*(G50-G49)))</f>
        <v>#VALUE!</v>
      </c>
      <c r="L50" s="160" t="e">
        <f ca="1">IF(G50="Всього:",SUM($L$5:L49),$E$4)</f>
        <v>#VALUE!</v>
      </c>
      <c r="M50" s="160" t="e">
        <f ca="1">IF(G50="Всього:",SUM($M$5:M49),IF($E$5="UAH",J50+L50+K50,J50+K50))</f>
        <v>#VALUE!</v>
      </c>
      <c r="N50" s="160" t="str">
        <f ca="1">IF(G50="Всього:",SUM($N$4:N49),IF($E$5="UAH","",L50))</f>
        <v/>
      </c>
      <c r="O50" s="160" t="e">
        <f t="shared" ca="1" si="0"/>
        <v>#VALUE!</v>
      </c>
    </row>
    <row r="51" spans="6:15" x14ac:dyDescent="0.3">
      <c r="F51" s="160" t="str">
        <f t="shared" ca="1" si="1"/>
        <v/>
      </c>
      <c r="G51" s="160">
        <f t="shared" ca="1" si="3"/>
        <v>47604</v>
      </c>
      <c r="H51" s="160">
        <f t="shared" ca="1" si="2"/>
        <v>47</v>
      </c>
      <c r="I51" s="160">
        <f ca="1">IF($G51="Всього:",SUM($I$4:I50),IF(AND(DAY($C$4)&gt;=15,H51=1),K51+L51,$C$32))</f>
        <v>3804</v>
      </c>
      <c r="J51" s="160" t="e">
        <f ca="1">IF($G51="Всього:",SUM($J$4:J50),IF(I51-SUM(K51:L51)&lt;0,0,I51-SUM(K51:L51)))</f>
        <v>#VALUE!</v>
      </c>
      <c r="K51" s="160" t="e">
        <f ca="1">IF(G51="Всього:",SUM($K$5:K50),IF(F51&lt;&gt;F50,(F51*O50/36000*(G51-CONCATENATE(DAY($C$4),".",MONTH(G50),".",YEAR(G50)))+(F50*O50/36000*(CONCATENATE(DAY($C$4),".",MONTH(G50),".",YEAR(G50))-G50))),F51*O50/36000*(G51-G50)))</f>
        <v>#VALUE!</v>
      </c>
      <c r="L51" s="160" t="e">
        <f ca="1">IF(G51="Всього:",SUM($L$5:L50),$E$4)</f>
        <v>#VALUE!</v>
      </c>
      <c r="M51" s="160" t="e">
        <f ca="1">IF(G51="Всього:",SUM($M$5:M50),IF($E$5="UAH",J51+L51+K51,J51+K51))</f>
        <v>#VALUE!</v>
      </c>
      <c r="N51" s="160" t="str">
        <f ca="1">IF(G51="Всього:",SUM($N$4:N50),IF($E$5="UAH","",L51))</f>
        <v/>
      </c>
      <c r="O51" s="160" t="e">
        <f t="shared" ca="1" si="0"/>
        <v>#VALUE!</v>
      </c>
    </row>
    <row r="52" spans="6:15" x14ac:dyDescent="0.3">
      <c r="F52" s="160" t="str">
        <f t="shared" ca="1" si="1"/>
        <v/>
      </c>
      <c r="G52" s="160">
        <f t="shared" ca="1" si="3"/>
        <v>47635</v>
      </c>
      <c r="H52" s="160">
        <f t="shared" ca="1" si="2"/>
        <v>48</v>
      </c>
      <c r="I52" s="160">
        <f ca="1">IF($G52="Всього:",SUM($I$4:I51),IF(AND(DAY($C$4)&gt;=15,H52=1),K52+L52,$C$32))</f>
        <v>3804</v>
      </c>
      <c r="J52" s="160" t="e">
        <f ca="1">IF($G52="Всього:",SUM($J$4:J51),IF(I52-SUM(K52:L52)&lt;0,0,I52-SUM(K52:L52)))</f>
        <v>#VALUE!</v>
      </c>
      <c r="K52" s="160" t="e">
        <f ca="1">IF(G52="Всього:",SUM($K$5:K51),IF(F52&lt;&gt;F51,(F52*O51/36000*(G52-CONCATENATE(DAY($C$4),".",MONTH(G51),".",YEAR(G51)))+(F51*O51/36000*(CONCATENATE(DAY($C$4),".",MONTH(G51),".",YEAR(G51))-G51))),F52*O51/36000*(G52-G51)))</f>
        <v>#VALUE!</v>
      </c>
      <c r="L52" s="160" t="e">
        <f ca="1">IF(G52="Всього:",SUM($L$5:L51),$E$4)</f>
        <v>#VALUE!</v>
      </c>
      <c r="M52" s="160" t="e">
        <f ca="1">IF(G52="Всього:",SUM($M$5:M51),IF($E$5="UAH",J52+L52+K52,J52+K52))</f>
        <v>#VALUE!</v>
      </c>
      <c r="N52" s="160" t="str">
        <f ca="1">IF(G52="Всього:",SUM($N$4:N51),IF($E$5="UAH","",L52))</f>
        <v/>
      </c>
      <c r="O52" s="160" t="e">
        <f t="shared" ca="1" si="0"/>
        <v>#VALUE!</v>
      </c>
    </row>
    <row r="53" spans="6:15" x14ac:dyDescent="0.3">
      <c r="F53" s="160" t="str">
        <f t="shared" ca="1" si="1"/>
        <v/>
      </c>
      <c r="G53" s="160">
        <f t="shared" ca="1" si="3"/>
        <v>47665</v>
      </c>
      <c r="H53" s="160">
        <f t="shared" ca="1" si="2"/>
        <v>49</v>
      </c>
      <c r="I53" s="160">
        <f ca="1">IF($G53="Всього:",SUM($I$4:I52),IF(AND(DAY($C$4)&gt;=15,H53=1),K53+L53,$C$32))</f>
        <v>3804</v>
      </c>
      <c r="J53" s="160" t="e">
        <f ca="1">IF($G53="Всього:",SUM($J$4:J52),IF(I53-SUM(K53:L53)&lt;0,0,I53-SUM(K53:L53)))</f>
        <v>#VALUE!</v>
      </c>
      <c r="K53" s="160" t="e">
        <f ca="1">IF(G53="Всього:",SUM($K$5:K52),IF(F53&lt;&gt;F52,(F53*O52/36000*(G53-CONCATENATE(DAY($C$4),".",MONTH(G52),".",YEAR(G52)))+(F52*O52/36000*(CONCATENATE(DAY($C$4),".",MONTH(G52),".",YEAR(G52))-G52))),F53*O52/36000*(G53-G52)))</f>
        <v>#VALUE!</v>
      </c>
      <c r="L53" s="160" t="e">
        <f ca="1">IF(G53="Всього:",SUM($L$5:L52),$E$4)</f>
        <v>#VALUE!</v>
      </c>
      <c r="M53" s="160" t="e">
        <f ca="1">IF(G53="Всього:",SUM($M$5:M52),IF($E$5="UAH",J53+L53+K53,J53+K53))</f>
        <v>#VALUE!</v>
      </c>
      <c r="N53" s="160" t="str">
        <f ca="1">IF(G53="Всього:",SUM($N$4:N52),IF($E$5="UAH","",L53))</f>
        <v/>
      </c>
      <c r="O53" s="160" t="e">
        <f t="shared" ca="1" si="0"/>
        <v>#VALUE!</v>
      </c>
    </row>
    <row r="54" spans="6:15" x14ac:dyDescent="0.3">
      <c r="F54" s="160" t="str">
        <f t="shared" ca="1" si="1"/>
        <v/>
      </c>
      <c r="G54" s="160">
        <f t="shared" ca="1" si="3"/>
        <v>47696</v>
      </c>
      <c r="H54" s="160">
        <f t="shared" ca="1" si="2"/>
        <v>50</v>
      </c>
      <c r="I54" s="160">
        <f ca="1">IF($G54="Всього:",SUM($I$4:I53),IF(AND(DAY($C$4)&gt;=15,H54=1),K54+L54,$C$32))</f>
        <v>3804</v>
      </c>
      <c r="J54" s="160" t="e">
        <f ca="1">IF($G54="Всього:",SUM($J$4:J53),IF(I54-SUM(K54:L54)&lt;0,0,I54-SUM(K54:L54)))</f>
        <v>#VALUE!</v>
      </c>
      <c r="K54" s="160" t="e">
        <f ca="1">IF(G54="Всього:",SUM($K$5:K53),IF(F54&lt;&gt;F53,(F54*O53/36000*(G54-CONCATENATE(DAY($C$4),".",MONTH(G53),".",YEAR(G53)))+(F53*O53/36000*(CONCATENATE(DAY($C$4),".",MONTH(G53),".",YEAR(G53))-G53))),F54*O53/36000*(G54-G53)))</f>
        <v>#VALUE!</v>
      </c>
      <c r="L54" s="160" t="e">
        <f ca="1">IF(G54="Всього:",SUM($L$5:L53),$E$4)</f>
        <v>#VALUE!</v>
      </c>
      <c r="M54" s="160" t="e">
        <f ca="1">IF(G54="Всього:",SUM($M$5:M53),IF($E$5="UAH",J54+L54+K54,J54+K54))</f>
        <v>#VALUE!</v>
      </c>
      <c r="N54" s="160" t="str">
        <f ca="1">IF(G54="Всього:",SUM($N$4:N53),IF($E$5="UAH","",L54))</f>
        <v/>
      </c>
      <c r="O54" s="160" t="e">
        <f t="shared" ca="1" si="0"/>
        <v>#VALUE!</v>
      </c>
    </row>
    <row r="55" spans="6:15" x14ac:dyDescent="0.3">
      <c r="F55" s="160" t="str">
        <f t="shared" ca="1" si="1"/>
        <v/>
      </c>
      <c r="G55" s="160">
        <f t="shared" ca="1" si="3"/>
        <v>47727</v>
      </c>
      <c r="H55" s="160">
        <f t="shared" ca="1" si="2"/>
        <v>51</v>
      </c>
      <c r="I55" s="160">
        <f ca="1">IF($G55="Всього:",SUM($I$4:I54),IF(AND(DAY($C$4)&gt;=15,H55=1),K55+L55,$C$32))</f>
        <v>3804</v>
      </c>
      <c r="J55" s="160" t="e">
        <f ca="1">IF($G55="Всього:",SUM($J$4:J54),IF(I55-SUM(K55:L55)&lt;0,0,I55-SUM(K55:L55)))</f>
        <v>#VALUE!</v>
      </c>
      <c r="K55" s="160" t="e">
        <f ca="1">IF(G55="Всього:",SUM($K$5:K54),IF(F55&lt;&gt;F54,(F55*O54/36000*(G55-CONCATENATE(DAY($C$4),".",MONTH(G54),".",YEAR(G54)))+(F54*O54/36000*(CONCATENATE(DAY($C$4),".",MONTH(G54),".",YEAR(G54))-G54))),F55*O54/36000*(G55-G54)))</f>
        <v>#VALUE!</v>
      </c>
      <c r="L55" s="160" t="e">
        <f ca="1">IF(G55="Всього:",SUM($L$5:L54),$E$4)</f>
        <v>#VALUE!</v>
      </c>
      <c r="M55" s="160" t="e">
        <f ca="1">IF(G55="Всього:",SUM($M$5:M54),IF($E$5="UAH",J55+L55+K55,J55+K55))</f>
        <v>#VALUE!</v>
      </c>
      <c r="N55" s="160" t="str">
        <f ca="1">IF(G55="Всього:",SUM($N$4:N54),IF($E$5="UAH","",L55))</f>
        <v/>
      </c>
      <c r="O55" s="160" t="e">
        <f t="shared" ca="1" si="0"/>
        <v>#VALUE!</v>
      </c>
    </row>
    <row r="56" spans="6:15" x14ac:dyDescent="0.3">
      <c r="F56" s="160" t="str">
        <f t="shared" ca="1" si="1"/>
        <v/>
      </c>
      <c r="G56" s="160">
        <f t="shared" ca="1" si="3"/>
        <v>47757</v>
      </c>
      <c r="H56" s="160">
        <f t="shared" ca="1" si="2"/>
        <v>52</v>
      </c>
      <c r="I56" s="160">
        <f ca="1">IF($G56="Всього:",SUM($I$4:I55),IF(AND(DAY($C$4)&gt;=15,H56=1),K56+L56,$C$32))</f>
        <v>3804</v>
      </c>
      <c r="J56" s="160" t="e">
        <f ca="1">IF($G56="Всього:",SUM($J$4:J55),IF(I56-SUM(K56:L56)&lt;0,0,I56-SUM(K56:L56)))</f>
        <v>#VALUE!</v>
      </c>
      <c r="K56" s="160" t="e">
        <f ca="1">IF(G56="Всього:",SUM($K$5:K55),IF(F56&lt;&gt;F55,(F56*O55/36000*(G56-CONCATENATE(DAY($C$4),".",MONTH(G55),".",YEAR(G55)))+(F55*O55/36000*(CONCATENATE(DAY($C$4),".",MONTH(G55),".",YEAR(G55))-G55))),F56*O55/36000*(G56-G55)))</f>
        <v>#VALUE!</v>
      </c>
      <c r="L56" s="160" t="e">
        <f ca="1">IF(G56="Всього:",SUM($L$5:L55),$E$4)</f>
        <v>#VALUE!</v>
      </c>
      <c r="M56" s="160" t="e">
        <f ca="1">IF(G56="Всього:",SUM($M$5:M55),IF($E$5="UAH",J56+L56+K56,J56+K56))</f>
        <v>#VALUE!</v>
      </c>
      <c r="N56" s="160" t="str">
        <f ca="1">IF(G56="Всього:",SUM($N$4:N55),IF($E$5="UAH","",L56))</f>
        <v/>
      </c>
      <c r="O56" s="160" t="e">
        <f t="shared" ca="1" si="0"/>
        <v>#VALUE!</v>
      </c>
    </row>
    <row r="57" spans="6:15" x14ac:dyDescent="0.3">
      <c r="F57" s="160" t="str">
        <f t="shared" ca="1" si="1"/>
        <v/>
      </c>
      <c r="G57" s="160">
        <f t="shared" ca="1" si="3"/>
        <v>47788</v>
      </c>
      <c r="H57" s="160">
        <f t="shared" ca="1" si="2"/>
        <v>53</v>
      </c>
      <c r="I57" s="160">
        <f ca="1">IF($G57="Всього:",SUM($I$4:I56),IF(AND(DAY($C$4)&gt;=15,H57=1),K57+L57,$C$32))</f>
        <v>3804</v>
      </c>
      <c r="J57" s="160" t="e">
        <f ca="1">IF($G57="Всього:",SUM($J$4:J56),IF(I57-SUM(K57:L57)&lt;0,0,I57-SUM(K57:L57)))</f>
        <v>#VALUE!</v>
      </c>
      <c r="K57" s="160" t="e">
        <f ca="1">IF(G57="Всього:",SUM($K$5:K56),IF(F57&lt;&gt;F56,(F57*O56/36000*(G57-CONCATENATE(DAY($C$4),".",MONTH(G56),".",YEAR(G56)))+(F56*O56/36000*(CONCATENATE(DAY($C$4),".",MONTH(G56),".",YEAR(G56))-G56))),F57*O56/36000*(G57-G56)))</f>
        <v>#VALUE!</v>
      </c>
      <c r="L57" s="160" t="e">
        <f ca="1">IF(G57="Всього:",SUM($L$5:L56),$E$4)</f>
        <v>#VALUE!</v>
      </c>
      <c r="M57" s="160" t="e">
        <f ca="1">IF(G57="Всього:",SUM($M$5:M56),IF($E$5="UAH",J57+L57+K57,J57+K57))</f>
        <v>#VALUE!</v>
      </c>
      <c r="N57" s="160" t="str">
        <f ca="1">IF(G57="Всього:",SUM($N$4:N56),IF($E$5="UAH","",L57))</f>
        <v/>
      </c>
      <c r="O57" s="160" t="e">
        <f t="shared" ca="1" si="0"/>
        <v>#VALUE!</v>
      </c>
    </row>
    <row r="58" spans="6:15" x14ac:dyDescent="0.3">
      <c r="F58" s="160" t="str">
        <f t="shared" ca="1" si="1"/>
        <v/>
      </c>
      <c r="G58" s="160">
        <f t="shared" ca="1" si="3"/>
        <v>47818</v>
      </c>
      <c r="H58" s="160">
        <f t="shared" ca="1" si="2"/>
        <v>54</v>
      </c>
      <c r="I58" s="160">
        <f ca="1">IF($G58="Всього:",SUM($I$4:I57),IF(AND(DAY($C$4)&gt;=15,H58=1),K58+L58,$C$32))</f>
        <v>3804</v>
      </c>
      <c r="J58" s="160" t="e">
        <f ca="1">IF($G58="Всього:",SUM($J$4:J57),IF(I58-SUM(K58:L58)&lt;0,0,I58-SUM(K58:L58)))</f>
        <v>#VALUE!</v>
      </c>
      <c r="K58" s="160" t="e">
        <f ca="1">IF(G58="Всього:",SUM($K$5:K57),IF(F58&lt;&gt;F57,(F58*O57/36000*(G58-CONCATENATE(DAY($C$4),".",MONTH(G57),".",YEAR(G57)))+(F57*O57/36000*(CONCATENATE(DAY($C$4),".",MONTH(G57),".",YEAR(G57))-G57))),F58*O57/36000*(G58-G57)))</f>
        <v>#VALUE!</v>
      </c>
      <c r="L58" s="160" t="e">
        <f ca="1">IF(G58="Всього:",SUM($L$5:L57),$E$4)</f>
        <v>#VALUE!</v>
      </c>
      <c r="M58" s="160" t="e">
        <f ca="1">IF(G58="Всього:",SUM($M$5:M57),IF($E$5="UAH",J58+L58+K58,J58+K58))</f>
        <v>#VALUE!</v>
      </c>
      <c r="N58" s="160" t="str">
        <f ca="1">IF(G58="Всього:",SUM($N$4:N57),IF($E$5="UAH","",L58))</f>
        <v/>
      </c>
      <c r="O58" s="160" t="e">
        <f t="shared" ca="1" si="0"/>
        <v>#VALUE!</v>
      </c>
    </row>
    <row r="59" spans="6:15" x14ac:dyDescent="0.3">
      <c r="F59" s="160" t="str">
        <f t="shared" ca="1" si="1"/>
        <v/>
      </c>
      <c r="G59" s="160">
        <f t="shared" ca="1" si="3"/>
        <v>47849</v>
      </c>
      <c r="H59" s="160">
        <f t="shared" ca="1" si="2"/>
        <v>55</v>
      </c>
      <c r="I59" s="160">
        <f ca="1">IF($G59="Всього:",SUM($I$4:I58),IF(AND(DAY($C$4)&gt;=15,H59=1),K59+L59,$C$32))</f>
        <v>3804</v>
      </c>
      <c r="J59" s="160" t="e">
        <f ca="1">IF($G59="Всього:",SUM($J$4:J58),IF(I59-SUM(K59:L59)&lt;0,0,I59-SUM(K59:L59)))</f>
        <v>#VALUE!</v>
      </c>
      <c r="K59" s="160" t="e">
        <f ca="1">IF(G59="Всього:",SUM($K$5:K58),IF(F59&lt;&gt;F58,(F59*O58/36000*(G59-CONCATENATE(DAY($C$4),".",MONTH(G58),".",YEAR(G58)))+(F58*O58/36000*(CONCATENATE(DAY($C$4),".",MONTH(G58),".",YEAR(G58))-G58))),F59*O58/36000*(G59-G58)))</f>
        <v>#VALUE!</v>
      </c>
      <c r="L59" s="160" t="e">
        <f ca="1">IF(G59="Всього:",SUM($L$5:L58),$E$4)</f>
        <v>#VALUE!</v>
      </c>
      <c r="M59" s="160" t="e">
        <f ca="1">IF(G59="Всього:",SUM($M$5:M58),IF($E$5="UAH",J59+L59+K59,J59+K59))</f>
        <v>#VALUE!</v>
      </c>
      <c r="N59" s="160" t="str">
        <f ca="1">IF(G59="Всього:",SUM($N$4:N58),IF($E$5="UAH","",L59))</f>
        <v/>
      </c>
      <c r="O59" s="160" t="e">
        <f t="shared" ca="1" si="0"/>
        <v>#VALUE!</v>
      </c>
    </row>
    <row r="60" spans="6:15" x14ac:dyDescent="0.3">
      <c r="F60" s="160" t="str">
        <f t="shared" ca="1" si="1"/>
        <v/>
      </c>
      <c r="G60" s="160">
        <f t="shared" ca="1" si="3"/>
        <v>47880</v>
      </c>
      <c r="H60" s="160">
        <f t="shared" ca="1" si="2"/>
        <v>56</v>
      </c>
      <c r="I60" s="160">
        <f ca="1">IF($G60="Всього:",SUM($I$4:I59),IF(AND(DAY($C$4)&gt;=15,H60=1),K60+L60,$C$32))</f>
        <v>3804</v>
      </c>
      <c r="J60" s="160" t="e">
        <f ca="1">IF($G60="Всього:",SUM($J$4:J59),IF(I60-SUM(K60:L60)&lt;0,0,I60-SUM(K60:L60)))</f>
        <v>#VALUE!</v>
      </c>
      <c r="K60" s="160" t="e">
        <f ca="1">IF(G60="Всього:",SUM($K$5:K59),IF(F60&lt;&gt;F59,(F60*O59/36000*(G60-CONCATENATE(DAY($C$4),".",MONTH(G59),".",YEAR(G59)))+(F59*O59/36000*(CONCATENATE(DAY($C$4),".",MONTH(G59),".",YEAR(G59))-G59))),F60*O59/36000*(G60-G59)))</f>
        <v>#VALUE!</v>
      </c>
      <c r="L60" s="160" t="e">
        <f ca="1">IF(G60="Всього:",SUM($L$5:L59),$E$4)</f>
        <v>#VALUE!</v>
      </c>
      <c r="M60" s="160" t="e">
        <f ca="1">IF(G60="Всього:",SUM($M$5:M59),IF($E$5="UAH",J60+L60+K60,J60+K60))</f>
        <v>#VALUE!</v>
      </c>
      <c r="N60" s="160" t="str">
        <f ca="1">IF(G60="Всього:",SUM($N$4:N59),IF($E$5="UAH","",L60))</f>
        <v/>
      </c>
      <c r="O60" s="160" t="e">
        <f t="shared" ca="1" si="0"/>
        <v>#VALUE!</v>
      </c>
    </row>
    <row r="61" spans="6:15" x14ac:dyDescent="0.3">
      <c r="F61" s="160" t="str">
        <f t="shared" ca="1" si="1"/>
        <v/>
      </c>
      <c r="G61" s="160">
        <f t="shared" ca="1" si="3"/>
        <v>47908</v>
      </c>
      <c r="H61" s="160">
        <f t="shared" ca="1" si="2"/>
        <v>57</v>
      </c>
      <c r="I61" s="160">
        <f ca="1">IF($G61="Всього:",SUM($I$4:I60),IF(AND(DAY($C$4)&gt;=15,H61=1),K61+L61,$C$32))</f>
        <v>3804</v>
      </c>
      <c r="J61" s="160" t="e">
        <f ca="1">IF($G61="Всього:",SUM($J$4:J60),IF(I61-SUM(K61:L61)&lt;0,0,I61-SUM(K61:L61)))</f>
        <v>#VALUE!</v>
      </c>
      <c r="K61" s="160" t="e">
        <f ca="1">IF(G61="Всього:",SUM($K$5:K60),IF(F61&lt;&gt;F60,(F61*O60/36000*(G61-CONCATENATE(DAY($C$4),".",MONTH(G60),".",YEAR(G60)))+(F60*O60/36000*(CONCATENATE(DAY($C$4),".",MONTH(G60),".",YEAR(G60))-G60))),F61*O60/36000*(G61-G60)))</f>
        <v>#VALUE!</v>
      </c>
      <c r="L61" s="160" t="e">
        <f ca="1">IF(G61="Всього:",SUM($L$5:L60),$E$4)</f>
        <v>#VALUE!</v>
      </c>
      <c r="M61" s="160" t="e">
        <f ca="1">IF(G61="Всього:",SUM($M$5:M60),IF($E$5="UAH",J61+L61+K61,J61+K61))</f>
        <v>#VALUE!</v>
      </c>
      <c r="N61" s="160" t="str">
        <f ca="1">IF(G61="Всього:",SUM($N$4:N60),IF($E$5="UAH","",L61))</f>
        <v/>
      </c>
      <c r="O61" s="160" t="e">
        <f t="shared" ca="1" si="0"/>
        <v>#VALUE!</v>
      </c>
    </row>
    <row r="62" spans="6:15" x14ac:dyDescent="0.3">
      <c r="F62" s="160" t="str">
        <f t="shared" ca="1" si="1"/>
        <v/>
      </c>
      <c r="G62" s="160">
        <f t="shared" ca="1" si="3"/>
        <v>47939</v>
      </c>
      <c r="H62" s="160">
        <f t="shared" ca="1" si="2"/>
        <v>58</v>
      </c>
      <c r="I62" s="160">
        <f ca="1">IF($G62="Всього:",SUM($I$4:I61),IF(AND(DAY($C$4)&gt;=15,H62=1),K62+L62,$C$32))</f>
        <v>3804</v>
      </c>
      <c r="J62" s="160" t="e">
        <f ca="1">IF($G62="Всього:",SUM($J$4:J61),IF(I62-SUM(K62:L62)&lt;0,0,I62-SUM(K62:L62)))</f>
        <v>#VALUE!</v>
      </c>
      <c r="K62" s="160" t="e">
        <f ca="1">IF(G62="Всього:",SUM($K$5:K61),IF(F62&lt;&gt;F61,(F62*O61/36000*(G62-CONCATENATE(DAY($C$4),".",MONTH(G61),".",YEAR(G61)))+(F61*O61/36000*(CONCATENATE(DAY($C$4),".",MONTH(G61),".",YEAR(G61))-G61))),F62*O61/36000*(G62-G61)))</f>
        <v>#VALUE!</v>
      </c>
      <c r="L62" s="160" t="e">
        <f ca="1">IF(G62="Всього:",SUM($L$5:L61),$E$4)</f>
        <v>#VALUE!</v>
      </c>
      <c r="M62" s="160" t="e">
        <f ca="1">IF(G62="Всього:",SUM($M$5:M61),IF($E$5="UAH",J62+L62+K62,J62+K62))</f>
        <v>#VALUE!</v>
      </c>
      <c r="N62" s="160" t="str">
        <f ca="1">IF(G62="Всього:",SUM($N$4:N61),IF($E$5="UAH","",L62))</f>
        <v/>
      </c>
      <c r="O62" s="160" t="e">
        <f t="shared" ca="1" si="0"/>
        <v>#VALUE!</v>
      </c>
    </row>
    <row r="63" spans="6:15" x14ac:dyDescent="0.3">
      <c r="F63" s="160" t="str">
        <f t="shared" ca="1" si="1"/>
        <v/>
      </c>
      <c r="G63" s="160">
        <f t="shared" ca="1" si="3"/>
        <v>47969</v>
      </c>
      <c r="H63" s="160">
        <f t="shared" ca="1" si="2"/>
        <v>59</v>
      </c>
      <c r="I63" s="160">
        <f ca="1">IF($G63="Всього:",SUM($I$4:I62),IF(AND(DAY($C$4)&gt;=15,H63=1),K63+L63,$C$32))</f>
        <v>3804</v>
      </c>
      <c r="J63" s="160" t="e">
        <f ca="1">IF($G63="Всього:",SUM($J$4:J62),IF(I63-SUM(K63:L63)&lt;0,0,I63-SUM(K63:L63)))</f>
        <v>#VALUE!</v>
      </c>
      <c r="K63" s="160" t="e">
        <f ca="1">IF(G63="Всього:",SUM($K$5:K62),IF(F63&lt;&gt;F62,(F63*O62/36000*(G63-CONCATENATE(DAY($C$4),".",MONTH(G62),".",YEAR(G62)))+(F62*O62/36000*(CONCATENATE(DAY($C$4),".",MONTH(G62),".",YEAR(G62))-G62))),F63*O62/36000*(G63-G62)))</f>
        <v>#VALUE!</v>
      </c>
      <c r="L63" s="160" t="e">
        <f ca="1">IF(G63="Всього:",SUM($L$5:L62),$E$4)</f>
        <v>#VALUE!</v>
      </c>
      <c r="M63" s="160" t="e">
        <f ca="1">IF(G63="Всього:",SUM($M$5:M62),IF($E$5="UAH",J63+L63+K63,J63+K63))</f>
        <v>#VALUE!</v>
      </c>
      <c r="N63" s="160" t="str">
        <f ca="1">IF(G63="Всього:",SUM($N$4:N62),IF($E$5="UAH","",L63))</f>
        <v/>
      </c>
      <c r="O63" s="160" t="e">
        <f t="shared" ca="1" si="0"/>
        <v>#VALUE!</v>
      </c>
    </row>
    <row r="64" spans="6:15" x14ac:dyDescent="0.3">
      <c r="F64" s="160" t="str">
        <f t="shared" ca="1" si="1"/>
        <v/>
      </c>
      <c r="G64" s="160">
        <f t="shared" ca="1" si="3"/>
        <v>48000</v>
      </c>
      <c r="H64" s="160">
        <f t="shared" ca="1" si="2"/>
        <v>60</v>
      </c>
      <c r="I64" s="160">
        <f ca="1">IF($G64="Всього:",SUM($I$4:I63),IF(AND(DAY($C$4)&gt;=15,H64=1),K64+L64,$C$32))</f>
        <v>3804</v>
      </c>
      <c r="J64" s="160" t="e">
        <f ca="1">IF($G64="Всього:",SUM($J$4:J63),IF(I64-SUM(K64:L64)&lt;0,0,I64-SUM(K64:L64)))</f>
        <v>#VALUE!</v>
      </c>
      <c r="K64" s="160" t="e">
        <f ca="1">IF(G64="Всього:",SUM($K$5:K63),IF(F64&lt;&gt;F63,(F64*O63/36000*(G64-CONCATENATE(DAY($C$4),".",MONTH(G63),".",YEAR(G63)))+(F63*O63/36000*(CONCATENATE(DAY($C$4),".",MONTH(G63),".",YEAR(G63))-G63))),F64*O63/36000*(G64-G63)))</f>
        <v>#VALUE!</v>
      </c>
      <c r="L64" s="160" t="e">
        <f ca="1">IF(G64="Всього:",SUM($L$5:L63),$E$4)</f>
        <v>#VALUE!</v>
      </c>
      <c r="M64" s="160" t="e">
        <f ca="1">IF(G64="Всього:",SUM($M$5:M63),IF($E$5="UAH",J64+L64+K64,J64+K64))</f>
        <v>#VALUE!</v>
      </c>
      <c r="N64" s="160" t="str">
        <f ca="1">IF(G64="Всього:",SUM($N$4:N63),IF($E$5="UAH","",L64))</f>
        <v/>
      </c>
      <c r="O64" s="160" t="e">
        <f t="shared" ca="1" si="0"/>
        <v>#VALUE!</v>
      </c>
    </row>
    <row r="65" spans="6:15" x14ac:dyDescent="0.3">
      <c r="F65" s="160" t="str">
        <f t="shared" ca="1" si="1"/>
        <v/>
      </c>
      <c r="G65" s="160">
        <f t="shared" ca="1" si="3"/>
        <v>48006</v>
      </c>
      <c r="H65" s="160">
        <f t="shared" ca="1" si="2"/>
        <v>61</v>
      </c>
      <c r="I65" s="160">
        <f ca="1">IF($G65="Всього:",SUM($I$4:I64),IF(AND(DAY($C$4)&gt;=15,H65=1),K65+L65,$C$32))</f>
        <v>3804</v>
      </c>
      <c r="J65" s="160" t="e">
        <f ca="1">IF($G65="Всього:",SUM($J$4:J64),IF(I65-SUM(K65:L65)&lt;0,0,I65-SUM(K65:L65)))</f>
        <v>#VALUE!</v>
      </c>
      <c r="K65" s="160" t="e">
        <f ca="1">IF(G65="Всього:",SUM($K$5:K64),IF(F65&lt;&gt;F64,(F65*O64/36000*(G65-CONCATENATE(DAY($C$4),".",MONTH(G64),".",YEAR(G64)))+(F64*O64/36000*(CONCATENATE(DAY($C$4),".",MONTH(G64),".",YEAR(G64))-G64))),F65*O64/36000*(G65-G64)))</f>
        <v>#VALUE!</v>
      </c>
      <c r="L65" s="160" t="e">
        <f ca="1">IF(G65="Всього:",SUM($L$5:L64),$E$4)</f>
        <v>#VALUE!</v>
      </c>
      <c r="M65" s="160" t="e">
        <f ca="1">IF(G65="Всього:",SUM($M$5:M64),IF($E$5="UAH",J65+L65+K65,J65+K65))</f>
        <v>#VALUE!</v>
      </c>
      <c r="N65" s="160" t="str">
        <f ca="1">IF(G65="Всього:",SUM($N$4:N64),IF($E$5="UAH","",L65))</f>
        <v/>
      </c>
      <c r="O65" s="160" t="e">
        <f t="shared" ca="1" si="0"/>
        <v>#VALUE!</v>
      </c>
    </row>
    <row r="66" spans="6:15" x14ac:dyDescent="0.3">
      <c r="F66" s="160" t="str">
        <f t="shared" ca="1" si="1"/>
        <v/>
      </c>
      <c r="G66" s="160" t="str">
        <f t="shared" ca="1" si="3"/>
        <v>Всього:</v>
      </c>
      <c r="H66" s="160">
        <f t="shared" ca="1" si="2"/>
        <v>62</v>
      </c>
      <c r="I66" s="160">
        <f ca="1">IF($G66="Всього:",SUM($I$4:I65),IF(AND(DAY($C$4)&gt;=15,H66=1),K66+L66,$C$32))</f>
        <v>232044</v>
      </c>
      <c r="J66" s="160" t="e">
        <f ca="1">IF($G66="Всього:",SUM($J$4:J65),IF(I66-SUM(K66:L66)&lt;0,0,I66-SUM(K66:L66)))</f>
        <v>#VALUE!</v>
      </c>
      <c r="K66" s="160" t="e">
        <f ca="1">IF(G66="Всього:",SUM($K$5:K65),IF(F66&lt;&gt;F65,(F66*O65/36000*(G66-CONCATENATE(DAY($C$4),".",MONTH(G65),".",YEAR(G65)))+(F65*O65/36000*(CONCATENATE(DAY($C$4),".",MONTH(G65),".",YEAR(G65))-G65))),F66*O65/36000*(G66-G65)))</f>
        <v>#VALUE!</v>
      </c>
      <c r="L66" s="160" t="e">
        <f ca="1">IF(G66="Всього:",SUM($L$5:L65),$E$4)</f>
        <v>#VALUE!</v>
      </c>
      <c r="M66" s="160" t="e">
        <f ca="1">IF(G66="Всього:",SUM($M$5:M65),IF($E$5="UAH",J66+L66+K66,J66+K66))</f>
        <v>#VALUE!</v>
      </c>
      <c r="N66" s="160">
        <f ca="1">IF(G66="Всього:",SUM($N$4:N65),IF($E$5="UAH","",L66))</f>
        <v>0</v>
      </c>
      <c r="O66" s="160" t="e">
        <f t="shared" ca="1" si="0"/>
        <v>#VALUE!</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3" priority="1" operator="containsText" text="Поручитель неплатоспроможний">
      <formula>NOT(ISERROR(SEARCH("Поручитель неплатоспроможний",C112)))</formula>
    </cfRule>
    <cfRule type="containsText" dxfId="62" priority="2" operator="containsText" text="Поручитель платоспроможний">
      <formula>NOT(ISERROR(SEARCH("Поручитель платоспроможний",C112)))</formula>
    </cfRule>
  </conditionalFormatting>
  <conditionalFormatting sqref="D1">
    <cfRule type="expression" dxfId="61"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5546875" style="11" customWidth="1"/>
    <col min="7" max="7" width="17.5546875" style="11" customWidth="1"/>
    <col min="8" max="8" width="8" style="30" customWidth="1"/>
    <col min="9" max="9" width="15.44140625" style="11" customWidth="1"/>
    <col min="10" max="10" width="19.5546875" style="11" customWidth="1"/>
    <col min="11" max="11" width="15.44140625" style="11" customWidth="1"/>
    <col min="12" max="12" width="12.5546875" style="11" customWidth="1"/>
    <col min="13" max="13" width="12.441406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441406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171</v>
      </c>
      <c r="B1" s="4" t="e">
        <f>((E1*POWER(1+(E2/12),E3)*(E2/12)))/(POWER(1+(E2/12),E3)-1)</f>
        <v>#DIV/0!</v>
      </c>
      <c r="C1" s="5" t="e">
        <f>PMT(E2/12,E3,-E1)</f>
        <v>#VALUE!</v>
      </c>
      <c r="D1" s="6" t="s">
        <v>172</v>
      </c>
      <c r="E1" s="7" t="e">
        <f>'Калькулятор '!N2</f>
        <v>#DIV/0!</v>
      </c>
      <c r="G1" s="9"/>
      <c r="H1" s="150" t="s">
        <v>173</v>
      </c>
      <c r="I1" s="150"/>
      <c r="J1" s="10">
        <f ca="1">TODAY()</f>
        <v>46181</v>
      </c>
      <c r="O1" s="35" t="s">
        <v>208</v>
      </c>
    </row>
    <row r="2" spans="1:29" s="8" customFormat="1" ht="16.5" customHeight="1" x14ac:dyDescent="0.25">
      <c r="A2" s="12" t="s">
        <v>175</v>
      </c>
      <c r="B2" s="4" t="e">
        <f>E1*(E2/12)</f>
        <v>#DIV/0!</v>
      </c>
      <c r="C2" s="5" t="e">
        <f>IPMT(E2/12,1,E3,-(E1))</f>
        <v>#VALUE!</v>
      </c>
      <c r="D2" s="6" t="s">
        <v>176</v>
      </c>
      <c r="E2" s="49" t="str">
        <f>'Калькулятор '!E14</f>
        <v/>
      </c>
      <c r="F2" s="13" t="s">
        <v>177</v>
      </c>
      <c r="G2" s="152" t="s">
        <v>178</v>
      </c>
      <c r="H2" s="155" t="s">
        <v>179</v>
      </c>
      <c r="I2" s="156"/>
      <c r="J2" s="156"/>
      <c r="K2" s="156"/>
      <c r="L2" s="156"/>
      <c r="M2" s="156"/>
      <c r="N2" s="156"/>
      <c r="O2" s="157"/>
      <c r="S2" s="8">
        <v>12</v>
      </c>
      <c r="W2" s="12" t="s">
        <v>209</v>
      </c>
      <c r="X2" s="12"/>
      <c r="Y2" s="26" t="e">
        <f>IF(E3=S2,J17,IF(E3=S3,J29,IF(E3=S4,J41,IF(E3=S5,J53,0))))+Y3+IF(E3=S6,J65,IF(E3=S7,J77,IF(E3=S8,J89,0)))</f>
        <v>#DIV/0!</v>
      </c>
      <c r="AA2" s="29"/>
      <c r="AB2" s="29" t="e">
        <f>R3+Y7+Y6+Y4</f>
        <v>#DIV/0!</v>
      </c>
      <c r="AC2" s="29">
        <f>IF(E3=S2,AVERAGE(O4:O15),IF(E3=S3,AVERAGE(O4:O27),IF(E3=S4,AVERAGE(O4:O39),IF(E3=S5,AVERAGE(O4:O51),IF(E3=S6,AVERAGE(O4:O63),0)))))</f>
        <v>0</v>
      </c>
    </row>
    <row r="3" spans="1:29" s="8" customFormat="1" ht="38.25" customHeight="1" x14ac:dyDescent="0.25">
      <c r="A3" s="12" t="s">
        <v>180</v>
      </c>
      <c r="B3" s="4" t="e">
        <f>B1-B2</f>
        <v>#DIV/0!</v>
      </c>
      <c r="C3" s="5" t="e">
        <f>PPMT(E2/12,1,E3,-E1)</f>
        <v>#VALUE!</v>
      </c>
      <c r="D3" s="6" t="s">
        <v>181</v>
      </c>
      <c r="E3" s="14">
        <f>'Калькулятор '!E12</f>
        <v>0</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0</v>
      </c>
      <c r="S3" s="8">
        <v>24</v>
      </c>
      <c r="W3" s="12" t="s">
        <v>210</v>
      </c>
      <c r="X3" s="12"/>
      <c r="Y3" s="26" t="e">
        <f>SUM(Y4:Y8)+Y12-Y7+R3</f>
        <v>#DIV/0!</v>
      </c>
      <c r="AA3" s="29"/>
      <c r="AB3" s="8">
        <f>IF('Калькулятор '!V23&lt;20,1,IF(AC3=Y10,0,1))</f>
        <v>1</v>
      </c>
      <c r="AC3" s="40">
        <v>0.38880982995033264</v>
      </c>
    </row>
    <row r="4" spans="1:29" s="8" customFormat="1" ht="13.5" customHeight="1" x14ac:dyDescent="0.25">
      <c r="A4" s="12" t="s">
        <v>189</v>
      </c>
      <c r="B4" s="12"/>
      <c r="C4" s="33">
        <f ca="1">TODAY()</f>
        <v>46181</v>
      </c>
      <c r="D4" s="6" t="s">
        <v>190</v>
      </c>
      <c r="E4" s="12" t="e">
        <f>'Платоспроможність боржника'!H4/100*E1</f>
        <v>#DIV/0!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t="e">
        <f>E1</f>
        <v>#DIV/0!</v>
      </c>
      <c r="P4" s="33">
        <f ca="1">C4</f>
        <v>46181</v>
      </c>
      <c r="Q4" s="8" t="str">
        <f>IFERROR(-E1+(Y6+Y7+Y5+Y8+Y12),"")</f>
        <v/>
      </c>
      <c r="S4" s="8">
        <v>36</v>
      </c>
      <c r="W4" s="12" t="s">
        <v>211</v>
      </c>
      <c r="X4" s="12"/>
      <c r="Y4" s="26">
        <f>IF(E3=S2,K17,IF(E3=S3,K29,IF(E3=S4,K41,IF(E3=S5,K53,0))))+IF(E3=S6,K65,IF(E3=S7,K77,IF(E3=S8,K89,0)))</f>
        <v>0</v>
      </c>
      <c r="AA4" s="29"/>
      <c r="AC4" s="40"/>
    </row>
    <row r="5" spans="1:29" s="8" customFormat="1" ht="13.2" x14ac:dyDescent="0.25">
      <c r="A5" s="22" t="s">
        <v>193</v>
      </c>
      <c r="B5" s="12">
        <v>1</v>
      </c>
      <c r="C5" s="12">
        <v>1</v>
      </c>
      <c r="D5" s="6" t="s">
        <v>194</v>
      </c>
      <c r="E5" s="12" t="s">
        <v>195</v>
      </c>
      <c r="F5" s="34" t="str">
        <f ca="1">IF(G5="Всього:","",IF(AND(G5&gt;$B$9,G5&lt;=$B$10),$C$16,IF(AND(G5&gt;$B$9,G5&lt;=$B$11),$D$16,IF(AND(G5&gt;$B$10,G5&lt;=$B$14),$E$16,$B$16))))</f>
        <v/>
      </c>
      <c r="G5" s="23">
        <f ca="1">IF(AND(DAY(C4)&lt;=15,$B$7&gt;DAY(C4)),DATE(YEAR(C4),MONTH(C4),IF($B$7&lt;&gt;"",DAY(IF($B$7&gt;DAY(EOMONTH(C4,0)),EOMONTH(C4,0),$B$7)),DAY(1))),DATE(YEAR(C4),MONTH(C4)+1,IF($B$7&lt;&gt;"",DAY(IF($B$7&gt;DAY(EOMONTH(C4,1)),EOMONTH(C4,1),$B$7)),DAY(1))))</f>
        <v>46211</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46211</v>
      </c>
      <c r="Q5" s="8" t="e">
        <f ca="1">IF(R5="",I5,IFERROR(I5+R5,0))</f>
        <v>#DIV/0!</v>
      </c>
      <c r="S5" s="8">
        <v>48</v>
      </c>
      <c r="W5" s="12" t="s">
        <v>212</v>
      </c>
      <c r="X5" s="12"/>
      <c r="Y5" s="12">
        <f>Калькулятор!N40</f>
        <v>0</v>
      </c>
    </row>
    <row r="6" spans="1:29" s="8" customFormat="1" ht="13.2" x14ac:dyDescent="0.25">
      <c r="A6" s="12" t="s">
        <v>196</v>
      </c>
      <c r="B6" s="12"/>
      <c r="C6" s="26" t="e">
        <f>IF(E5="EUR",C1*E7,IF(E5="USD",C1*E6,C1))</f>
        <v>#VALUE!</v>
      </c>
      <c r="D6" s="6"/>
      <c r="E6" s="12"/>
      <c r="F6" s="34" t="str">
        <f t="shared" ref="F6:F69" ca="1" si="2">IF(G6="Всього:","",IF(AND(G6&gt;$B$9,G6&lt;=$B$10),$C$16,IF(AND(G6&gt;$B$9,G6&lt;=$B$11),$D$16,IF(AND(G6&gt;$B$10,G6&lt;=$B$14),$E$16,$B$16))))</f>
        <v/>
      </c>
      <c r="G6" s="23">
        <f ca="1">IF(H5=$E$3,"Всього:",IF($E$3=H6,$B$14,DATE(YEAR(G5),MONTH(G5)+1,IF($B$7&lt;&gt;"",DAY(IF($B$7&gt;DAY(EOMONTH(G5,1)),EOMONTH(G5,1),$B$7)),DAY(1)))))</f>
        <v>46242</v>
      </c>
      <c r="H6" s="24" t="str">
        <f t="shared" ref="H6:H69" si="3">IF(H5&gt;$E$8,"",H5+1)</f>
        <v/>
      </c>
      <c r="I6" s="25" t="e">
        <f ca="1">IF($G6="Всього:",SUM($I$4:I5),MAX($C$32,K6))</f>
        <v>#VALUE!</v>
      </c>
      <c r="J6" s="25" t="e">
        <f ca="1">IF($G6="Всього:",SUM($J$4:J5),IF(I6-SUM(K6:L6)&lt;0,0,I6-SUM(K6:L6)))</f>
        <v>#VALUE!</v>
      </c>
      <c r="K6" s="25" t="e">
        <f ca="1">IF(G6="Всього:",SUM($K$5:K5),F6*O5/36000*(G6-G5))</f>
        <v>#VALUE!</v>
      </c>
      <c r="L6" s="25" t="e">
        <f ca="1">IF(G6="Всього:",SUM($L$5:L5),$E$4)</f>
        <v>#DIV/0!</v>
      </c>
      <c r="M6" s="25" t="e">
        <f ca="1">IF(G6="Всього:",SUM($M$5:M5),IF($E$5="UAH",J6+L6+K6,J6+K6))</f>
        <v>#VALUE!</v>
      </c>
      <c r="N6" s="27" t="str">
        <f ca="1">IF(G6="Всього:",SUM($N$4:N5),IF($E$5="UAH","",L6))</f>
        <v/>
      </c>
      <c r="O6" s="25" t="e">
        <f t="shared" ca="1" si="0"/>
        <v>#DIV/0!</v>
      </c>
      <c r="P6" s="33">
        <f t="shared" ca="1" si="1"/>
        <v>46242</v>
      </c>
      <c r="Q6" s="8" t="e">
        <f t="shared" ref="Q6:Q69" ca="1" si="4">IF(R7="",I6,IFERROR(I6+R7,0))</f>
        <v>#VALUE!</v>
      </c>
      <c r="S6" s="8">
        <v>60</v>
      </c>
      <c r="W6" s="12" t="s">
        <v>213</v>
      </c>
      <c r="X6" s="12"/>
      <c r="Y6" s="12" t="e">
        <f>Z6*E1</f>
        <v>#DIV/0!</v>
      </c>
      <c r="Z6" s="60">
        <f>Калькулятор!G9</f>
        <v>0</v>
      </c>
      <c r="AA6" s="12"/>
    </row>
    <row r="7" spans="1:29" s="8" customFormat="1" ht="13.2" x14ac:dyDescent="0.25">
      <c r="A7" s="12" t="s">
        <v>197</v>
      </c>
      <c r="B7" s="12">
        <f ca="1">DAY(C4)</f>
        <v>8</v>
      </c>
      <c r="C7" s="12"/>
      <c r="D7" s="6"/>
      <c r="E7" s="12"/>
      <c r="F7" s="34" t="str">
        <f t="shared" ca="1" si="2"/>
        <v/>
      </c>
      <c r="G7" s="23">
        <f t="shared" ref="G7:G70" ca="1" si="5">IF(H6=$E$3,"Всього:",IF($E$3=H7,$B$14,DATE(YEAR(G6),MONTH(G6)+1,IF($B$7&lt;&gt;"",DAY(IF($B$7&gt;DAY(EOMONTH(G6,1)),EOMONTH(G6,1),$B$7)),DAY(1)))))</f>
        <v>46273</v>
      </c>
      <c r="H7" s="24" t="str">
        <f t="shared" si="3"/>
        <v/>
      </c>
      <c r="I7" s="25" t="e">
        <f ca="1">IF($G7="Всього:",SUM($I$4:I6),MAX($C$32,K7))</f>
        <v>#VALUE!</v>
      </c>
      <c r="J7" s="25" t="e">
        <f ca="1">IF($G7="Всього:",SUM($J$4:J6),IF(I7-SUM(K7:L7)&lt;0,0,I7-SUM(K7:L7)))</f>
        <v>#VALUE!</v>
      </c>
      <c r="K7" s="25" t="e">
        <f ca="1">IF(G7="Всього:",SUM($K$5:K6),F7*O6/36000*(G7-G6))</f>
        <v>#VALUE!</v>
      </c>
      <c r="L7" s="25" t="e">
        <f ca="1">IF(G7="Всього:",SUM($L$5:L6),$E$4)</f>
        <v>#DIV/0!</v>
      </c>
      <c r="M7" s="25" t="e">
        <f ca="1">IF(G7="Всього:",SUM($M$5:M6),IF($E$5="UAH",J7+L7+K7,J7+K7))</f>
        <v>#VALUE!</v>
      </c>
      <c r="N7" s="27" t="str">
        <f ca="1">IF(G7="Всього:",SUM($N$4:N6),IF($E$5="UAH","",L7))</f>
        <v/>
      </c>
      <c r="O7" s="25" t="e">
        <f t="shared" ca="1" si="0"/>
        <v>#DIV/0!</v>
      </c>
      <c r="P7" s="33">
        <f t="shared" ca="1" si="1"/>
        <v>46273</v>
      </c>
      <c r="Q7" s="8" t="e">
        <f t="shared" ca="1" si="4"/>
        <v>#VALUE!</v>
      </c>
      <c r="S7" s="8">
        <v>72</v>
      </c>
      <c r="W7" s="12" t="s">
        <v>214</v>
      </c>
      <c r="X7" s="12"/>
      <c r="Y7" s="12">
        <f>Z7*AA7</f>
        <v>0</v>
      </c>
      <c r="Z7" s="60">
        <f>Калькулятор!G15</f>
        <v>5.16E-2</v>
      </c>
      <c r="AA7" s="26">
        <f>'Калькулятор '!E4</f>
        <v>0</v>
      </c>
    </row>
    <row r="8" spans="1:29" s="8" customFormat="1" ht="12.75" customHeight="1" x14ac:dyDescent="0.25">
      <c r="A8" s="12" t="s">
        <v>198</v>
      </c>
      <c r="B8" s="16">
        <f ca="1">C4</f>
        <v>46181</v>
      </c>
      <c r="D8" s="6" t="s">
        <v>199</v>
      </c>
      <c r="E8" s="8">
        <f>E3</f>
        <v>0</v>
      </c>
      <c r="F8" s="34" t="str">
        <f t="shared" ca="1" si="2"/>
        <v/>
      </c>
      <c r="G8" s="23">
        <f t="shared" ca="1" si="5"/>
        <v>46303</v>
      </c>
      <c r="H8" s="24" t="str">
        <f t="shared" si="3"/>
        <v/>
      </c>
      <c r="I8" s="25" t="e">
        <f ca="1">IF($G8="Всього:",SUM($I$4:I7),MAX($C$32,K8))</f>
        <v>#VALUE!</v>
      </c>
      <c r="J8" s="25" t="e">
        <f ca="1">IF($G8="Всього:",SUM($J$4:J7),IF(I8-SUM(K8:L8)&lt;0,0,I8-SUM(K8:L8)))</f>
        <v>#VALUE!</v>
      </c>
      <c r="K8" s="25" t="e">
        <f ca="1">IF(G8="Всього:",SUM($K$5:K7),F8*O7/36000*(G8-G7))</f>
        <v>#VALUE!</v>
      </c>
      <c r="L8" s="25" t="e">
        <f ca="1">IF(G8="Всього:",SUM($L$5:L7),$E$4)</f>
        <v>#DIV/0!</v>
      </c>
      <c r="M8" s="25" t="e">
        <f ca="1">IF(G8="Всього:",SUM($M$5:M7),IF($E$5="UAH",J8+L8+K8,J8+K8))</f>
        <v>#VALUE!</v>
      </c>
      <c r="N8" s="27" t="str">
        <f ca="1">IF(G8="Всього:",SUM($N$4:N7),IF($E$5="UAH","",L8))</f>
        <v/>
      </c>
      <c r="O8" s="25" t="e">
        <f t="shared" ca="1" si="0"/>
        <v>#DIV/0!</v>
      </c>
      <c r="P8" s="33">
        <f t="shared" ca="1" si="1"/>
        <v>46303</v>
      </c>
      <c r="Q8" s="8" t="e">
        <f t="shared" ca="1" si="4"/>
        <v>#VALUE!</v>
      </c>
      <c r="S8" s="8">
        <v>84</v>
      </c>
      <c r="W8" s="12" t="s">
        <v>215</v>
      </c>
      <c r="X8" s="12"/>
      <c r="Y8" s="12">
        <f>IF('Калькулятор '!E6="Ні",'Калькулятор (реал. ставка)'!C18,0)</f>
        <v>0</v>
      </c>
      <c r="Z8" s="12">
        <v>250</v>
      </c>
      <c r="AA8" s="12">
        <v>3028</v>
      </c>
    </row>
    <row r="9" spans="1:29" s="8" customFormat="1" ht="13.5" customHeight="1" x14ac:dyDescent="0.25">
      <c r="A9" s="12" t="s">
        <v>200</v>
      </c>
      <c r="B9" s="16">
        <f ca="1">IF('Платоспроможність боржника'!H7="",B14,EDATE($C$4,'Платоспроможність боржника'!$H$7))</f>
        <v>46180</v>
      </c>
      <c r="F9" s="34" t="str">
        <f t="shared" ca="1" si="2"/>
        <v/>
      </c>
      <c r="G9" s="23">
        <f t="shared" ca="1" si="5"/>
        <v>46334</v>
      </c>
      <c r="H9" s="24" t="str">
        <f t="shared" si="3"/>
        <v/>
      </c>
      <c r="I9" s="25" t="e">
        <f ca="1">IF($G9="Всього:",SUM($I$4:I8),MAX($C$32,K9))</f>
        <v>#VALUE!</v>
      </c>
      <c r="J9" s="25" t="e">
        <f ca="1">IF($G9="Всього:",SUM($J$4:J8),IF(I9-SUM(K9:L9)&lt;0,0,I9-SUM(K9:L9)))</f>
        <v>#VALUE!</v>
      </c>
      <c r="K9" s="25" t="e">
        <f ca="1">IF(G9="Всього:",SUM($K$5:K8),F9*O8/36000*(G9-G8))</f>
        <v>#VALUE!</v>
      </c>
      <c r="L9" s="25" t="e">
        <f ca="1">IF(G9="Всього:",SUM($L$5:L8),$E$4)</f>
        <v>#DIV/0!</v>
      </c>
      <c r="M9" s="25" t="e">
        <f ca="1">IF(G9="Всього:",SUM($M$5:M8),IF($E$5="UAH",J9+L9+K9,J9+K9))</f>
        <v>#VALUE!</v>
      </c>
      <c r="N9" s="27" t="str">
        <f ca="1">IF(G9="Всього:",SUM($N$4:N8),IF($E$5="UAH","",L9))</f>
        <v/>
      </c>
      <c r="O9" s="25" t="e">
        <f t="shared" ca="1" si="0"/>
        <v>#DIV/0!</v>
      </c>
      <c r="P9" s="33">
        <f t="shared" ca="1" si="1"/>
        <v>46334</v>
      </c>
      <c r="Q9" s="8" t="e">
        <f t="shared" ca="1" si="4"/>
        <v>#VALUE!</v>
      </c>
      <c r="W9" s="12" t="s">
        <v>216</v>
      </c>
      <c r="X9" s="12"/>
      <c r="Y9" s="12">
        <f>Калькулятор!N46</f>
        <v>0</v>
      </c>
    </row>
    <row r="10" spans="1:29" s="8" customFormat="1" ht="13.2" x14ac:dyDescent="0.25">
      <c r="A10" s="12" t="s">
        <v>201</v>
      </c>
      <c r="B10" s="16">
        <f ca="1">IF('Платоспроможність боржника'!I7="",B14,EDATE($C$4,'Платоспроможність боржника'!$H$7+'Платоспроможність боржника'!$I$7))</f>
        <v>46180</v>
      </c>
      <c r="F10" s="34" t="str">
        <f t="shared" ca="1" si="2"/>
        <v/>
      </c>
      <c r="G10" s="23">
        <f t="shared" ca="1" si="5"/>
        <v>46364</v>
      </c>
      <c r="H10" s="24" t="str">
        <f t="shared" si="3"/>
        <v/>
      </c>
      <c r="I10" s="25" t="e">
        <f ca="1">IF($G10="Всього:",SUM($I$4:I9),MAX($C$32,K10))</f>
        <v>#VALUE!</v>
      </c>
      <c r="J10" s="25" t="e">
        <f ca="1">IF($G10="Всього:",SUM($J$4:J9),IF(I10-SUM(K10:L10)&lt;0,0,I10-SUM(K10:L10)))</f>
        <v>#VALUE!</v>
      </c>
      <c r="K10" s="25" t="e">
        <f ca="1">IF(G10="Всього:",SUM($K$5:K9),F10*O9/36000*(G10-G9))</f>
        <v>#VALUE!</v>
      </c>
      <c r="L10" s="25" t="e">
        <f ca="1">IF(G10="Всього:",SUM($L$5:L9),$E$4)</f>
        <v>#DIV/0!</v>
      </c>
      <c r="M10" s="25" t="e">
        <f ca="1">IF(G10="Всього:",SUM($M$5:M9),IF($E$5="UAH",J10+L10+K10,J10+K10))</f>
        <v>#VALUE!</v>
      </c>
      <c r="N10" s="27" t="str">
        <f ca="1">IF(G10="Всього:",SUM($N$4:N9),IF($E$5="UAH","",L10))</f>
        <v/>
      </c>
      <c r="O10" s="25" t="e">
        <f t="shared" ca="1" si="0"/>
        <v>#DIV/0!</v>
      </c>
      <c r="P10" s="33">
        <f t="shared" ca="1" si="1"/>
        <v>46364</v>
      </c>
      <c r="Q10" s="8" t="e">
        <f t="shared" ca="1" si="4"/>
        <v>#VALUE!</v>
      </c>
      <c r="W10" s="12" t="s">
        <v>217</v>
      </c>
      <c r="X10" s="12"/>
      <c r="Y10" s="39" t="b">
        <f>IF(E3=S2,XIRR($Q$4:$Q$16,$P$4:$P$16),IF(E3=S3,XIRR($Q$4:$Q$28,$P$4:$P$28),IF(E3=S4,XIRR($Q$4:$Q$40,$P$4:$P$40),IF(E3=S5,XIRR($Q$4:$Q$52,$P$4:$P$52),IF(E3=S6,XIRR($Q$4:$Q$64,$P$4:$P$64),IF(E3=S7,XIRR($Q$4:$Q$76,$P$4:$P$76),IF(E3=S8,XIRR($Q$4:$Q$88,$P$4:$P$88))))))))</f>
        <v>0</v>
      </c>
    </row>
    <row r="11" spans="1:29" s="8" customFormat="1" ht="13.2" x14ac:dyDescent="0.25">
      <c r="A11" s="12" t="s">
        <v>202</v>
      </c>
      <c r="B11" s="16">
        <f ca="1">IF('Платоспроможність боржника'!J7="",B14,EDATE($C$4,'Платоспроможність боржника'!$H$7+'Платоспроможність боржника'!$I$7+'Платоспроможність боржника'!$J$7))</f>
        <v>46180</v>
      </c>
      <c r="F11" s="34" t="str">
        <f t="shared" ca="1" si="2"/>
        <v/>
      </c>
      <c r="G11" s="23">
        <f t="shared" ca="1" si="5"/>
        <v>46395</v>
      </c>
      <c r="H11" s="24" t="str">
        <f t="shared" si="3"/>
        <v/>
      </c>
      <c r="I11" s="25" t="e">
        <f ca="1">IF($G11="Всього:",SUM($I$4:I10),MAX($C$32,K11))</f>
        <v>#VALUE!</v>
      </c>
      <c r="J11" s="25" t="e">
        <f ca="1">IF($G11="Всього:",SUM($J$4:J10),IF(I11-SUM(K11:L11)&lt;0,0,I11-SUM(K11:L11)))</f>
        <v>#VALUE!</v>
      </c>
      <c r="K11" s="25" t="e">
        <f ca="1">IF(G11="Всього:",SUM($K$5:K10),F11*O10/36000*(G11-G10))</f>
        <v>#VALUE!</v>
      </c>
      <c r="L11" s="25" t="e">
        <f ca="1">IF(G11="Всього:",SUM($L$5:L10),$E$4)</f>
        <v>#DIV/0!</v>
      </c>
      <c r="M11" s="25" t="e">
        <f ca="1">IF(G11="Всього:",SUM($M$5:M10),IF($E$5="UAH",J11+L11+K11,J11+K11))</f>
        <v>#VALUE!</v>
      </c>
      <c r="N11" s="27" t="str">
        <f ca="1">IF(G11="Всього:",SUM($N$4:N10),IF($E$5="UAH","",L11))</f>
        <v/>
      </c>
      <c r="O11" s="25" t="e">
        <f t="shared" ca="1" si="0"/>
        <v>#DIV/0!</v>
      </c>
      <c r="P11" s="33">
        <f t="shared" ca="1" si="1"/>
        <v>46395</v>
      </c>
      <c r="Q11" s="8" t="e">
        <f t="shared" ca="1" si="4"/>
        <v>#VALUE!</v>
      </c>
      <c r="R11" s="33"/>
      <c r="W11" s="12" t="s">
        <v>218</v>
      </c>
      <c r="X11" s="12"/>
      <c r="Y11" s="39" t="e">
        <f>AB2/AC2/E3*12</f>
        <v>#DIV/0!</v>
      </c>
    </row>
    <row r="12" spans="1:29" s="8" customFormat="1" ht="13.2" x14ac:dyDescent="0.25">
      <c r="F12" s="34" t="str">
        <f t="shared" ca="1" si="2"/>
        <v/>
      </c>
      <c r="G12" s="23">
        <f t="shared" ca="1" si="5"/>
        <v>46426</v>
      </c>
      <c r="H12" s="24" t="str">
        <f t="shared" si="3"/>
        <v/>
      </c>
      <c r="I12" s="25" t="e">
        <f ca="1">IF($G12="Всього:",SUM($I$4:I11),MAX($C$32,K12))</f>
        <v>#VALUE!</v>
      </c>
      <c r="J12" s="25" t="e">
        <f ca="1">IF($G12="Всього:",SUM($J$4:J11),IF(I12-SUM(K12:L12)&lt;0,0,I12-SUM(K12:L12)))</f>
        <v>#VALUE!</v>
      </c>
      <c r="K12" s="25" t="e">
        <f ca="1">IF(G12="Всього:",SUM($K$5:K11),F12*O11/36000*(G12-G11))</f>
        <v>#VALUE!</v>
      </c>
      <c r="L12" s="25" t="e">
        <f ca="1">IF(G12="Всього:",SUM($L$5:L11),$E$4)</f>
        <v>#DIV/0!</v>
      </c>
      <c r="M12" s="25" t="e">
        <f ca="1">IF(G12="Всього:",SUM($M$5:M11),IF($E$5="UAH",J12+L12+K12,J12+K12))</f>
        <v>#VALUE!</v>
      </c>
      <c r="N12" s="27" t="str">
        <f ca="1">IF(G12="Всього:",SUM($N$4:N11),IF($E$5="UAH","",L12))</f>
        <v/>
      </c>
      <c r="O12" s="25" t="e">
        <f t="shared" ca="1" si="0"/>
        <v>#DIV/0!</v>
      </c>
      <c r="P12" s="33">
        <f t="shared" ca="1" si="1"/>
        <v>46426</v>
      </c>
      <c r="Q12" s="8" t="e">
        <f t="shared" ca="1" si="4"/>
        <v>#VALUE!</v>
      </c>
      <c r="R12" s="33"/>
      <c r="W12" s="12" t="s">
        <v>219</v>
      </c>
      <c r="X12" s="12"/>
      <c r="Y12" s="12">
        <f>Калькулятор!N43+Калькулятор!N37</f>
        <v>0</v>
      </c>
    </row>
    <row r="13" spans="1:29" s="8" customFormat="1" ht="13.2" x14ac:dyDescent="0.25">
      <c r="F13" s="34" t="str">
        <f t="shared" ca="1" si="2"/>
        <v/>
      </c>
      <c r="G13" s="23">
        <f t="shared" ca="1" si="5"/>
        <v>46454</v>
      </c>
      <c r="H13" s="24" t="str">
        <f t="shared" si="3"/>
        <v/>
      </c>
      <c r="I13" s="25" t="e">
        <f ca="1">IF($G13="Всього:",SUM($I$4:I12),MAX($C$32,K13))</f>
        <v>#VALUE!</v>
      </c>
      <c r="J13" s="25" t="e">
        <f ca="1">IF($G13="Всього:",SUM($J$4:J12),IF(I13-SUM(K13:L13)&lt;0,0,I13-SUM(K13:L13)))</f>
        <v>#VALUE!</v>
      </c>
      <c r="K13" s="25" t="e">
        <f ca="1">IF(G13="Всього:",SUM($K$5:K12),F13*O12/36000*(G13-G12))</f>
        <v>#VALUE!</v>
      </c>
      <c r="L13" s="25" t="e">
        <f ca="1">IF(G13="Всього:",SUM($L$5:L12),$E$4)</f>
        <v>#DIV/0!</v>
      </c>
      <c r="M13" s="25" t="e">
        <f ca="1">IF(G13="Всього:",SUM($M$5:M12),IF($E$5="UAH",J13+L13+K13,J13+K13))</f>
        <v>#VALUE!</v>
      </c>
      <c r="N13" s="27" t="str">
        <f ca="1">IF(G13="Всього:",SUM($N$4:N12),IF($E$5="UAH","",L13))</f>
        <v/>
      </c>
      <c r="O13" s="25" t="e">
        <f t="shared" ca="1" si="0"/>
        <v>#DIV/0!</v>
      </c>
      <c r="P13" s="33">
        <f t="shared" ca="1" si="1"/>
        <v>46454</v>
      </c>
      <c r="Q13" s="8" t="e">
        <f t="shared" ca="1" si="4"/>
        <v>#VALUE!</v>
      </c>
    </row>
    <row r="14" spans="1:29" s="8" customFormat="1" ht="13.2" x14ac:dyDescent="0.25">
      <c r="A14" s="12" t="s">
        <v>203</v>
      </c>
      <c r="B14" s="23">
        <f ca="1">EDATE($C$4,$E$3)-1</f>
        <v>46180</v>
      </c>
      <c r="F14" s="34" t="str">
        <f t="shared" ca="1" si="2"/>
        <v/>
      </c>
      <c r="G14" s="23">
        <f t="shared" ca="1" si="5"/>
        <v>46485</v>
      </c>
      <c r="H14" s="24" t="str">
        <f t="shared" si="3"/>
        <v/>
      </c>
      <c r="I14" s="25" t="e">
        <f ca="1">IF($G14="Всього:",SUM($I$4:I13),MAX($C$32,K14))</f>
        <v>#VALUE!</v>
      </c>
      <c r="J14" s="25" t="e">
        <f ca="1">IF($G14="Всього:",SUM($J$4:J13),IF(I14-SUM(K14:L14)&lt;0,0,I14-SUM(K14:L14)))</f>
        <v>#VALUE!</v>
      </c>
      <c r="K14" s="25" t="e">
        <f ca="1">IF(G14="Всього:",SUM($K$5:K13),F14*O13/36000*(G14-G13))</f>
        <v>#VALUE!</v>
      </c>
      <c r="L14" s="25" t="e">
        <f ca="1">IF(G14="Всього:",SUM($L$5:L13),$E$4)</f>
        <v>#DIV/0!</v>
      </c>
      <c r="M14" s="25" t="e">
        <f ca="1">IF(G14="Всього:",SUM($M$5:M13),IF($E$5="UAH",J14+L14+K14,J14+K14))</f>
        <v>#VALUE!</v>
      </c>
      <c r="N14" s="27" t="str">
        <f ca="1">IF(G14="Всього:",SUM($N$4:N13),IF($E$5="UAH","",L14))</f>
        <v/>
      </c>
      <c r="O14" s="25" t="e">
        <f t="shared" ca="1" si="0"/>
        <v>#DIV/0!</v>
      </c>
      <c r="P14" s="33">
        <f t="shared" ca="1" si="1"/>
        <v>46485</v>
      </c>
      <c r="Q14" s="8" t="e">
        <f t="shared" ca="1" si="4"/>
        <v>#VALUE!</v>
      </c>
      <c r="T14" s="8">
        <v>315373.34000000003</v>
      </c>
      <c r="U14" s="8" t="e">
        <f>T14+Q4</f>
        <v>#VALUE!</v>
      </c>
      <c r="X14" s="8">
        <v>2500000</v>
      </c>
    </row>
    <row r="15" spans="1:29" s="8" customFormat="1" x14ac:dyDescent="0.3">
      <c r="A15"/>
      <c r="B15"/>
      <c r="F15" s="34" t="str">
        <f t="shared" ca="1" si="2"/>
        <v/>
      </c>
      <c r="G15" s="23">
        <f t="shared" ca="1" si="5"/>
        <v>46515</v>
      </c>
      <c r="H15" s="24" t="str">
        <f t="shared" si="3"/>
        <v/>
      </c>
      <c r="I15" s="25" t="e">
        <f ca="1">IF($G15="Всього:",SUM($I$4:I14),MAX($C$32,K15))</f>
        <v>#VALUE!</v>
      </c>
      <c r="J15" s="25" t="e">
        <f ca="1">IF($G15="Всього:",SUM($J$4:J14),IF(I15-SUM(K15:L15)&lt;0,0,I15-SUM(K15:L15)))</f>
        <v>#VALUE!</v>
      </c>
      <c r="K15" s="25" t="e">
        <f ca="1">IF(G15="Всього:",SUM($K$5:K14),F15*O14/36000*(G15-G14))</f>
        <v>#VALUE!</v>
      </c>
      <c r="L15" s="25" t="e">
        <f ca="1">IF(G15="Всього:",SUM($L$5:L14),$E$4)</f>
        <v>#DIV/0!</v>
      </c>
      <c r="M15" s="25" t="e">
        <f ca="1">IF(G15="Всього:",SUM($M$5:M14),IF($E$5="UAH",J15+L15+K15,J15+K15))</f>
        <v>#VALUE!</v>
      </c>
      <c r="N15" s="27" t="str">
        <f ca="1">IF(G15="Всього:",SUM($N$4:N14),IF($E$5="UAH","",L15))</f>
        <v/>
      </c>
      <c r="O15" s="25" t="e">
        <f t="shared" ca="1" si="0"/>
        <v>#DIV/0!</v>
      </c>
      <c r="P15" s="33">
        <f t="shared" ca="1" si="1"/>
        <v>46515</v>
      </c>
      <c r="Q15" s="8" t="e">
        <f t="shared" ca="1" si="4"/>
        <v>#VALUE!</v>
      </c>
      <c r="U15" s="8" t="e">
        <f>400000-Y8-W13-Y6-Y5</f>
        <v>#DIV/0!</v>
      </c>
      <c r="X15" s="12"/>
      <c r="Y15" s="12">
        <v>12</v>
      </c>
      <c r="Z15" s="12">
        <v>24</v>
      </c>
      <c r="AA15" s="12">
        <v>36</v>
      </c>
      <c r="AB15" s="12">
        <v>48</v>
      </c>
      <c r="AC15" s="12">
        <v>60</v>
      </c>
    </row>
    <row r="16" spans="1:29" s="8" customFormat="1" x14ac:dyDescent="0.3">
      <c r="A16" s="1" t="s">
        <v>10</v>
      </c>
      <c r="B16" s="2" t="str">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t="str">
        <f t="shared" ca="1" si="2"/>
        <v/>
      </c>
      <c r="G16" s="23">
        <f t="shared" ca="1" si="5"/>
        <v>46546</v>
      </c>
      <c r="H16" s="24" t="str">
        <f t="shared" si="3"/>
        <v/>
      </c>
      <c r="I16" s="25" t="e">
        <f ca="1">IF($G16="Всього:",SUM($I$4:I15),MAX($C$32,K16))</f>
        <v>#VALUE!</v>
      </c>
      <c r="J16" s="25" t="e">
        <f ca="1">IF($G16="Всього:",SUM($J$4:J15),IF(I16-SUM(K16:L16)&lt;0,0,I16-SUM(K16:L16)))</f>
        <v>#VALUE!</v>
      </c>
      <c r="K16" s="25" t="e">
        <f ca="1">IF(G16="Всього:",SUM($K$5:K15),F16*O15/36000*(G16-G15))</f>
        <v>#VALUE!</v>
      </c>
      <c r="L16" s="25" t="e">
        <f ca="1">IF(G16="Всього:",SUM($L$5:L15),$E$4)</f>
        <v>#DIV/0!</v>
      </c>
      <c r="M16" s="25" t="e">
        <f ca="1">IF(G16="Всього:",SUM($M$5:M15),IF($E$5="UAH",J16+L16+K16,J16+K16))</f>
        <v>#VALUE!</v>
      </c>
      <c r="N16" s="27" t="str">
        <f ca="1">IF(G16="Всього:",SUM($N$4:N15),IF($E$5="UAH","",L16))</f>
        <v/>
      </c>
      <c r="O16" s="25" t="e">
        <f t="shared" ca="1" si="0"/>
        <v>#DIV/0!</v>
      </c>
      <c r="P16" s="33">
        <f t="shared" ca="1" si="1"/>
        <v>46546</v>
      </c>
      <c r="Q16" s="8" t="e">
        <f t="shared" ca="1" si="4"/>
        <v>#VALUE!</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t="str">
        <f t="shared" ca="1" si="2"/>
        <v/>
      </c>
      <c r="G17" s="23">
        <f t="shared" ca="1" si="5"/>
        <v>46576</v>
      </c>
      <c r="H17" s="24" t="str">
        <f t="shared" si="3"/>
        <v/>
      </c>
      <c r="I17" s="25" t="e">
        <f ca="1">IF($G17="Всього:",SUM($I$4:I16),MAX($C$32,K17))</f>
        <v>#VALUE!</v>
      </c>
      <c r="J17" s="25" t="e">
        <f ca="1">IF($G17="Всього:",SUM($J$4:J16),IF(I17-SUM(K17:L17)&lt;0,0,I17-SUM(K17:L17)))</f>
        <v>#VALUE!</v>
      </c>
      <c r="K17" s="25" t="e">
        <f ca="1">IF(G17="Всього:",SUM($K$5:K16),F17*O16/36000*(G17-G16))</f>
        <v>#VALUE!</v>
      </c>
      <c r="L17" s="25" t="e">
        <f ca="1">IF(G17="Всього:",SUM($L$5:L16),$E$4)</f>
        <v>#DIV/0!</v>
      </c>
      <c r="M17" s="25" t="e">
        <f ca="1">IF(G17="Всього:",SUM($M$5:M16),IF($E$5="UAH",J17+L17+K17,J17+K17))</f>
        <v>#VALUE!</v>
      </c>
      <c r="N17" s="27" t="str">
        <f ca="1">IF(G17="Всього:",SUM($N$4:N16),IF($E$5="UAH","",L17))</f>
        <v/>
      </c>
      <c r="O17" s="25" t="e">
        <f t="shared" ca="1" si="0"/>
        <v>#DIV/0!</v>
      </c>
      <c r="P17" s="33">
        <f t="shared" ca="1" si="1"/>
        <v>46576</v>
      </c>
      <c r="Q17" s="8" t="e">
        <f t="shared" ca="1" si="4"/>
        <v>#VALUE!</v>
      </c>
      <c r="R17" s="8" t="str">
        <f>IF(E8&gt;H17,$AA$7*0.9*5.48%,"")</f>
        <v/>
      </c>
      <c r="X17" s="38">
        <v>0.4</v>
      </c>
      <c r="Y17" s="39">
        <v>0.58652825951576248</v>
      </c>
      <c r="Z17" s="39">
        <v>0.47590692639350884</v>
      </c>
      <c r="AA17" s="39">
        <v>0.4290104568004609</v>
      </c>
      <c r="AB17" s="39">
        <v>0.40521309971809383</v>
      </c>
      <c r="AC17" s="39">
        <v>0.37881106734275816</v>
      </c>
    </row>
    <row r="18" spans="1:36" s="8" customFormat="1" ht="13.2" x14ac:dyDescent="0.25">
      <c r="A18" s="59" t="s">
        <v>220</v>
      </c>
      <c r="B18" s="12">
        <v>0</v>
      </c>
      <c r="C18" s="8" t="s">
        <v>221</v>
      </c>
      <c r="D18" s="33"/>
      <c r="F18" s="34" t="str">
        <f t="shared" ca="1" si="2"/>
        <v/>
      </c>
      <c r="G18" s="23">
        <f t="shared" ca="1" si="5"/>
        <v>46607</v>
      </c>
      <c r="H18" s="24" t="str">
        <f t="shared" si="3"/>
        <v/>
      </c>
      <c r="I18" s="25" t="e">
        <f ca="1">IF($G18="Всього:",SUM($I$4:I17),MAX($C$32,K18))</f>
        <v>#VALUE!</v>
      </c>
      <c r="J18" s="25" t="e">
        <f ca="1">IF($G18="Всього:",SUM($J$4:J17),IF(I18-SUM(K18:L18)&lt;0,0,I18-SUM(K18:L18)))</f>
        <v>#VALUE!</v>
      </c>
      <c r="K18" s="25" t="e">
        <f ca="1">IF(G18="Всього:",SUM($K$5:K17),F18*O17/36000*(G18-G17))</f>
        <v>#VALUE!</v>
      </c>
      <c r="L18" s="25" t="e">
        <f ca="1">IF(G18="Всього:",SUM($L$5:L17),$E$4)</f>
        <v>#DIV/0!</v>
      </c>
      <c r="M18" s="25" t="e">
        <f ca="1">IF(G18="Всього:",SUM($M$5:M17),IF($E$5="UAH",J18+L18+K18,J18+K18))</f>
        <v>#VALUE!</v>
      </c>
      <c r="N18" s="27" t="str">
        <f ca="1">IF(G18="Всього:",SUM($N$4:N17),IF($E$5="UAH","",L18))</f>
        <v/>
      </c>
      <c r="O18" s="25" t="e">
        <f t="shared" ca="1" si="0"/>
        <v>#DIV/0!</v>
      </c>
      <c r="P18" s="33">
        <f t="shared" ca="1" si="1"/>
        <v>46607</v>
      </c>
      <c r="Q18" s="8" t="e">
        <f t="shared" ca="1" si="4"/>
        <v>#VALUE!</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222</v>
      </c>
      <c r="B19" s="59">
        <v>0</v>
      </c>
      <c r="C19" s="11"/>
      <c r="D19" s="11"/>
      <c r="E19" s="11"/>
      <c r="F19" s="34" t="str">
        <f t="shared" ca="1" si="2"/>
        <v/>
      </c>
      <c r="G19" s="23">
        <f t="shared" ca="1" si="5"/>
        <v>46638</v>
      </c>
      <c r="H19" s="24" t="str">
        <f t="shared" si="3"/>
        <v/>
      </c>
      <c r="I19" s="25" t="e">
        <f ca="1">IF($G19="Всього:",SUM($I$4:I18),MAX($C$32,K19))</f>
        <v>#VALUE!</v>
      </c>
      <c r="J19" s="25" t="e">
        <f ca="1">IF($G19="Всього:",SUM($J$4:J18),IF(I19-SUM(K19:L19)&lt;0,0,I19-SUM(K19:L19)))</f>
        <v>#VALUE!</v>
      </c>
      <c r="K19" s="25" t="e">
        <f ca="1">IF(G19="Всього:",SUM($K$5:K18),F19*O18/36000*(G19-G18))</f>
        <v>#VALUE!</v>
      </c>
      <c r="L19" s="25" t="e">
        <f ca="1">IF(G19="Всього:",SUM($L$5:L18),$E$4)</f>
        <v>#DIV/0!</v>
      </c>
      <c r="M19" s="25" t="e">
        <f ca="1">IF(G19="Всього:",SUM($M$5:M18),IF($E$5="UAH",J19+L19+K19,J19+K19))</f>
        <v>#VALUE!</v>
      </c>
      <c r="N19" s="27" t="str">
        <f ca="1">IF(G19="Всього:",SUM($N$4:N18),IF($E$5="UAH","",L19))</f>
        <v/>
      </c>
      <c r="O19" s="25" t="e">
        <f t="shared" ca="1" si="0"/>
        <v>#DIV/0!</v>
      </c>
      <c r="P19" s="33">
        <f t="shared" ca="1" si="1"/>
        <v>46638</v>
      </c>
      <c r="Q19" s="8" t="e">
        <f t="shared" ca="1" si="4"/>
        <v>#VALUE!</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t="str">
        <f t="shared" ca="1" si="2"/>
        <v/>
      </c>
      <c r="G20" s="23">
        <f t="shared" ca="1" si="5"/>
        <v>46668</v>
      </c>
      <c r="H20" s="24" t="str">
        <f t="shared" si="3"/>
        <v/>
      </c>
      <c r="I20" s="25" t="e">
        <f ca="1">IF($G20="Всього:",SUM($I$4:I19),MAX($C$32,K20))</f>
        <v>#VALUE!</v>
      </c>
      <c r="J20" s="25" t="e">
        <f ca="1">IF($G20="Всього:",SUM($J$4:J19),IF(I20-SUM(K20:L20)&lt;0,0,I20-SUM(K20:L20)))</f>
        <v>#VALUE!</v>
      </c>
      <c r="K20" s="25" t="e">
        <f ca="1">IF(G20="Всього:",SUM($K$5:K19),F20*O19/36000*(G20-G19))</f>
        <v>#VALUE!</v>
      </c>
      <c r="L20" s="25" t="e">
        <f ca="1">IF(G20="Всього:",SUM($L$5:L19),$E$4)</f>
        <v>#DIV/0!</v>
      </c>
      <c r="M20" s="25" t="e">
        <f ca="1">IF(G20="Всього:",SUM($M$5:M19),IF($E$5="UAH",J20+L20+K20,J20+K20))</f>
        <v>#VALUE!</v>
      </c>
      <c r="N20" s="27" t="str">
        <f ca="1">IF(G20="Всього:",SUM($N$4:N19),IF($E$5="UAH","",L20))</f>
        <v/>
      </c>
      <c r="O20" s="25" t="e">
        <f t="shared" ca="1" si="0"/>
        <v>#DIV/0!</v>
      </c>
      <c r="P20" s="33">
        <f t="shared" ca="1" si="1"/>
        <v>46668</v>
      </c>
      <c r="Q20" s="8" t="e">
        <f t="shared" ca="1" si="4"/>
        <v>#VALUE!</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t="str">
        <f t="shared" ca="1" si="2"/>
        <v/>
      </c>
      <c r="G21" s="23">
        <f t="shared" ca="1" si="5"/>
        <v>46699</v>
      </c>
      <c r="H21" s="24" t="str">
        <f t="shared" si="3"/>
        <v/>
      </c>
      <c r="I21" s="25" t="e">
        <f ca="1">IF($G21="Всього:",SUM($I$4:I20),MAX($C$32,K21))</f>
        <v>#VALUE!</v>
      </c>
      <c r="J21" s="25" t="e">
        <f ca="1">IF($G21="Всього:",SUM($J$4:J20),IF(I21-SUM(K21:L21)&lt;0,0,I21-SUM(K21:L21)))</f>
        <v>#VALUE!</v>
      </c>
      <c r="K21" s="25" t="e">
        <f ca="1">IF(G21="Всього:",SUM($K$5:K20),F21*O20/36000*(G21-G20))</f>
        <v>#VALUE!</v>
      </c>
      <c r="L21" s="25" t="e">
        <f ca="1">IF(G21="Всього:",SUM($L$5:L20),$E$4)</f>
        <v>#DIV/0!</v>
      </c>
      <c r="M21" s="25" t="e">
        <f ca="1">IF(G21="Всього:",SUM($M$5:M20),IF($E$5="UAH",J21+L21+K21,J21+K21))</f>
        <v>#VALUE!</v>
      </c>
      <c r="N21" s="27" t="str">
        <f ca="1">IF(G21="Всього:",SUM($N$4:N20),IF($E$5="UAH","",L21))</f>
        <v/>
      </c>
      <c r="O21" s="25" t="e">
        <f t="shared" ca="1" si="0"/>
        <v>#DIV/0!</v>
      </c>
      <c r="P21" s="33">
        <f t="shared" ca="1" si="1"/>
        <v>46699</v>
      </c>
      <c r="Q21" s="8" t="e">
        <f t="shared" ca="1" si="4"/>
        <v>#VALUE!</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t="str">
        <f t="shared" ca="1" si="2"/>
        <v/>
      </c>
      <c r="G22" s="23">
        <f t="shared" ca="1" si="5"/>
        <v>46729</v>
      </c>
      <c r="H22" s="24" t="str">
        <f t="shared" si="3"/>
        <v/>
      </c>
      <c r="I22" s="25" t="e">
        <f ca="1">IF($G22="Всього:",SUM($I$4:I21),MAX($C$32,K22))</f>
        <v>#VALUE!</v>
      </c>
      <c r="J22" s="25" t="e">
        <f ca="1">IF($G22="Всього:",SUM($J$4:J21),IF(I22-SUM(K22:L22)&lt;0,0,I22-SUM(K22:L22)))</f>
        <v>#VALUE!</v>
      </c>
      <c r="K22" s="25" t="e">
        <f ca="1">IF(G22="Всього:",SUM($K$5:K21),F22*O21/36000*(G22-G21))</f>
        <v>#VALUE!</v>
      </c>
      <c r="L22" s="25" t="e">
        <f ca="1">IF(G22="Всього:",SUM($L$5:L21),$E$4)</f>
        <v>#DIV/0!</v>
      </c>
      <c r="M22" s="25" t="e">
        <f ca="1">IF(G22="Всього:",SUM($M$5:M21),IF($E$5="UAH",J22+L22+K22,J22+K22))</f>
        <v>#VALUE!</v>
      </c>
      <c r="N22" s="27" t="str">
        <f ca="1">IF(G22="Всього:",SUM($N$4:N21),IF($E$5="UAH","",L22))</f>
        <v/>
      </c>
      <c r="O22" s="25" t="e">
        <f t="shared" ca="1" si="0"/>
        <v>#DIV/0!</v>
      </c>
      <c r="P22" s="33">
        <f t="shared" ca="1" si="1"/>
        <v>46729</v>
      </c>
      <c r="Q22" s="8" t="e">
        <f t="shared" ca="1" si="4"/>
        <v>#VALUE!</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t="str">
        <f t="shared" ca="1" si="2"/>
        <v/>
      </c>
      <c r="G23" s="23">
        <f t="shared" ca="1" si="5"/>
        <v>46760</v>
      </c>
      <c r="H23" s="24" t="str">
        <f t="shared" si="3"/>
        <v/>
      </c>
      <c r="I23" s="25" t="e">
        <f ca="1">IF($G23="Всього:",SUM($I$4:I22),MAX($C$32,K23))</f>
        <v>#VALUE!</v>
      </c>
      <c r="J23" s="25" t="e">
        <f ca="1">IF($G23="Всього:",SUM($J$4:J22),IF(I23-SUM(K23:L23)&lt;0,0,I23-SUM(K23:L23)))</f>
        <v>#VALUE!</v>
      </c>
      <c r="K23" s="25" t="e">
        <f ca="1">IF(G23="Всього:",SUM($K$5:K22),F23*O22/36000*(G23-G22))</f>
        <v>#VALUE!</v>
      </c>
      <c r="L23" s="25" t="e">
        <f ca="1">IF(G23="Всього:",SUM($L$5:L22),$E$4)</f>
        <v>#DIV/0!</v>
      </c>
      <c r="M23" s="25" t="e">
        <f ca="1">IF(G23="Всього:",SUM($M$5:M22),IF($E$5="UAH",J23+L23+K23,J23+K23))</f>
        <v>#VALUE!</v>
      </c>
      <c r="N23" s="27" t="str">
        <f ca="1">IF(G23="Всього:",SUM($N$4:N22),IF($E$5="UAH","",L23))</f>
        <v/>
      </c>
      <c r="O23" s="25" t="e">
        <f t="shared" ca="1" si="0"/>
        <v>#DIV/0!</v>
      </c>
      <c r="P23" s="33">
        <f t="shared" ca="1" si="1"/>
        <v>46760</v>
      </c>
      <c r="Q23" s="8" t="e">
        <f t="shared" ca="1" si="4"/>
        <v>#VALUE!</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t="str">
        <f t="shared" ca="1" si="2"/>
        <v/>
      </c>
      <c r="G24" s="23">
        <f t="shared" ca="1" si="5"/>
        <v>46791</v>
      </c>
      <c r="H24" s="24" t="str">
        <f t="shared" si="3"/>
        <v/>
      </c>
      <c r="I24" s="25" t="e">
        <f ca="1">IF($G24="Всього:",SUM($I$4:I23),MAX($C$32,K24))</f>
        <v>#VALUE!</v>
      </c>
      <c r="J24" s="25" t="e">
        <f ca="1">IF($G24="Всього:",SUM($J$4:J23),IF(I24-SUM(K24:L24)&lt;0,0,I24-SUM(K24:L24)))</f>
        <v>#VALUE!</v>
      </c>
      <c r="K24" s="25" t="e">
        <f ca="1">IF(G24="Всього:",SUM($K$5:K23),F24*O23/36000*(G24-G23))</f>
        <v>#VALUE!</v>
      </c>
      <c r="L24" s="25" t="e">
        <f ca="1">IF(G24="Всього:",SUM($L$5:L23),$E$4)</f>
        <v>#DIV/0!</v>
      </c>
      <c r="M24" s="25" t="e">
        <f ca="1">IF(G24="Всього:",SUM($M$5:M23),IF($E$5="UAH",J24+L24+K24,J24+K24))</f>
        <v>#VALUE!</v>
      </c>
      <c r="N24" s="27" t="str">
        <f ca="1">IF(G24="Всього:",SUM($N$4:N23),IF($E$5="UAH","",L24))</f>
        <v/>
      </c>
      <c r="O24" s="25" t="e">
        <f t="shared" ca="1" si="0"/>
        <v>#DIV/0!</v>
      </c>
      <c r="P24" s="33">
        <f t="shared" ca="1" si="1"/>
        <v>46791</v>
      </c>
      <c r="Q24" s="8" t="e">
        <f t="shared" ca="1" si="4"/>
        <v>#VALUE!</v>
      </c>
      <c r="S24" s="32"/>
      <c r="X24" s="38">
        <v>0.4</v>
      </c>
      <c r="Y24" s="39"/>
      <c r="Z24" s="39"/>
      <c r="AA24" s="39"/>
      <c r="AB24" s="39"/>
      <c r="AC24" s="39"/>
    </row>
    <row r="25" spans="1:36" s="8" customFormat="1" ht="13.2" x14ac:dyDescent="0.25">
      <c r="A25" s="11"/>
      <c r="B25" s="11"/>
      <c r="C25" s="11"/>
      <c r="D25" s="11"/>
      <c r="E25" s="11"/>
      <c r="F25" s="34" t="str">
        <f t="shared" ca="1" si="2"/>
        <v/>
      </c>
      <c r="G25" s="23">
        <f t="shared" ca="1" si="5"/>
        <v>46820</v>
      </c>
      <c r="H25" s="24" t="str">
        <f t="shared" si="3"/>
        <v/>
      </c>
      <c r="I25" s="25" t="e">
        <f ca="1">IF($G25="Всього:",SUM($I$4:I24),MAX($C$32,K25))</f>
        <v>#VALUE!</v>
      </c>
      <c r="J25" s="25" t="e">
        <f ca="1">IF($G25="Всього:",SUM($J$4:J24),IF(I25-SUM(K25:L25)&lt;0,0,I25-SUM(K25:L25)))</f>
        <v>#VALUE!</v>
      </c>
      <c r="K25" s="25" t="e">
        <f ca="1">IF(G25="Всього:",SUM($K$5:K24),F25*O24/36000*(G25-G24))</f>
        <v>#VALUE!</v>
      </c>
      <c r="L25" s="25" t="e">
        <f ca="1">IF(G25="Всього:",SUM($L$5:L24),$E$4)</f>
        <v>#DIV/0!</v>
      </c>
      <c r="M25" s="25" t="e">
        <f ca="1">IF(G25="Всього:",SUM($M$5:M24),IF($E$5="UAH",J25+L25+K25,J25+K25))</f>
        <v>#VALUE!</v>
      </c>
      <c r="N25" s="27" t="str">
        <f ca="1">IF(G25="Всього:",SUM($N$4:N24),IF($E$5="UAH","",L25))</f>
        <v/>
      </c>
      <c r="O25" s="25" t="e">
        <f t="shared" ca="1" si="0"/>
        <v>#DIV/0!</v>
      </c>
      <c r="P25" s="33">
        <f t="shared" ca="1" si="1"/>
        <v>46820</v>
      </c>
      <c r="Q25" s="8" t="e">
        <f t="shared" ca="1" si="4"/>
        <v>#VALUE!</v>
      </c>
      <c r="X25" s="38">
        <v>0.5</v>
      </c>
      <c r="Y25" s="39"/>
      <c r="Z25" s="39"/>
      <c r="AA25" s="39"/>
      <c r="AB25" s="39"/>
      <c r="AC25" s="39"/>
    </row>
    <row r="26" spans="1:36" s="8" customFormat="1" ht="13.2" x14ac:dyDescent="0.25">
      <c r="A26" s="11"/>
      <c r="B26" s="11"/>
      <c r="C26" s="11"/>
      <c r="D26" s="11"/>
      <c r="E26" s="11"/>
      <c r="F26" s="34" t="str">
        <f t="shared" ca="1" si="2"/>
        <v/>
      </c>
      <c r="G26" s="23">
        <f t="shared" ca="1" si="5"/>
        <v>46851</v>
      </c>
      <c r="H26" s="24" t="str">
        <f t="shared" si="3"/>
        <v/>
      </c>
      <c r="I26" s="25" t="e">
        <f ca="1">IF($G26="Всього:",SUM($I$4:I25),MAX($C$32,K26))</f>
        <v>#VALUE!</v>
      </c>
      <c r="J26" s="25" t="e">
        <f ca="1">IF($G26="Всього:",SUM($J$4:J25),IF(I26-SUM(K26:L26)&lt;0,0,I26-SUM(K26:L26)))</f>
        <v>#VALUE!</v>
      </c>
      <c r="K26" s="25" t="e">
        <f ca="1">IF(G26="Всього:",SUM($K$5:K25),F26*O25/36000*(G26-G25))</f>
        <v>#VALUE!</v>
      </c>
      <c r="L26" s="25" t="e">
        <f ca="1">IF(G26="Всього:",SUM($L$5:L25),$E$4)</f>
        <v>#DIV/0!</v>
      </c>
      <c r="M26" s="25" t="e">
        <f ca="1">IF(G26="Всього:",SUM($M$5:M25),IF($E$5="UAH",J26+L26+K26,J26+K26))</f>
        <v>#VALUE!</v>
      </c>
      <c r="N26" s="27" t="str">
        <f ca="1">IF(G26="Всього:",SUM($N$4:N25),IF($E$5="UAH","",L26))</f>
        <v/>
      </c>
      <c r="O26" s="25" t="e">
        <f t="shared" ca="1" si="0"/>
        <v>#DIV/0!</v>
      </c>
      <c r="P26" s="33">
        <f t="shared" ca="1" si="1"/>
        <v>46851</v>
      </c>
      <c r="Q26" s="8" t="e">
        <f t="shared" ca="1" si="4"/>
        <v>#VALUE!</v>
      </c>
      <c r="X26" s="38">
        <v>0.6</v>
      </c>
      <c r="Y26" s="39"/>
      <c r="Z26" s="39"/>
      <c r="AA26" s="39"/>
      <c r="AB26" s="39"/>
      <c r="AC26" s="39"/>
    </row>
    <row r="27" spans="1:36" s="8" customFormat="1" ht="13.2" x14ac:dyDescent="0.25">
      <c r="A27" s="11"/>
      <c r="B27" s="11"/>
      <c r="C27" s="11"/>
      <c r="D27" s="11"/>
      <c r="E27" s="11"/>
      <c r="F27" s="34" t="str">
        <f t="shared" ca="1" si="2"/>
        <v/>
      </c>
      <c r="G27" s="23">
        <f t="shared" ca="1" si="5"/>
        <v>46881</v>
      </c>
      <c r="H27" s="24" t="str">
        <f t="shared" si="3"/>
        <v/>
      </c>
      <c r="I27" s="25" t="e">
        <f ca="1">IF($G27="Всього:",SUM($I$4:I26),MAX($C$32,K27))</f>
        <v>#VALUE!</v>
      </c>
      <c r="J27" s="25" t="e">
        <f ca="1">IF($G27="Всього:",SUM($J$4:J26),IF(I27-SUM(K27:L27)&lt;0,0,I27-SUM(K27:L27)))</f>
        <v>#VALUE!</v>
      </c>
      <c r="K27" s="25" t="e">
        <f ca="1">IF(G27="Всього:",SUM($K$5:K26),F27*O26/36000*(G27-G26))</f>
        <v>#VALUE!</v>
      </c>
      <c r="L27" s="25" t="e">
        <f ca="1">IF(G27="Всього:",SUM($L$5:L26),$E$4)</f>
        <v>#DIV/0!</v>
      </c>
      <c r="M27" s="25" t="e">
        <f ca="1">IF(G27="Всього:",SUM($M$5:M26),IF($E$5="UAH",J27+L27+K27,J27+K27))</f>
        <v>#VALUE!</v>
      </c>
      <c r="N27" s="27" t="str">
        <f ca="1">IF(G27="Всього:",SUM($N$4:N26),IF($E$5="UAH","",L27))</f>
        <v/>
      </c>
      <c r="O27" s="25" t="e">
        <f t="shared" ca="1" si="0"/>
        <v>#DIV/0!</v>
      </c>
      <c r="P27" s="33">
        <f t="shared" ca="1" si="1"/>
        <v>46881</v>
      </c>
      <c r="Q27" s="8" t="e">
        <f t="shared" ca="1" si="4"/>
        <v>#VALUE!</v>
      </c>
      <c r="X27" s="39">
        <v>0.7</v>
      </c>
      <c r="Y27" s="39">
        <v>1.0437223553657533</v>
      </c>
      <c r="Z27" s="39"/>
      <c r="AA27" s="39"/>
      <c r="AB27" s="39"/>
      <c r="AC27" s="39"/>
      <c r="AG27" s="40"/>
    </row>
    <row r="28" spans="1:36" s="8" customFormat="1" ht="13.2" x14ac:dyDescent="0.25">
      <c r="F28" s="34" t="str">
        <f t="shared" ca="1" si="2"/>
        <v/>
      </c>
      <c r="G28" s="23">
        <f ca="1">IF(H27=$E$3,"Всього:",IF($E$3=H28,$B$14,DATE(YEAR(G27),MONTH(G27)+1,IF($B$7&lt;&gt;"",DAY(IF($B$7&gt;DAY(EOMONTH(G27,1)),EOMONTH(G27,1),$B$7)),DAY(1)))))</f>
        <v>46912</v>
      </c>
      <c r="H28" s="24" t="str">
        <f t="shared" si="3"/>
        <v/>
      </c>
      <c r="I28" s="25">
        <v>33016.529340613146</v>
      </c>
      <c r="J28" s="25" t="e">
        <f ca="1">IF($G28="Всього:",SUM($J$4:J27),IF(I28-SUM(K28:L28)&lt;0,0,I28-SUM(K28:L28)))</f>
        <v>#VALUE!</v>
      </c>
      <c r="K28" s="25" t="e">
        <f ca="1">IF(G28="Всього:",SUM($K$5:K27),F28*O27/36000*(G28-G27))</f>
        <v>#VALUE!</v>
      </c>
      <c r="L28" s="25" t="e">
        <f ca="1">IF(G28="Всього:",SUM($L$5:L27),$E$4)</f>
        <v>#DIV/0!</v>
      </c>
      <c r="M28" s="25" t="e">
        <f ca="1">IF(G28="Всього:",SUM($M$5:M27),IF($E$5="UAH",J28+L28+K28,J28+K28))</f>
        <v>#VALUE!</v>
      </c>
      <c r="N28" s="27" t="str">
        <f ca="1">IF(G28="Всього:",SUM($N$4:N27),IF($E$5="UAH","",L28))</f>
        <v/>
      </c>
      <c r="O28" s="25" t="e">
        <f t="shared" ca="1" si="0"/>
        <v>#DIV/0!</v>
      </c>
      <c r="P28" s="33">
        <f t="shared" ca="1" si="1"/>
        <v>46912</v>
      </c>
      <c r="Q28" s="8">
        <f t="shared" si="4"/>
        <v>33016.529340613146</v>
      </c>
      <c r="Y28" s="39">
        <v>0.63834061026573197</v>
      </c>
    </row>
    <row r="29" spans="1:36" s="8" customFormat="1" ht="13.2" x14ac:dyDescent="0.25">
      <c r="F29" s="34" t="str">
        <f t="shared" ca="1" si="2"/>
        <v/>
      </c>
      <c r="G29" s="23">
        <f t="shared" ca="1" si="5"/>
        <v>46942</v>
      </c>
      <c r="H29" s="24" t="str">
        <f>IF(H28&gt;$E$8,"",H28+1)</f>
        <v/>
      </c>
      <c r="I29" s="25" t="e">
        <f ca="1">IF($G29="Всього:",SUM($I$4:I28),MAX($C$32,K29))</f>
        <v>#VALUE!</v>
      </c>
      <c r="J29" s="25" t="e">
        <f ca="1">IF($G29="Всього:",SUM($J$4:J28),IF(I29-SUM(K29:L29)&lt;0,0,I29-SUM(K29:L29)))</f>
        <v>#VALUE!</v>
      </c>
      <c r="K29" s="25" t="e">
        <f ca="1">IF(G29="Всього:",SUM($K$5:K28),F29*O28/36000*(G29-G28))</f>
        <v>#VALUE!</v>
      </c>
      <c r="L29" s="25" t="e">
        <f ca="1">IF(G29="Всього:",SUM($L$5:L28),$E$4)</f>
        <v>#DIV/0!</v>
      </c>
      <c r="M29" s="25" t="e">
        <f ca="1">IF(G29="Всього:",SUM($M$5:M28),IF($E$5="UAH",J29+L29+K29,J29+K29))</f>
        <v>#VALUE!</v>
      </c>
      <c r="N29" s="27" t="str">
        <f ca="1">IF(G29="Всього:",SUM($N$4:N28),IF($E$5="UAH","",L29))</f>
        <v/>
      </c>
      <c r="O29" s="25" t="e">
        <f t="shared" ca="1" si="0"/>
        <v>#DIV/0!</v>
      </c>
      <c r="P29" s="33">
        <f t="shared" ca="1" si="1"/>
        <v>46942</v>
      </c>
      <c r="Q29" s="8" t="e">
        <f t="shared" ca="1" si="4"/>
        <v>#VALUE!</v>
      </c>
      <c r="R29" s="8" t="str">
        <f>IF(E8&gt;H28,$AA$7*0.9*0.9*5.48%,"")</f>
        <v/>
      </c>
    </row>
    <row r="30" spans="1:36" s="8" customFormat="1" ht="13.2" x14ac:dyDescent="0.25">
      <c r="F30" s="34" t="str">
        <f t="shared" ca="1" si="2"/>
        <v/>
      </c>
      <c r="G30" s="23">
        <f t="shared" ca="1" si="5"/>
        <v>46973</v>
      </c>
      <c r="H30" s="24" t="str">
        <f t="shared" si="3"/>
        <v/>
      </c>
      <c r="I30" s="25" t="e">
        <f ca="1">IF($G30="Всього:",SUM($I$4:I29),MAX($C$32,K30))</f>
        <v>#VALUE!</v>
      </c>
      <c r="J30" s="25" t="e">
        <f ca="1">IF($G30="Всього:",SUM($J$4:J29),IF(I30-SUM(K30:L30)&lt;0,0,I30-SUM(K30:L30)))</f>
        <v>#VALUE!</v>
      </c>
      <c r="K30" s="25" t="e">
        <f ca="1">IF(G30="Всього:",SUM($K$5:K29),F30*O29/36000*(G30-G29))</f>
        <v>#VALUE!</v>
      </c>
      <c r="L30" s="25" t="e">
        <f ca="1">IF(G30="Всього:",SUM($L$5:L29),$E$4)</f>
        <v>#DIV/0!</v>
      </c>
      <c r="M30" s="25" t="e">
        <f ca="1">IF(G30="Всього:",SUM($M$5:M29),IF($E$5="UAH",J30+L30+K30,J30+K30))</f>
        <v>#VALUE!</v>
      </c>
      <c r="N30" s="27" t="str">
        <f ca="1">IF(G30="Всього:",SUM($N$4:N29),IF($E$5="UAH","",L30))</f>
        <v/>
      </c>
      <c r="O30" s="25" t="e">
        <f t="shared" ca="1" si="0"/>
        <v>#DIV/0!</v>
      </c>
      <c r="P30" s="33">
        <f t="shared" ca="1" si="1"/>
        <v>46973</v>
      </c>
      <c r="Q30" s="8" t="e">
        <f t="shared" ca="1" si="4"/>
        <v>#VALUE!</v>
      </c>
    </row>
    <row r="31" spans="1:36" s="8" customFormat="1" ht="13.2" x14ac:dyDescent="0.25">
      <c r="F31" s="34" t="str">
        <f t="shared" ca="1" si="2"/>
        <v/>
      </c>
      <c r="G31" s="23">
        <f t="shared" ca="1" si="5"/>
        <v>47004</v>
      </c>
      <c r="H31" s="24" t="str">
        <f t="shared" si="3"/>
        <v/>
      </c>
      <c r="I31" s="25" t="e">
        <f ca="1">IF($G31="Всього:",SUM($I$4:I30),MAX($C$32,K31))</f>
        <v>#VALUE!</v>
      </c>
      <c r="J31" s="25" t="e">
        <f ca="1">IF($G31="Всього:",SUM($J$4:J30),IF(I31-SUM(K31:L31)&lt;0,0,I31-SUM(K31:L31)))</f>
        <v>#VALUE!</v>
      </c>
      <c r="K31" s="25" t="e">
        <f ca="1">IF(G31="Всього:",SUM($K$5:K30),F31*O30/36000*(G31-G30))</f>
        <v>#VALUE!</v>
      </c>
      <c r="L31" s="25" t="e">
        <f ca="1">IF(G31="Всього:",SUM($L$5:L30),$E$4)</f>
        <v>#DIV/0!</v>
      </c>
      <c r="M31" s="25" t="e">
        <f ca="1">IF(G31="Всього:",SUM($M$5:M30),IF($E$5="UAH",J31+L31+K31,J31+K31))</f>
        <v>#VALUE!</v>
      </c>
      <c r="N31" s="27" t="str">
        <f ca="1">IF(G31="Всього:",SUM($N$4:N30),IF($E$5="UAH","",L31))</f>
        <v/>
      </c>
      <c r="O31" s="25" t="e">
        <f t="shared" ca="1" si="0"/>
        <v>#DIV/0!</v>
      </c>
      <c r="P31" s="33">
        <f t="shared" ca="1" si="1"/>
        <v>47004</v>
      </c>
      <c r="Q31" s="8" t="e">
        <f t="shared" ca="1" si="4"/>
        <v>#VALUE!</v>
      </c>
    </row>
    <row r="32" spans="1:36" s="8" customFormat="1" ht="13.2" x14ac:dyDescent="0.25">
      <c r="A32" s="12" t="s">
        <v>204</v>
      </c>
      <c r="B32" s="26">
        <v>33005.426630397633</v>
      </c>
      <c r="C32" s="12">
        <v>33005</v>
      </c>
      <c r="D32" s="8" t="s">
        <v>76</v>
      </c>
      <c r="F32" s="34" t="str">
        <f t="shared" ca="1" si="2"/>
        <v/>
      </c>
      <c r="G32" s="23">
        <f t="shared" ca="1" si="5"/>
        <v>47034</v>
      </c>
      <c r="H32" s="24" t="str">
        <f t="shared" si="3"/>
        <v/>
      </c>
      <c r="I32" s="25" t="e">
        <f ca="1">IF($G32="Всього:",SUM($I$4:I31),MAX($C$32,K32))</f>
        <v>#VALUE!</v>
      </c>
      <c r="J32" s="25" t="e">
        <f ca="1">IF($G32="Всього:",SUM($J$4:J31),IF(I32-SUM(K32:L32)&lt;0,0,I32-SUM(K32:L32)))</f>
        <v>#VALUE!</v>
      </c>
      <c r="K32" s="25" t="e">
        <f ca="1">IF(G32="Всього:",SUM($K$5:K31),F32*O31/36000*(G32-G31))</f>
        <v>#VALUE!</v>
      </c>
      <c r="L32" s="25" t="e">
        <f ca="1">IF(G32="Всього:",SUM($L$5:L31),$E$4)</f>
        <v>#DIV/0!</v>
      </c>
      <c r="M32" s="25" t="e">
        <f ca="1">IF(G32="Всього:",SUM($M$5:M31),IF($E$5="UAH",J32+L32+K32,J32+K32))</f>
        <v>#VALUE!</v>
      </c>
      <c r="N32" s="27" t="str">
        <f ca="1">IF(G32="Всього:",SUM($N$4:N31),IF($E$5="UAH","",L32))</f>
        <v/>
      </c>
      <c r="O32" s="25" t="e">
        <f t="shared" ca="1" si="0"/>
        <v>#DIV/0!</v>
      </c>
      <c r="P32" s="33">
        <f t="shared" ca="1" si="1"/>
        <v>47034</v>
      </c>
      <c r="Q32" s="8" t="e">
        <f t="shared" ca="1" si="4"/>
        <v>#VALUE!</v>
      </c>
    </row>
    <row r="33" spans="1:18" s="8" customFormat="1" ht="13.2" x14ac:dyDescent="0.25">
      <c r="A33" s="12" t="s">
        <v>205</v>
      </c>
      <c r="B33" s="26">
        <v>33005.427061178612</v>
      </c>
      <c r="C33" s="12">
        <v>33016.529340613146</v>
      </c>
      <c r="D33" s="8" t="s">
        <v>206</v>
      </c>
      <c r="F33" s="34" t="str">
        <f t="shared" ca="1" si="2"/>
        <v/>
      </c>
      <c r="G33" s="23">
        <f t="shared" ca="1" si="5"/>
        <v>47065</v>
      </c>
      <c r="H33" s="24" t="str">
        <f t="shared" si="3"/>
        <v/>
      </c>
      <c r="I33" s="25" t="e">
        <f ca="1">IF($G33="Всього:",SUM($I$4:I32),MAX($C$32,K33))</f>
        <v>#VALUE!</v>
      </c>
      <c r="J33" s="25" t="e">
        <f ca="1">IF($G33="Всього:",SUM($J$4:J32),IF(I33-SUM(K33:L33)&lt;0,0,I33-SUM(K33:L33)))</f>
        <v>#VALUE!</v>
      </c>
      <c r="K33" s="25" t="e">
        <f ca="1">IF(G33="Всього:",SUM($K$5:K32),F33*O32/36000*(G33-G32))</f>
        <v>#VALUE!</v>
      </c>
      <c r="L33" s="25" t="e">
        <f ca="1">IF(G33="Всього:",SUM($L$5:L32),$E$4)</f>
        <v>#DIV/0!</v>
      </c>
      <c r="M33" s="25" t="e">
        <f ca="1">IF(G33="Всього:",SUM($M$5:M32),IF($E$5="UAH",J33+L33+K33,J33+K33))</f>
        <v>#VALUE!</v>
      </c>
      <c r="N33" s="27" t="str">
        <f ca="1">IF(G33="Всього:",SUM($N$4:N32),IF($E$5="UAH","",L33))</f>
        <v/>
      </c>
      <c r="O33" s="25" t="e">
        <f t="shared" ca="1" si="0"/>
        <v>#DIV/0!</v>
      </c>
      <c r="P33" s="33">
        <f t="shared" ca="1" si="1"/>
        <v>47065</v>
      </c>
      <c r="Q33" s="8" t="e">
        <f t="shared" ca="1" si="4"/>
        <v>#VALUE!</v>
      </c>
    </row>
    <row r="34" spans="1:18" s="8" customFormat="1" ht="13.2" x14ac:dyDescent="0.25">
      <c r="A34" s="12" t="s">
        <v>207</v>
      </c>
      <c r="B34" s="12">
        <v>33016.529340613146</v>
      </c>
      <c r="C34" s="12"/>
      <c r="F34" s="34" t="str">
        <f t="shared" ca="1" si="2"/>
        <v/>
      </c>
      <c r="G34" s="23">
        <f t="shared" ca="1" si="5"/>
        <v>47095</v>
      </c>
      <c r="H34" s="24" t="str">
        <f t="shared" si="3"/>
        <v/>
      </c>
      <c r="I34" s="25" t="e">
        <f ca="1">IF($G34="Всього:",SUM($I$4:I33),MAX($C$32,K34))</f>
        <v>#VALUE!</v>
      </c>
      <c r="J34" s="25" t="e">
        <f ca="1">IF($G34="Всього:",SUM($J$4:J33),IF(I34-SUM(K34:L34)&lt;0,0,I34-SUM(K34:L34)))</f>
        <v>#VALUE!</v>
      </c>
      <c r="K34" s="25" t="e">
        <f ca="1">IF(G34="Всього:",SUM($K$5:K33),F34*O33/36000*(G34-G33))</f>
        <v>#VALUE!</v>
      </c>
      <c r="L34" s="25" t="e">
        <f ca="1">IF(G34="Всього:",SUM($L$5:L33),$E$4)</f>
        <v>#DIV/0!</v>
      </c>
      <c r="M34" s="25" t="e">
        <f ca="1">IF(G34="Всього:",SUM($M$5:M33),IF($E$5="UAH",J34+L34+K34,J34+K34))</f>
        <v>#VALUE!</v>
      </c>
      <c r="N34" s="27" t="str">
        <f ca="1">IF(G34="Всього:",SUM($N$4:N33),IF($E$5="UAH","",L34))</f>
        <v/>
      </c>
      <c r="O34" s="25" t="e">
        <f t="shared" ca="1" si="0"/>
        <v>#DIV/0!</v>
      </c>
      <c r="P34" s="33">
        <f t="shared" ca="1" si="1"/>
        <v>47095</v>
      </c>
      <c r="Q34" s="8" t="e">
        <f t="shared" ca="1" si="4"/>
        <v>#VALUE!</v>
      </c>
    </row>
    <row r="35" spans="1:18" s="8" customFormat="1" ht="13.2" x14ac:dyDescent="0.25">
      <c r="F35" s="34" t="str">
        <f t="shared" ca="1" si="2"/>
        <v/>
      </c>
      <c r="G35" s="23">
        <f t="shared" ca="1" si="5"/>
        <v>47126</v>
      </c>
      <c r="H35" s="24" t="str">
        <f t="shared" si="3"/>
        <v/>
      </c>
      <c r="I35" s="25" t="e">
        <f ca="1">IF($G35="Всього:",SUM($I$4:I34),MAX($C$32,K35))</f>
        <v>#VALUE!</v>
      </c>
      <c r="J35" s="25" t="e">
        <f ca="1">IF($G35="Всього:",SUM($J$4:J34),IF(I35-SUM(K35:L35)&lt;0,0,I35-SUM(K35:L35)))</f>
        <v>#VALUE!</v>
      </c>
      <c r="K35" s="25" t="e">
        <f ca="1">IF(G35="Всього:",SUM($K$5:K34),F35*O34/36000*(G35-G34))</f>
        <v>#VALUE!</v>
      </c>
      <c r="L35" s="25" t="e">
        <f ca="1">IF(G35="Всього:",SUM($L$5:L34),$E$4)</f>
        <v>#DIV/0!</v>
      </c>
      <c r="M35" s="25" t="e">
        <f ca="1">IF(G35="Всього:",SUM($M$5:M34),IF($E$5="UAH",J35+L35+K35,J35+K35))</f>
        <v>#VALUE!</v>
      </c>
      <c r="N35" s="27" t="str">
        <f ca="1">IF(G35="Всього:",SUM($N$4:N34),IF($E$5="UAH","",L35))</f>
        <v/>
      </c>
      <c r="O35" s="25" t="e">
        <f t="shared" ca="1" si="0"/>
        <v>#DIV/0!</v>
      </c>
      <c r="P35" s="33">
        <f t="shared" ca="1" si="1"/>
        <v>47126</v>
      </c>
      <c r="Q35" s="8" t="e">
        <f t="shared" ca="1" si="4"/>
        <v>#VALUE!</v>
      </c>
    </row>
    <row r="36" spans="1:18" s="8" customFormat="1" ht="13.2" x14ac:dyDescent="0.25">
      <c r="B36" s="29"/>
      <c r="F36" s="34" t="str">
        <f t="shared" ca="1" si="2"/>
        <v/>
      </c>
      <c r="G36" s="23">
        <f t="shared" ca="1" si="5"/>
        <v>47157</v>
      </c>
      <c r="H36" s="24" t="str">
        <f t="shared" si="3"/>
        <v/>
      </c>
      <c r="I36" s="25" t="e">
        <f ca="1">IF($G36="Всього:",SUM($I$4:I35),MAX($C$32,K36))</f>
        <v>#VALUE!</v>
      </c>
      <c r="J36" s="25" t="e">
        <f ca="1">IF($G36="Всього:",SUM($J$4:J35),IF(I36-SUM(K36:L36)&lt;0,0,I36-SUM(K36:L36)))</f>
        <v>#VALUE!</v>
      </c>
      <c r="K36" s="25" t="e">
        <f ca="1">IF(G36="Всього:",SUM($K$5:K35),F36*O35/36000*(G36-G35))</f>
        <v>#VALUE!</v>
      </c>
      <c r="L36" s="25" t="e">
        <f ca="1">IF(G36="Всього:",SUM($L$5:L35),$E$4)</f>
        <v>#DIV/0!</v>
      </c>
      <c r="M36" s="25" t="e">
        <f ca="1">IF(G36="Всього:",SUM($M$5:M35),IF($E$5="UAH",J36+L36+K36,J36+K36))</f>
        <v>#VALUE!</v>
      </c>
      <c r="N36" s="27" t="str">
        <f ca="1">IF(G36="Всього:",SUM($N$4:N35),IF($E$5="UAH","",L36))</f>
        <v/>
      </c>
      <c r="O36" s="25" t="e">
        <f t="shared" ca="1" si="0"/>
        <v>#DIV/0!</v>
      </c>
      <c r="P36" s="33">
        <f t="shared" ca="1" si="1"/>
        <v>47157</v>
      </c>
      <c r="Q36" s="8" t="e">
        <f t="shared" ca="1" si="4"/>
        <v>#VALUE!</v>
      </c>
    </row>
    <row r="37" spans="1:18" s="8" customFormat="1" ht="13.2" x14ac:dyDescent="0.25">
      <c r="F37" s="34" t="str">
        <f t="shared" ca="1" si="2"/>
        <v/>
      </c>
      <c r="G37" s="23">
        <f t="shared" ca="1" si="5"/>
        <v>47185</v>
      </c>
      <c r="H37" s="24" t="str">
        <f t="shared" si="3"/>
        <v/>
      </c>
      <c r="I37" s="25" t="e">
        <f ca="1">IF($G37="Всього:",SUM($I$4:I36),MAX($C$32,K37))</f>
        <v>#VALUE!</v>
      </c>
      <c r="J37" s="25" t="e">
        <f ca="1">IF($G37="Всього:",SUM($J$4:J36),IF(I37-SUM(K37:L37)&lt;0,0,I37-SUM(K37:L37)))</f>
        <v>#VALUE!</v>
      </c>
      <c r="K37" s="25" t="e">
        <f ca="1">IF(G37="Всього:",SUM($K$5:K36),F37*O36/36000*(G37-G36))</f>
        <v>#VALUE!</v>
      </c>
      <c r="L37" s="25" t="e">
        <f ca="1">IF(G37="Всього:",SUM($L$5:L36),$E$4)</f>
        <v>#DIV/0!</v>
      </c>
      <c r="M37" s="25" t="e">
        <f ca="1">IF(G37="Всього:",SUM($M$5:M36),IF($E$5="UAH",J37+L37+K37,J37+K37))</f>
        <v>#VALUE!</v>
      </c>
      <c r="N37" s="27" t="str">
        <f ca="1">IF(G37="Всього:",SUM($N$4:N36),IF($E$5="UAH","",L37))</f>
        <v/>
      </c>
      <c r="O37" s="25" t="e">
        <f t="shared" ca="1" si="0"/>
        <v>#DIV/0!</v>
      </c>
      <c r="P37" s="33">
        <f t="shared" ca="1" si="1"/>
        <v>47185</v>
      </c>
      <c r="Q37" s="8" t="e">
        <f t="shared" ca="1" si="4"/>
        <v>#VALUE!</v>
      </c>
    </row>
    <row r="38" spans="1:18" s="8" customFormat="1" ht="13.2" x14ac:dyDescent="0.25">
      <c r="F38" s="34" t="str">
        <f t="shared" ca="1" si="2"/>
        <v/>
      </c>
      <c r="G38" s="23">
        <f t="shared" ca="1" si="5"/>
        <v>47216</v>
      </c>
      <c r="H38" s="24" t="str">
        <f t="shared" si="3"/>
        <v/>
      </c>
      <c r="I38" s="25" t="e">
        <f ca="1">IF($G38="Всього:",SUM($I$4:I37),MAX($C$32,K38))</f>
        <v>#VALUE!</v>
      </c>
      <c r="J38" s="25" t="e">
        <f ca="1">IF($G38="Всього:",SUM($J$4:J37),IF(I38-SUM(K38:L38)&lt;0,0,I38-SUM(K38:L38)))</f>
        <v>#VALUE!</v>
      </c>
      <c r="K38" s="25" t="e">
        <f ca="1">IF(G38="Всього:",SUM($K$5:K37),F38*O37/36000*(G38-G37))</f>
        <v>#VALUE!</v>
      </c>
      <c r="L38" s="25" t="e">
        <f ca="1">IF(G38="Всього:",SUM($L$5:L37),$E$4)</f>
        <v>#DIV/0!</v>
      </c>
      <c r="M38" s="25" t="e">
        <f ca="1">IF(G38="Всього:",SUM($M$5:M37),IF($E$5="UAH",J38+L38+K38,J38+K38))</f>
        <v>#VALUE!</v>
      </c>
      <c r="N38" s="27" t="str">
        <f ca="1">IF(G38="Всього:",SUM($N$4:N37),IF($E$5="UAH","",L38))</f>
        <v/>
      </c>
      <c r="O38" s="25" t="e">
        <f t="shared" ca="1" si="0"/>
        <v>#DIV/0!</v>
      </c>
      <c r="P38" s="33">
        <f t="shared" ca="1" si="1"/>
        <v>47216</v>
      </c>
      <c r="Q38" s="8" t="e">
        <f t="shared" ca="1" si="4"/>
        <v>#VALUE!</v>
      </c>
    </row>
    <row r="39" spans="1:18" s="8" customFormat="1" ht="13.2" x14ac:dyDescent="0.25">
      <c r="F39" s="34" t="str">
        <f t="shared" ca="1" si="2"/>
        <v/>
      </c>
      <c r="G39" s="23">
        <f t="shared" ca="1" si="5"/>
        <v>47246</v>
      </c>
      <c r="H39" s="24" t="str">
        <f t="shared" si="3"/>
        <v/>
      </c>
      <c r="I39" s="25" t="e">
        <f ca="1">IF($G39="Всього:",SUM($I$4:I38),MAX($C$32,K39))</f>
        <v>#VALUE!</v>
      </c>
      <c r="J39" s="25" t="e">
        <f ca="1">IF($G39="Всього:",SUM($J$4:J38),IF(I39-SUM(K39:L39)&lt;0,0,I39-SUM(K39:L39)))</f>
        <v>#VALUE!</v>
      </c>
      <c r="K39" s="25" t="e">
        <f ca="1">IF(G39="Всього:",SUM($K$5:K38),F39*O38/36000*(G39-G38))</f>
        <v>#VALUE!</v>
      </c>
      <c r="L39" s="25" t="e">
        <f ca="1">IF(G39="Всього:",SUM($L$5:L38),$E$4)</f>
        <v>#DIV/0!</v>
      </c>
      <c r="M39" s="25" t="e">
        <f ca="1">IF(G39="Всього:",SUM($M$5:M38),IF($E$5="UAH",J39+L39+K39,J39+K39))</f>
        <v>#VALUE!</v>
      </c>
      <c r="N39" s="27" t="str">
        <f ca="1">IF(G39="Всього:",SUM($N$4:N38),IF($E$5="UAH","",L39))</f>
        <v/>
      </c>
      <c r="O39" s="25" t="e">
        <f t="shared" ca="1" si="0"/>
        <v>#DIV/0!</v>
      </c>
      <c r="P39" s="33">
        <f t="shared" ca="1" si="1"/>
        <v>47246</v>
      </c>
      <c r="Q39" s="8" t="e">
        <f t="shared" ca="1" si="4"/>
        <v>#VALUE!</v>
      </c>
    </row>
    <row r="40" spans="1:18" s="8" customFormat="1" ht="13.2" x14ac:dyDescent="0.25">
      <c r="F40" s="34" t="str">
        <f t="shared" ca="1" si="2"/>
        <v/>
      </c>
      <c r="G40" s="23">
        <f t="shared" ca="1" si="5"/>
        <v>47277</v>
      </c>
      <c r="H40" s="24" t="str">
        <f t="shared" si="3"/>
        <v/>
      </c>
      <c r="I40" s="25" t="e">
        <f ca="1">IF($G40="Всього:",SUM($I$4:I39),MAX($C$32,K40))</f>
        <v>#VALUE!</v>
      </c>
      <c r="J40" s="25" t="e">
        <f ca="1">IF($G40="Всього:",SUM($J$4:J39),IF(I40-SUM(K40:L40)&lt;0,0,I40-SUM(K40:L40)))</f>
        <v>#VALUE!</v>
      </c>
      <c r="K40" s="25" t="e">
        <f ca="1">IF(G40="Всього:",SUM($K$5:K39),F40*O39/36000*(G40-G39))</f>
        <v>#VALUE!</v>
      </c>
      <c r="L40" s="25" t="e">
        <f ca="1">IF(G40="Всього:",SUM($L$5:L39),$E$4)</f>
        <v>#DIV/0!</v>
      </c>
      <c r="M40" s="25" t="e">
        <f ca="1">IF(G40="Всього:",SUM($M$5:M39),IF($E$5="UAH",J40+L40+K40,J40+K40))</f>
        <v>#VALUE!</v>
      </c>
      <c r="N40" s="27" t="str">
        <f ca="1">IF(G40="Всього:",SUM($N$4:N39),IF($E$5="UAH","",L40))</f>
        <v/>
      </c>
      <c r="O40" s="25" t="e">
        <f t="shared" ca="1" si="0"/>
        <v>#DIV/0!</v>
      </c>
      <c r="P40" s="33">
        <f t="shared" ca="1" si="1"/>
        <v>47277</v>
      </c>
      <c r="Q40" s="8" t="e">
        <f t="shared" ca="1" si="4"/>
        <v>#VALUE!</v>
      </c>
    </row>
    <row r="41" spans="1:18" s="8" customFormat="1" ht="13.2" x14ac:dyDescent="0.25">
      <c r="F41" s="34" t="str">
        <f t="shared" ca="1" si="2"/>
        <v/>
      </c>
      <c r="G41" s="23">
        <f t="shared" ca="1" si="5"/>
        <v>47307</v>
      </c>
      <c r="H41" s="24" t="str">
        <f t="shared" si="3"/>
        <v/>
      </c>
      <c r="I41" s="25" t="e">
        <f ca="1">IF($G41="Всього:",SUM($I$4:I40),MAX($C$32,K41))</f>
        <v>#VALUE!</v>
      </c>
      <c r="J41" s="25" t="e">
        <f ca="1">IF($G41="Всього:",SUM($J$4:J40),IF(I41-SUM(K41:L41)&lt;0,0,I41-SUM(K41:L41)))</f>
        <v>#VALUE!</v>
      </c>
      <c r="K41" s="25" t="e">
        <f ca="1">IF(G41="Всього:",SUM($K$5:K40),F41*O40/36000*(G41-G40))</f>
        <v>#VALUE!</v>
      </c>
      <c r="L41" s="25" t="e">
        <f ca="1">IF(G41="Всього:",SUM($L$5:L40),$E$4)</f>
        <v>#DIV/0!</v>
      </c>
      <c r="M41" s="25" t="e">
        <f ca="1">IF(G41="Всього:",SUM($M$5:M40),IF($E$5="UAH",J41+L41+K41,J41+K41))</f>
        <v>#VALUE!</v>
      </c>
      <c r="N41" s="27" t="str">
        <f ca="1">IF(G41="Всього:",SUM($N$4:N40),IF($E$5="UAH","",L41))</f>
        <v/>
      </c>
      <c r="O41" s="25" t="e">
        <f t="shared" ca="1" si="0"/>
        <v>#DIV/0!</v>
      </c>
      <c r="P41" s="33">
        <f t="shared" ca="1" si="1"/>
        <v>47307</v>
      </c>
      <c r="Q41" s="8" t="e">
        <f t="shared" ca="1" si="4"/>
        <v>#VALUE!</v>
      </c>
      <c r="R41" s="8" t="str">
        <f>IF(E8&gt;H41,$AA$7*0.9*0.9*0.9*5.48%,"")</f>
        <v/>
      </c>
    </row>
    <row r="42" spans="1:18" s="8" customFormat="1" ht="13.2" x14ac:dyDescent="0.25">
      <c r="F42" s="34" t="str">
        <f t="shared" ca="1" si="2"/>
        <v/>
      </c>
      <c r="G42" s="23">
        <f t="shared" ca="1" si="5"/>
        <v>47338</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#DIV/0!</v>
      </c>
      <c r="M42" s="25" t="e">
        <f ca="1">IF(G42="Всього:",SUM($M$5:M41),IF($E$5="UAH",J42+L42+K42,J42+K42))</f>
        <v>#VALUE!</v>
      </c>
      <c r="N42" s="27" t="str">
        <f ca="1">IF(G42="Всього:",SUM($N$4:N41),IF($E$5="UAH","",L42))</f>
        <v/>
      </c>
      <c r="O42" s="25" t="e">
        <f t="shared" ca="1" si="0"/>
        <v>#DIV/0!</v>
      </c>
      <c r="P42" s="33">
        <f t="shared" ca="1" si="1"/>
        <v>47338</v>
      </c>
      <c r="Q42" s="8" t="e">
        <f t="shared" ca="1" si="4"/>
        <v>#VALUE!</v>
      </c>
    </row>
    <row r="43" spans="1:18" s="8" customFormat="1" ht="13.2" x14ac:dyDescent="0.25">
      <c r="F43" s="34" t="str">
        <f t="shared" ca="1" si="2"/>
        <v/>
      </c>
      <c r="G43" s="23">
        <f t="shared" ca="1" si="5"/>
        <v>47369</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#DIV/0!</v>
      </c>
      <c r="M43" s="25" t="e">
        <f ca="1">IF(G43="Всього:",SUM($M$5:M42),IF($E$5="UAH",J43+L43+K43,J43+K43))</f>
        <v>#VALUE!</v>
      </c>
      <c r="N43" s="27" t="str">
        <f ca="1">IF(G43="Всього:",SUM($N$4:N42),IF($E$5="UAH","",L43))</f>
        <v/>
      </c>
      <c r="O43" s="25" t="e">
        <f t="shared" ca="1" si="0"/>
        <v>#DIV/0!</v>
      </c>
      <c r="P43" s="33">
        <f t="shared" ca="1" si="1"/>
        <v>47369</v>
      </c>
      <c r="Q43" s="8" t="e">
        <f t="shared" ca="1" si="4"/>
        <v>#VALUE!</v>
      </c>
    </row>
    <row r="44" spans="1:18" s="8" customFormat="1" ht="13.2" x14ac:dyDescent="0.25">
      <c r="F44" s="34" t="str">
        <f t="shared" ca="1" si="2"/>
        <v/>
      </c>
      <c r="G44" s="23">
        <f t="shared" ca="1" si="5"/>
        <v>47399</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#DIV/0!</v>
      </c>
      <c r="M44" s="25" t="e">
        <f ca="1">IF(G44="Всього:",SUM($M$5:M43),IF($E$5="UAH",J44+L44+K44,J44+K44))</f>
        <v>#VALUE!</v>
      </c>
      <c r="N44" s="27" t="str">
        <f ca="1">IF(G44="Всього:",SUM($N$4:N43),IF($E$5="UAH","",L44))</f>
        <v/>
      </c>
      <c r="O44" s="25" t="e">
        <f t="shared" ca="1" si="0"/>
        <v>#DIV/0!</v>
      </c>
      <c r="P44" s="33">
        <f t="shared" ca="1" si="1"/>
        <v>47399</v>
      </c>
      <c r="Q44" s="8" t="e">
        <f t="shared" ca="1" si="4"/>
        <v>#VALUE!</v>
      </c>
    </row>
    <row r="45" spans="1:18" s="8" customFormat="1" ht="13.2" x14ac:dyDescent="0.25">
      <c r="F45" s="34" t="str">
        <f t="shared" ca="1" si="2"/>
        <v/>
      </c>
      <c r="G45" s="23">
        <f t="shared" ca="1" si="5"/>
        <v>47430</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#DIV/0!</v>
      </c>
      <c r="M45" s="25" t="e">
        <f ca="1">IF(G45="Всього:",SUM($M$5:M44),IF($E$5="UAH",J45+L45+K45,J45+K45))</f>
        <v>#VALUE!</v>
      </c>
      <c r="N45" s="27" t="str">
        <f ca="1">IF(G45="Всього:",SUM($N$4:N44),IF($E$5="UAH","",L45))</f>
        <v/>
      </c>
      <c r="O45" s="25" t="e">
        <f t="shared" ca="1" si="0"/>
        <v>#DIV/0!</v>
      </c>
      <c r="P45" s="33">
        <f t="shared" ca="1" si="1"/>
        <v>47430</v>
      </c>
      <c r="Q45" s="8" t="e">
        <f t="shared" ca="1" si="4"/>
        <v>#VALUE!</v>
      </c>
    </row>
    <row r="46" spans="1:18" s="8" customFormat="1" ht="13.2" x14ac:dyDescent="0.25">
      <c r="F46" s="34" t="str">
        <f t="shared" ca="1" si="2"/>
        <v/>
      </c>
      <c r="G46" s="23">
        <f t="shared" ca="1" si="5"/>
        <v>47460</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#DIV/0!</v>
      </c>
      <c r="M46" s="25" t="e">
        <f ca="1">IF(G46="Всього:",SUM($M$5:M45),IF($E$5="UAH",J46+L46+K46,J46+K46))</f>
        <v>#VALUE!</v>
      </c>
      <c r="N46" s="27" t="str">
        <f ca="1">IF(G46="Всього:",SUM($N$4:N45),IF($E$5="UAH","",L46))</f>
        <v/>
      </c>
      <c r="O46" s="25" t="e">
        <f t="shared" ca="1" si="0"/>
        <v>#DIV/0!</v>
      </c>
      <c r="P46" s="33">
        <f t="shared" ca="1" si="1"/>
        <v>47460</v>
      </c>
      <c r="Q46" s="8" t="e">
        <f t="shared" ca="1" si="4"/>
        <v>#VALUE!</v>
      </c>
    </row>
    <row r="47" spans="1:18" s="8" customFormat="1" ht="13.2" x14ac:dyDescent="0.25">
      <c r="F47" s="34" t="str">
        <f t="shared" ca="1" si="2"/>
        <v/>
      </c>
      <c r="G47" s="23">
        <f t="shared" ca="1" si="5"/>
        <v>47491</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#DIV/0!</v>
      </c>
      <c r="M47" s="25" t="e">
        <f ca="1">IF(G47="Всього:",SUM($M$5:M46),IF($E$5="UAH",J47+L47+K47,J47+K47))</f>
        <v>#VALUE!</v>
      </c>
      <c r="N47" s="27" t="str">
        <f ca="1">IF(G47="Всього:",SUM($N$4:N46),IF($E$5="UAH","",L47))</f>
        <v/>
      </c>
      <c r="O47" s="25" t="e">
        <f t="shared" ca="1" si="0"/>
        <v>#DIV/0!</v>
      </c>
      <c r="P47" s="33">
        <f t="shared" ca="1" si="1"/>
        <v>47491</v>
      </c>
      <c r="Q47" s="8" t="e">
        <f t="shared" ca="1" si="4"/>
        <v>#VALUE!</v>
      </c>
    </row>
    <row r="48" spans="1:18" s="8" customFormat="1" ht="13.2" x14ac:dyDescent="0.25">
      <c r="F48" s="34" t="str">
        <f t="shared" ca="1" si="2"/>
        <v/>
      </c>
      <c r="G48" s="23">
        <f t="shared" ca="1" si="5"/>
        <v>47522</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#DIV/0!</v>
      </c>
      <c r="M48" s="25" t="e">
        <f ca="1">IF(G48="Всього:",SUM($M$5:M47),IF($E$5="UAH",J48+L48+K48,J48+K48))</f>
        <v>#VALUE!</v>
      </c>
      <c r="N48" s="27" t="str">
        <f ca="1">IF(G48="Всього:",SUM($N$4:N47),IF($E$5="UAH","",L48))</f>
        <v/>
      </c>
      <c r="O48" s="25" t="e">
        <f t="shared" ca="1" si="0"/>
        <v>#DIV/0!</v>
      </c>
      <c r="P48" s="33">
        <f t="shared" ca="1" si="1"/>
        <v>47522</v>
      </c>
      <c r="Q48" s="8" t="e">
        <f t="shared" ca="1" si="4"/>
        <v>#VALUE!</v>
      </c>
    </row>
    <row r="49" spans="6:18" s="8" customFormat="1" ht="13.2" x14ac:dyDescent="0.25">
      <c r="F49" s="34" t="str">
        <f t="shared" ca="1" si="2"/>
        <v/>
      </c>
      <c r="G49" s="23">
        <f t="shared" ca="1" si="5"/>
        <v>47550</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#DIV/0!</v>
      </c>
      <c r="M49" s="25" t="e">
        <f ca="1">IF(G49="Всього:",SUM($M$5:M48),IF($E$5="UAH",J49+L49+K49,J49+K49))</f>
        <v>#VALUE!</v>
      </c>
      <c r="N49" s="27" t="str">
        <f ca="1">IF(G49="Всього:",SUM($N$4:N48),IF($E$5="UAH","",L49))</f>
        <v/>
      </c>
      <c r="O49" s="25" t="e">
        <f t="shared" ca="1" si="0"/>
        <v>#DIV/0!</v>
      </c>
      <c r="P49" s="33">
        <f t="shared" ca="1" si="1"/>
        <v>47550</v>
      </c>
      <c r="Q49" s="8" t="e">
        <f t="shared" ca="1" si="4"/>
        <v>#VALUE!</v>
      </c>
    </row>
    <row r="50" spans="6:18" s="8" customFormat="1" ht="13.2" x14ac:dyDescent="0.25">
      <c r="F50" s="34" t="str">
        <f t="shared" ca="1" si="2"/>
        <v/>
      </c>
      <c r="G50" s="23">
        <f t="shared" ca="1" si="5"/>
        <v>47581</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#DIV/0!</v>
      </c>
      <c r="M50" s="25" t="e">
        <f ca="1">IF(G50="Всього:",SUM($M$5:M49),IF($E$5="UAH",J50+L50+K50,J50+K50))</f>
        <v>#VALUE!</v>
      </c>
      <c r="N50" s="27" t="str">
        <f ca="1">IF(G50="Всього:",SUM($N$4:N49),IF($E$5="UAH","",L50))</f>
        <v/>
      </c>
      <c r="O50" s="25" t="e">
        <f t="shared" ca="1" si="0"/>
        <v>#DIV/0!</v>
      </c>
      <c r="P50" s="33">
        <f t="shared" ca="1" si="1"/>
        <v>47581</v>
      </c>
      <c r="Q50" s="8" t="e">
        <f t="shared" ca="1" si="4"/>
        <v>#VALUE!</v>
      </c>
    </row>
    <row r="51" spans="6:18" s="8" customFormat="1" ht="13.2" x14ac:dyDescent="0.25">
      <c r="F51" s="34" t="str">
        <f t="shared" ca="1" si="2"/>
        <v/>
      </c>
      <c r="G51" s="23">
        <f t="shared" ca="1" si="5"/>
        <v>47611</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#DIV/0!</v>
      </c>
      <c r="M51" s="25" t="e">
        <f ca="1">IF(G51="Всього:",SUM($M$5:M50),IF($E$5="UAH",J51+L51+K51,J51+K51))</f>
        <v>#VALUE!</v>
      </c>
      <c r="N51" s="27" t="str">
        <f ca="1">IF(G51="Всього:",SUM($N$4:N50),IF($E$5="UAH","",L51))</f>
        <v/>
      </c>
      <c r="O51" s="25" t="e">
        <f t="shared" ca="1" si="0"/>
        <v>#DIV/0!</v>
      </c>
      <c r="P51" s="33">
        <f t="shared" ca="1" si="1"/>
        <v>47611</v>
      </c>
      <c r="Q51" s="8" t="e">
        <f t="shared" ca="1" si="4"/>
        <v>#VALUE!</v>
      </c>
    </row>
    <row r="52" spans="6:18" s="8" customFormat="1" ht="13.2" x14ac:dyDescent="0.25">
      <c r="F52" s="34" t="str">
        <f t="shared" ca="1" si="2"/>
        <v/>
      </c>
      <c r="G52" s="23">
        <f t="shared" ca="1" si="5"/>
        <v>47642</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#DIV/0!</v>
      </c>
      <c r="M52" s="25" t="e">
        <f ca="1">IF(G52="Всього:",SUM($M$5:M51),IF($E$5="UAH",J52+L52+K52,J52+K52))</f>
        <v>#VALUE!</v>
      </c>
      <c r="N52" s="27" t="str">
        <f ca="1">IF(G52="Всього:",SUM($N$4:N51),IF($E$5="UAH","",L52))</f>
        <v/>
      </c>
      <c r="O52" s="25" t="e">
        <f t="shared" ca="1" si="0"/>
        <v>#DIV/0!</v>
      </c>
      <c r="P52" s="33">
        <f t="shared" ca="1" si="1"/>
        <v>47642</v>
      </c>
      <c r="Q52" s="8" t="e">
        <f t="shared" ca="1" si="4"/>
        <v>#VALUE!</v>
      </c>
    </row>
    <row r="53" spans="6:18" s="8" customFormat="1" ht="13.2" x14ac:dyDescent="0.25">
      <c r="F53" s="34" t="str">
        <f t="shared" ca="1" si="2"/>
        <v/>
      </c>
      <c r="G53" s="23">
        <f t="shared" ca="1" si="5"/>
        <v>47672</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#DIV/0!</v>
      </c>
      <c r="M53" s="25" t="e">
        <f ca="1">IF(G53="Всього:",SUM($M$5:M52),IF($E$5="UAH",J53+L53+K53,J53+K53))</f>
        <v>#VALUE!</v>
      </c>
      <c r="N53" s="27" t="str">
        <f ca="1">IF(G53="Всього:",SUM($N$4:N52),IF($E$5="UAH","",L53))</f>
        <v/>
      </c>
      <c r="O53" s="25" t="e">
        <f t="shared" ca="1" si="0"/>
        <v>#DIV/0!</v>
      </c>
      <c r="P53" s="33">
        <f t="shared" ca="1" si="1"/>
        <v>47672</v>
      </c>
      <c r="Q53" s="8" t="e">
        <f t="shared" ca="1" si="4"/>
        <v>#VALUE!</v>
      </c>
      <c r="R53" s="8" t="str">
        <f>IF(E8&gt;H53,$AA$7*0.9*0.9*0.9*0.9*5.48%,"")</f>
        <v/>
      </c>
    </row>
    <row r="54" spans="6:18" s="8" customFormat="1" ht="13.2" x14ac:dyDescent="0.25">
      <c r="F54" s="34" t="str">
        <f t="shared" ca="1" si="2"/>
        <v/>
      </c>
      <c r="G54" s="23">
        <f t="shared" ca="1" si="5"/>
        <v>47703</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#DIV/0!</v>
      </c>
      <c r="M54" s="25" t="e">
        <f ca="1">IF(G54="Всього:",SUM($M$5:M53),IF($E$5="UAH",J54+L54+K54,J54+K54))</f>
        <v>#VALUE!</v>
      </c>
      <c r="N54" s="27" t="str">
        <f ca="1">IF(G54="Всього:",SUM($N$4:N53),IF($E$5="UAH","",L54))</f>
        <v/>
      </c>
      <c r="O54" s="25" t="e">
        <f t="shared" ca="1" si="0"/>
        <v>#DIV/0!</v>
      </c>
      <c r="P54" s="33">
        <f t="shared" ca="1" si="1"/>
        <v>47703</v>
      </c>
      <c r="Q54" s="8" t="e">
        <f t="shared" ca="1" si="4"/>
        <v>#VALUE!</v>
      </c>
    </row>
    <row r="55" spans="6:18" s="8" customFormat="1" ht="13.2" x14ac:dyDescent="0.25">
      <c r="F55" s="34" t="str">
        <f t="shared" ca="1" si="2"/>
        <v/>
      </c>
      <c r="G55" s="23">
        <f t="shared" ca="1" si="5"/>
        <v>47734</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#DIV/0!</v>
      </c>
      <c r="M55" s="25" t="e">
        <f ca="1">IF(G55="Всього:",SUM($M$5:M54),IF($E$5="UAH",J55+L55+K55,J55+K55))</f>
        <v>#VALUE!</v>
      </c>
      <c r="N55" s="27" t="str">
        <f ca="1">IF(G55="Всього:",SUM($N$4:N54),IF($E$5="UAH","",L55))</f>
        <v/>
      </c>
      <c r="O55" s="25" t="e">
        <f t="shared" ca="1" si="0"/>
        <v>#DIV/0!</v>
      </c>
      <c r="P55" s="33">
        <f t="shared" ca="1" si="1"/>
        <v>47734</v>
      </c>
      <c r="Q55" s="8" t="e">
        <f t="shared" ca="1" si="4"/>
        <v>#VALUE!</v>
      </c>
    </row>
    <row r="56" spans="6:18" s="8" customFormat="1" ht="13.2" x14ac:dyDescent="0.25">
      <c r="F56" s="34" t="str">
        <f t="shared" ca="1" si="2"/>
        <v/>
      </c>
      <c r="G56" s="23">
        <f t="shared" ca="1" si="5"/>
        <v>47764</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#DIV/0!</v>
      </c>
      <c r="M56" s="25" t="e">
        <f ca="1">IF(G56="Всього:",SUM($M$5:M55),IF($E$5="UAH",J56+L56+K56,J56+K56))</f>
        <v>#VALUE!</v>
      </c>
      <c r="N56" s="27" t="str">
        <f ca="1">IF(G56="Всього:",SUM($N$4:N55),IF($E$5="UAH","",L56))</f>
        <v/>
      </c>
      <c r="O56" s="25" t="e">
        <f t="shared" ca="1" si="0"/>
        <v>#DIV/0!</v>
      </c>
      <c r="P56" s="33">
        <f t="shared" ca="1" si="1"/>
        <v>47764</v>
      </c>
      <c r="Q56" s="8" t="e">
        <f t="shared" ca="1" si="4"/>
        <v>#VALUE!</v>
      </c>
    </row>
    <row r="57" spans="6:18" s="8" customFormat="1" ht="13.2" x14ac:dyDescent="0.25">
      <c r="F57" s="34" t="str">
        <f t="shared" ca="1" si="2"/>
        <v/>
      </c>
      <c r="G57" s="23">
        <f t="shared" ca="1" si="5"/>
        <v>47795</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#DIV/0!</v>
      </c>
      <c r="M57" s="25" t="e">
        <f ca="1">IF(G57="Всього:",SUM($M$5:M56),IF($E$5="UAH",J57+L57+K57,J57+K57))</f>
        <v>#VALUE!</v>
      </c>
      <c r="N57" s="27" t="str">
        <f ca="1">IF(G57="Всього:",SUM($N$4:N56),IF($E$5="UAH","",L57))</f>
        <v/>
      </c>
      <c r="O57" s="25" t="e">
        <f t="shared" ca="1" si="0"/>
        <v>#DIV/0!</v>
      </c>
      <c r="P57" s="33">
        <f t="shared" ca="1" si="1"/>
        <v>47795</v>
      </c>
      <c r="Q57" s="8" t="e">
        <f t="shared" ca="1" si="4"/>
        <v>#VALUE!</v>
      </c>
    </row>
    <row r="58" spans="6:18" s="8" customFormat="1" ht="13.2" x14ac:dyDescent="0.25">
      <c r="F58" s="34" t="str">
        <f t="shared" ca="1" si="2"/>
        <v/>
      </c>
      <c r="G58" s="23">
        <f t="shared" ca="1" si="5"/>
        <v>47825</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#DIV/0!</v>
      </c>
      <c r="M58" s="25" t="e">
        <f ca="1">IF(G58="Всього:",SUM($M$5:M57),IF($E$5="UAH",J58+L58+K58,J58+K58))</f>
        <v>#VALUE!</v>
      </c>
      <c r="N58" s="27" t="str">
        <f ca="1">IF(G58="Всього:",SUM($N$4:N57),IF($E$5="UAH","",L58))</f>
        <v/>
      </c>
      <c r="O58" s="25" t="e">
        <f t="shared" ca="1" si="0"/>
        <v>#DIV/0!</v>
      </c>
      <c r="P58" s="33">
        <f t="shared" ca="1" si="1"/>
        <v>47825</v>
      </c>
      <c r="Q58" s="8" t="e">
        <f t="shared" ca="1" si="4"/>
        <v>#VALUE!</v>
      </c>
    </row>
    <row r="59" spans="6:18" s="8" customFormat="1" ht="13.2" x14ac:dyDescent="0.25">
      <c r="F59" s="34" t="str">
        <f t="shared" ca="1" si="2"/>
        <v/>
      </c>
      <c r="G59" s="23">
        <f t="shared" ca="1" si="5"/>
        <v>47856</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#DIV/0!</v>
      </c>
      <c r="M59" s="25" t="e">
        <f ca="1">IF(G59="Всього:",SUM($M$5:M58),IF($E$5="UAH",J59+L59+K59,J59+K59))</f>
        <v>#VALUE!</v>
      </c>
      <c r="N59" s="27" t="str">
        <f ca="1">IF(G59="Всього:",SUM($N$4:N58),IF($E$5="UAH","",L59))</f>
        <v/>
      </c>
      <c r="O59" s="25" t="e">
        <f t="shared" ca="1" si="0"/>
        <v>#DIV/0!</v>
      </c>
      <c r="P59" s="33">
        <f t="shared" ca="1" si="1"/>
        <v>47856</v>
      </c>
      <c r="Q59" s="8" t="e">
        <f t="shared" ca="1" si="4"/>
        <v>#VALUE!</v>
      </c>
    </row>
    <row r="60" spans="6:18" s="8" customFormat="1" ht="13.2" x14ac:dyDescent="0.25">
      <c r="F60" s="34" t="str">
        <f t="shared" ca="1" si="2"/>
        <v/>
      </c>
      <c r="G60" s="23">
        <f t="shared" ca="1" si="5"/>
        <v>47887</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#DIV/0!</v>
      </c>
      <c r="M60" s="25" t="e">
        <f ca="1">IF(G60="Всього:",SUM($M$5:M59),IF($E$5="UAH",J60+L60+K60,J60+K60))</f>
        <v>#VALUE!</v>
      </c>
      <c r="N60" s="27" t="str">
        <f ca="1">IF(G60="Всього:",SUM($N$4:N59),IF($E$5="UAH","",L60))</f>
        <v/>
      </c>
      <c r="O60" s="25" t="e">
        <f t="shared" ca="1" si="0"/>
        <v>#DIV/0!</v>
      </c>
      <c r="P60" s="33">
        <f t="shared" ca="1" si="1"/>
        <v>47887</v>
      </c>
      <c r="Q60" s="8" t="e">
        <f t="shared" ca="1" si="4"/>
        <v>#VALUE!</v>
      </c>
    </row>
    <row r="61" spans="6:18" s="8" customFormat="1" ht="13.2" x14ac:dyDescent="0.25">
      <c r="F61" s="34" t="str">
        <f t="shared" ca="1" si="2"/>
        <v/>
      </c>
      <c r="G61" s="23">
        <f t="shared" ca="1" si="5"/>
        <v>47915</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#DIV/0!</v>
      </c>
      <c r="M61" s="25" t="e">
        <f ca="1">IF(G61="Всього:",SUM($M$5:M60),IF($E$5="UAH",J61+L61+K61,J61+K61))</f>
        <v>#VALUE!</v>
      </c>
      <c r="N61" s="27" t="str">
        <f ca="1">IF(G61="Всього:",SUM($N$4:N60),IF($E$5="UAH","",L61))</f>
        <v/>
      </c>
      <c r="O61" s="25" t="e">
        <f t="shared" ca="1" si="0"/>
        <v>#DIV/0!</v>
      </c>
      <c r="P61" s="33">
        <f t="shared" ca="1" si="1"/>
        <v>47915</v>
      </c>
      <c r="Q61" s="8" t="e">
        <f t="shared" ca="1" si="4"/>
        <v>#VALUE!</v>
      </c>
    </row>
    <row r="62" spans="6:18" s="8" customFormat="1" ht="13.2" x14ac:dyDescent="0.25">
      <c r="F62" s="34" t="str">
        <f t="shared" ca="1" si="2"/>
        <v/>
      </c>
      <c r="G62" s="23">
        <f t="shared" ca="1" si="5"/>
        <v>47946</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#DIV/0!</v>
      </c>
      <c r="M62" s="25" t="e">
        <f ca="1">IF(G62="Всього:",SUM($M$5:M61),IF($E$5="UAH",J62+L62+K62,J62+K62))</f>
        <v>#VALUE!</v>
      </c>
      <c r="N62" s="27" t="str">
        <f ca="1">IF(G62="Всього:",SUM($N$4:N61),IF($E$5="UAH","",L62))</f>
        <v/>
      </c>
      <c r="O62" s="25" t="e">
        <f t="shared" ca="1" si="0"/>
        <v>#DIV/0!</v>
      </c>
      <c r="P62" s="33">
        <f t="shared" ca="1" si="1"/>
        <v>47946</v>
      </c>
      <c r="Q62" s="8" t="e">
        <f t="shared" ca="1" si="4"/>
        <v>#VALUE!</v>
      </c>
    </row>
    <row r="63" spans="6:18" s="8" customFormat="1" ht="13.2" x14ac:dyDescent="0.25">
      <c r="F63" s="34" t="str">
        <f t="shared" ca="1" si="2"/>
        <v/>
      </c>
      <c r="G63" s="23">
        <f t="shared" ca="1" si="5"/>
        <v>47976</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#DIV/0!</v>
      </c>
      <c r="M63" s="25" t="e">
        <f ca="1">IF(G63="Всього:",SUM($M$5:M62),IF($E$5="UAH",J63+L63+K63,J63+K63))</f>
        <v>#VALUE!</v>
      </c>
      <c r="N63" s="27" t="str">
        <f ca="1">IF(G63="Всього:",SUM($N$4:N62),IF($E$5="UAH","",L63))</f>
        <v/>
      </c>
      <c r="O63" s="25" t="e">
        <f t="shared" ca="1" si="0"/>
        <v>#DIV/0!</v>
      </c>
      <c r="P63" s="33">
        <f t="shared" ca="1" si="1"/>
        <v>47976</v>
      </c>
      <c r="Q63" s="8" t="e">
        <f t="shared" ca="1" si="4"/>
        <v>#VALUE!</v>
      </c>
    </row>
    <row r="64" spans="6:18" s="8" customFormat="1" ht="13.2" x14ac:dyDescent="0.25">
      <c r="F64" s="34" t="str">
        <f t="shared" ca="1" si="2"/>
        <v/>
      </c>
      <c r="G64" s="23">
        <f t="shared" ca="1" si="5"/>
        <v>48007</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#DIV/0!</v>
      </c>
      <c r="M64" s="25" t="e">
        <f ca="1">IF(G64="Всього:",SUM($M$5:M63),IF($E$5="UAH",J64+L64+K64,J64+K64))</f>
        <v>#VALUE!</v>
      </c>
      <c r="N64" s="27" t="str">
        <f ca="1">IF(G64="Всього:",SUM($N$4:N63),IF($E$5="UAH","",L64))</f>
        <v/>
      </c>
      <c r="O64" s="25" t="e">
        <f t="shared" ca="1" si="0"/>
        <v>#DIV/0!</v>
      </c>
      <c r="P64" s="33">
        <f t="shared" ca="1" si="1"/>
        <v>48007</v>
      </c>
      <c r="Q64" s="8" t="e">
        <f t="shared" ca="1" si="4"/>
        <v>#VALUE!</v>
      </c>
    </row>
    <row r="65" spans="6:18" s="8" customFormat="1" ht="13.2" x14ac:dyDescent="0.25">
      <c r="F65" s="34" t="str">
        <f t="shared" ca="1" si="2"/>
        <v/>
      </c>
      <c r="G65" s="23">
        <f t="shared" ca="1" si="5"/>
        <v>48037</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#DIV/0!</v>
      </c>
      <c r="M65" s="25" t="e">
        <f ca="1">IF(G65="Всього:",SUM($M$5:M64),IF($E$5="UAH",J65+L65+K65,J65+K65))</f>
        <v>#VALUE!</v>
      </c>
      <c r="N65" s="27" t="str">
        <f ca="1">IF(G65="Всього:",SUM($N$4:N64),IF($E$5="UAH","",L65))</f>
        <v/>
      </c>
      <c r="O65" s="25" t="e">
        <f t="shared" ca="1" si="0"/>
        <v>#DIV/0!</v>
      </c>
      <c r="P65" s="33">
        <f t="shared" ca="1" si="1"/>
        <v>48037</v>
      </c>
      <c r="Q65" s="8" t="e">
        <f t="shared" ca="1" si="4"/>
        <v>#VALUE!</v>
      </c>
      <c r="R65" s="8" t="str">
        <f>IF(E8&gt;H65,$AA$7*0.9*0.9*0.9*0.9*0.9*5.48%,"")</f>
        <v/>
      </c>
    </row>
    <row r="66" spans="6:18" s="8" customFormat="1" ht="13.2" x14ac:dyDescent="0.25">
      <c r="F66" s="34" t="str">
        <f t="shared" ca="1" si="2"/>
        <v/>
      </c>
      <c r="G66" s="23">
        <f t="shared" ca="1" si="5"/>
        <v>48068</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#DIV/0!</v>
      </c>
      <c r="M66" s="25" t="e">
        <f ca="1">IF(G66="Всього:",SUM($M$5:M65),IF($E$5="UAH",J66+L66+K66,J66+K66))</f>
        <v>#VALUE!</v>
      </c>
      <c r="N66" s="27" t="str">
        <f ca="1">IF(G66="Всього:",SUM($N$4:N65),IF($E$5="UAH","",L66))</f>
        <v/>
      </c>
      <c r="O66" s="25" t="e">
        <f t="shared" ca="1" si="0"/>
        <v>#DIV/0!</v>
      </c>
      <c r="P66" s="33">
        <f t="shared" ca="1" si="1"/>
        <v>48068</v>
      </c>
      <c r="Q66" s="8" t="e">
        <f t="shared" ca="1" si="4"/>
        <v>#VALUE!</v>
      </c>
    </row>
    <row r="67" spans="6:18" s="8" customFormat="1" ht="13.2" x14ac:dyDescent="0.25">
      <c r="F67" s="34" t="str">
        <f t="shared" ca="1" si="2"/>
        <v/>
      </c>
      <c r="G67" s="23">
        <f t="shared" ca="1" si="5"/>
        <v>48099</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#DIV/0!</v>
      </c>
      <c r="M67" s="25" t="e">
        <f ca="1">IF(G67="Всього:",SUM($M$5:M66),IF($E$5="UAH",J67+L67+K67,J67+K67))</f>
        <v>#VALUE!</v>
      </c>
      <c r="N67" s="27" t="str">
        <f ca="1">IF(G67="Всього:",SUM($N$4:N66),IF($E$5="UAH","",L67))</f>
        <v/>
      </c>
      <c r="O67" s="25" t="e">
        <f t="shared" ca="1" si="0"/>
        <v>#DIV/0!</v>
      </c>
      <c r="P67" s="33">
        <f t="shared" ca="1" si="1"/>
        <v>48099</v>
      </c>
      <c r="Q67" s="8" t="e">
        <f t="shared" ca="1" si="4"/>
        <v>#VALUE!</v>
      </c>
    </row>
    <row r="68" spans="6:18" s="8" customFormat="1" ht="13.2" x14ac:dyDescent="0.25">
      <c r="F68" s="34" t="str">
        <f t="shared" ca="1" si="2"/>
        <v/>
      </c>
      <c r="G68" s="23">
        <f t="shared" ca="1" si="5"/>
        <v>48129</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#DIV/0!</v>
      </c>
      <c r="M68" s="25" t="e">
        <f ca="1">IF(G68="Всього:",SUM($M$5:M67),IF($E$5="UAH",J68+L68+K68,J68+K68))</f>
        <v>#VALUE!</v>
      </c>
      <c r="N68" s="27" t="str">
        <f ca="1">IF(G68="Всього:",SUM($N$4:N67),IF($E$5="UAH","",L68))</f>
        <v/>
      </c>
      <c r="O68" s="25" t="e">
        <f t="shared" ca="1" si="0"/>
        <v>#DIV/0!</v>
      </c>
      <c r="P68" s="33">
        <f t="shared" ca="1" si="1"/>
        <v>48129</v>
      </c>
      <c r="Q68" s="8" t="e">
        <f t="shared" ca="1" si="4"/>
        <v>#VALUE!</v>
      </c>
    </row>
    <row r="69" spans="6:18" s="8" customFormat="1" ht="13.2" x14ac:dyDescent="0.25">
      <c r="F69" s="34" t="str">
        <f t="shared" ca="1" si="2"/>
        <v/>
      </c>
      <c r="G69" s="23">
        <f t="shared" ca="1" si="5"/>
        <v>48160</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#DIV/0!</v>
      </c>
      <c r="M69" s="25" t="e">
        <f ca="1">IF(G69="Всього:",SUM($M$5:M68),IF($E$5="UAH",J69+L69+K69,J69+K69))</f>
        <v>#VALUE!</v>
      </c>
      <c r="N69" s="27" t="str">
        <f ca="1">IF(G69="Всього:",SUM($N$4:N68),IF($E$5="UAH","",L69))</f>
        <v/>
      </c>
      <c r="O69" s="25" t="e">
        <f t="shared" ref="O69:O132" ca="1" si="8">O68-J69</f>
        <v>#DIV/0!</v>
      </c>
      <c r="P69" s="33">
        <f t="shared" ref="P69:P132" ca="1" si="9">G69</f>
        <v>48160</v>
      </c>
      <c r="Q69" s="8" t="e">
        <f t="shared" ca="1" si="4"/>
        <v>#VALUE!</v>
      </c>
    </row>
    <row r="70" spans="6:18" s="8" customFormat="1" ht="13.2" x14ac:dyDescent="0.25">
      <c r="F70" s="34" t="str">
        <f t="shared" ref="F70:F133" ca="1" si="10">IF(G70="Всього:","",IF(AND(G70&gt;$B$9,G70&lt;=$B$10),$C$16,IF(AND(G70&gt;$B$9,G70&lt;=$B$11),$D$16,IF(AND(G70&gt;$B$10,G70&lt;=$B$14),$E$16,$B$16))))</f>
        <v/>
      </c>
      <c r="G70" s="23">
        <f t="shared" ca="1" si="5"/>
        <v>48190</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#DIV/0!</v>
      </c>
      <c r="M70" s="25" t="e">
        <f ca="1">IF(G70="Всього:",SUM($M$5:M69),IF($E$5="UAH",J70+L70+K70,J70+K70))</f>
        <v>#VALUE!</v>
      </c>
      <c r="N70" s="27" t="str">
        <f ca="1">IF(G70="Всього:",SUM($N$4:N69),IF($E$5="UAH","",L70))</f>
        <v/>
      </c>
      <c r="O70" s="25" t="e">
        <f t="shared" ca="1" si="8"/>
        <v>#DIV/0!</v>
      </c>
      <c r="P70" s="33">
        <f t="shared" ca="1" si="9"/>
        <v>48190</v>
      </c>
      <c r="Q70" s="8" t="e">
        <f t="shared" ref="Q70:Q133" ca="1" si="12">IF(R71="",I70,IFERROR(I70+R71,0))</f>
        <v>#VALUE!</v>
      </c>
    </row>
    <row r="71" spans="6:18" s="8" customFormat="1" ht="13.2" x14ac:dyDescent="0.25">
      <c r="F71" s="34" t="str">
        <f t="shared" ca="1" si="10"/>
        <v/>
      </c>
      <c r="G71" s="23">
        <f t="shared" ref="G71:G134" ca="1" si="13">IF(H70=$E$3,"Всього:",IF($E$3=H71,$B$14,DATE(YEAR(G70),MONTH(G70)+1,IF($B$7&lt;&gt;"",DAY(IF($B$7&gt;DAY(EOMONTH(G70,1)),EOMONTH(G70,1),$B$7)),DAY(1)))))</f>
        <v>48221</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#DIV/0!</v>
      </c>
      <c r="M71" s="25" t="e">
        <f ca="1">IF(G71="Всього:",SUM($M$5:M70),IF($E$5="UAH",J71+L71+K71,J71+K71))</f>
        <v>#VALUE!</v>
      </c>
      <c r="N71" s="27" t="str">
        <f ca="1">IF(G71="Всього:",SUM($N$4:N70),IF($E$5="UAH","",L71))</f>
        <v/>
      </c>
      <c r="O71" s="25" t="e">
        <f t="shared" ca="1" si="8"/>
        <v>#DIV/0!</v>
      </c>
      <c r="P71" s="33">
        <f t="shared" ca="1" si="9"/>
        <v>48221</v>
      </c>
      <c r="Q71" s="8" t="e">
        <f t="shared" ca="1" si="12"/>
        <v>#VALUE!</v>
      </c>
    </row>
    <row r="72" spans="6:18" s="8" customFormat="1" ht="13.2" x14ac:dyDescent="0.25">
      <c r="F72" s="34" t="str">
        <f t="shared" ca="1" si="10"/>
        <v/>
      </c>
      <c r="G72" s="23">
        <f t="shared" ca="1" si="13"/>
        <v>48252</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#DIV/0!</v>
      </c>
      <c r="M72" s="25" t="e">
        <f ca="1">IF(G72="Всього:",SUM($M$5:M71),IF($E$5="UAH",J72+L72+K72,J72+K72))</f>
        <v>#VALUE!</v>
      </c>
      <c r="N72" s="27" t="str">
        <f ca="1">IF(G72="Всього:",SUM($N$4:N71),IF($E$5="UAH","",L72))</f>
        <v/>
      </c>
      <c r="O72" s="25" t="e">
        <f t="shared" ca="1" si="8"/>
        <v>#DIV/0!</v>
      </c>
      <c r="P72" s="33">
        <f t="shared" ca="1" si="9"/>
        <v>48252</v>
      </c>
      <c r="Q72" s="8" t="e">
        <f t="shared" ca="1" si="12"/>
        <v>#VALUE!</v>
      </c>
    </row>
    <row r="73" spans="6:18" s="8" customFormat="1" ht="13.2" x14ac:dyDescent="0.25">
      <c r="F73" s="34" t="str">
        <f t="shared" ca="1" si="10"/>
        <v/>
      </c>
      <c r="G73" s="23">
        <f t="shared" ca="1" si="13"/>
        <v>48281</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#DIV/0!</v>
      </c>
      <c r="M73" s="25" t="e">
        <f ca="1">IF(G73="Всього:",SUM($M$5:M72),IF($E$5="UAH",J73+L73+K73,J73+K73))</f>
        <v>#VALUE!</v>
      </c>
      <c r="N73" s="27" t="str">
        <f ca="1">IF(G73="Всього:",SUM($N$4:N72),IF($E$5="UAH","",L73))</f>
        <v/>
      </c>
      <c r="O73" s="25" t="e">
        <f t="shared" ca="1" si="8"/>
        <v>#DIV/0!</v>
      </c>
      <c r="P73" s="33">
        <f t="shared" ca="1" si="9"/>
        <v>48281</v>
      </c>
      <c r="Q73" s="8" t="e">
        <f t="shared" ca="1" si="12"/>
        <v>#VALUE!</v>
      </c>
    </row>
    <row r="74" spans="6:18" s="8" customFormat="1" ht="13.2" x14ac:dyDescent="0.25">
      <c r="F74" s="34" t="str">
        <f t="shared" ca="1" si="10"/>
        <v/>
      </c>
      <c r="G74" s="23">
        <f t="shared" ca="1" si="13"/>
        <v>48312</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#DIV/0!</v>
      </c>
      <c r="M74" s="25" t="e">
        <f ca="1">IF(G74="Всього:",SUM($M$5:M73),IF($E$5="UAH",J74+L74+K74,J74+K74))</f>
        <v>#VALUE!</v>
      </c>
      <c r="N74" s="27" t="str">
        <f ca="1">IF(G74="Всього:",SUM($N$4:N73),IF($E$5="UAH","",L74))</f>
        <v/>
      </c>
      <c r="O74" s="25" t="e">
        <f t="shared" ca="1" si="8"/>
        <v>#DIV/0!</v>
      </c>
      <c r="P74" s="33">
        <f t="shared" ca="1" si="9"/>
        <v>48312</v>
      </c>
      <c r="Q74" s="8" t="e">
        <f t="shared" ca="1" si="12"/>
        <v>#VALUE!</v>
      </c>
    </row>
    <row r="75" spans="6:18" s="8" customFormat="1" ht="13.2" x14ac:dyDescent="0.25">
      <c r="F75" s="34" t="str">
        <f t="shared" ca="1" si="10"/>
        <v/>
      </c>
      <c r="G75" s="23">
        <f t="shared" ca="1" si="13"/>
        <v>48342</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#DIV/0!</v>
      </c>
      <c r="M75" s="25" t="e">
        <f ca="1">IF(G75="Всього:",SUM($M$5:M74),IF($E$5="UAH",J75+L75+K75,J75+K75))</f>
        <v>#VALUE!</v>
      </c>
      <c r="N75" s="27" t="str">
        <f ca="1">IF(G75="Всього:",SUM($N$4:N74),IF($E$5="UAH","",L75))</f>
        <v/>
      </c>
      <c r="O75" s="25" t="e">
        <f t="shared" ca="1" si="8"/>
        <v>#DIV/0!</v>
      </c>
      <c r="P75" s="33">
        <f t="shared" ca="1" si="9"/>
        <v>48342</v>
      </c>
      <c r="Q75" s="8" t="e">
        <f t="shared" ca="1" si="12"/>
        <v>#VALUE!</v>
      </c>
    </row>
    <row r="76" spans="6:18" s="8" customFormat="1" ht="13.2" x14ac:dyDescent="0.25">
      <c r="F76" s="34" t="str">
        <f t="shared" ca="1" si="10"/>
        <v/>
      </c>
      <c r="G76" s="23">
        <f t="shared" ca="1" si="13"/>
        <v>48373</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#DIV/0!</v>
      </c>
      <c r="M76" s="25" t="e">
        <f ca="1">IF(G76="Всього:",SUM($M$5:M75),IF($E$5="UAH",J76+L76+K76,J76+K76))</f>
        <v>#VALUE!</v>
      </c>
      <c r="N76" s="27" t="str">
        <f ca="1">IF(G76="Всього:",SUM($N$4:N75),IF($E$5="UAH","",L76))</f>
        <v/>
      </c>
      <c r="O76" s="25" t="e">
        <f t="shared" ca="1" si="8"/>
        <v>#DIV/0!</v>
      </c>
      <c r="P76" s="33">
        <f t="shared" ca="1" si="9"/>
        <v>48373</v>
      </c>
      <c r="Q76" s="8" t="e">
        <f t="shared" ca="1" si="12"/>
        <v>#VALUE!</v>
      </c>
    </row>
    <row r="77" spans="6:18" s="8" customFormat="1" ht="13.2" x14ac:dyDescent="0.25">
      <c r="F77" s="34" t="str">
        <f t="shared" ca="1" si="10"/>
        <v/>
      </c>
      <c r="G77" s="23">
        <f t="shared" ca="1" si="13"/>
        <v>48403</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#DIV/0!</v>
      </c>
      <c r="M77" s="25" t="e">
        <f ca="1">IF(G77="Всього:",SUM($M$5:M76),IF($E$5="UAH",J77+L77+K77,J77+K77))</f>
        <v>#VALUE!</v>
      </c>
      <c r="N77" s="27" t="str">
        <f ca="1">IF(G77="Всього:",SUM($N$4:N76),IF($E$5="UAH","",L77))</f>
        <v/>
      </c>
      <c r="O77" s="25" t="e">
        <f t="shared" ca="1" si="8"/>
        <v>#DIV/0!</v>
      </c>
      <c r="P77" s="33">
        <f t="shared" ca="1" si="9"/>
        <v>48403</v>
      </c>
      <c r="Q77" s="8" t="e">
        <f t="shared" ca="1" si="12"/>
        <v>#VALUE!</v>
      </c>
      <c r="R77" s="8" t="str">
        <f>IF(E8&gt;H77,$AA$7*0.9*0.9*0.9*0.9*0.9*0.9*5.48%,"")</f>
        <v/>
      </c>
    </row>
    <row r="78" spans="6:18" s="8" customFormat="1" ht="13.2" x14ac:dyDescent="0.25">
      <c r="F78" s="34" t="str">
        <f t="shared" ca="1" si="10"/>
        <v/>
      </c>
      <c r="G78" s="23">
        <f t="shared" ca="1" si="13"/>
        <v>48434</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#DIV/0!</v>
      </c>
      <c r="M78" s="25" t="e">
        <f ca="1">IF(G78="Всього:",SUM($M$5:M77),IF($E$5="UAH",J78+L78+K78,J78+K78))</f>
        <v>#VALUE!</v>
      </c>
      <c r="N78" s="27" t="str">
        <f ca="1">IF(G78="Всього:",SUM($N$4:N77),IF($E$5="UAH","",L78))</f>
        <v/>
      </c>
      <c r="O78" s="25" t="e">
        <f t="shared" ca="1" si="8"/>
        <v>#DIV/0!</v>
      </c>
      <c r="P78" s="33">
        <f t="shared" ca="1" si="9"/>
        <v>48434</v>
      </c>
      <c r="Q78" s="8" t="e">
        <f t="shared" ca="1" si="12"/>
        <v>#VALUE!</v>
      </c>
    </row>
    <row r="79" spans="6:18" s="8" customFormat="1" ht="13.2" x14ac:dyDescent="0.25">
      <c r="F79" s="34" t="str">
        <f t="shared" ca="1" si="10"/>
        <v/>
      </c>
      <c r="G79" s="23">
        <f t="shared" ca="1" si="13"/>
        <v>48465</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#DIV/0!</v>
      </c>
      <c r="M79" s="25" t="e">
        <f ca="1">IF(G79="Всього:",SUM($M$5:M78),IF($E$5="UAH",J79+L79+K79,J79+K79))</f>
        <v>#VALUE!</v>
      </c>
      <c r="N79" s="27" t="str">
        <f ca="1">IF(G79="Всього:",SUM($N$4:N78),IF($E$5="UAH","",L79))</f>
        <v/>
      </c>
      <c r="O79" s="25" t="e">
        <f t="shared" ca="1" si="8"/>
        <v>#DIV/0!</v>
      </c>
      <c r="P79" s="33">
        <f t="shared" ca="1" si="9"/>
        <v>48465</v>
      </c>
      <c r="Q79" s="8" t="e">
        <f t="shared" ca="1" si="12"/>
        <v>#VALUE!</v>
      </c>
    </row>
    <row r="80" spans="6:18" s="8" customFormat="1" ht="13.2" x14ac:dyDescent="0.25">
      <c r="F80" s="34" t="str">
        <f t="shared" ca="1" si="10"/>
        <v/>
      </c>
      <c r="G80" s="23">
        <f t="shared" ca="1" si="13"/>
        <v>48495</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#DIV/0!</v>
      </c>
      <c r="M80" s="25" t="e">
        <f ca="1">IF(G80="Всього:",SUM($M$5:M79),IF($E$5="UAH",J80+L80+K80,J80+K80))</f>
        <v>#VALUE!</v>
      </c>
      <c r="N80" s="27" t="str">
        <f ca="1">IF(G80="Всього:",SUM($N$4:N79),IF($E$5="UAH","",L80))</f>
        <v/>
      </c>
      <c r="O80" s="25" t="e">
        <f t="shared" ca="1" si="8"/>
        <v>#DIV/0!</v>
      </c>
      <c r="P80" s="33">
        <f t="shared" ca="1" si="9"/>
        <v>48495</v>
      </c>
      <c r="Q80" s="8" t="e">
        <f t="shared" ca="1" si="12"/>
        <v>#VALUE!</v>
      </c>
    </row>
    <row r="81" spans="6:17" s="8" customFormat="1" ht="13.2" x14ac:dyDescent="0.25">
      <c r="F81" s="34" t="str">
        <f t="shared" ca="1" si="10"/>
        <v/>
      </c>
      <c r="G81" s="23">
        <f t="shared" ca="1" si="13"/>
        <v>48526</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#DIV/0!</v>
      </c>
      <c r="M81" s="25" t="e">
        <f ca="1">IF(G81="Всього:",SUM($M$5:M80),IF($E$5="UAH",J81+L81+K81,J81+K81))</f>
        <v>#VALUE!</v>
      </c>
      <c r="N81" s="27" t="str">
        <f ca="1">IF(G81="Всього:",SUM($N$4:N80),IF($E$5="UAH","",L81))</f>
        <v/>
      </c>
      <c r="O81" s="25" t="e">
        <f t="shared" ca="1" si="8"/>
        <v>#DIV/0!</v>
      </c>
      <c r="P81" s="33">
        <f t="shared" ca="1" si="9"/>
        <v>48526</v>
      </c>
      <c r="Q81" s="8" t="e">
        <f t="shared" ca="1" si="12"/>
        <v>#VALUE!</v>
      </c>
    </row>
    <row r="82" spans="6:17" s="8" customFormat="1" ht="13.2" x14ac:dyDescent="0.25">
      <c r="F82" s="34" t="str">
        <f t="shared" ca="1" si="10"/>
        <v/>
      </c>
      <c r="G82" s="23">
        <f t="shared" ca="1" si="13"/>
        <v>48556</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#DIV/0!</v>
      </c>
      <c r="M82" s="25" t="e">
        <f ca="1">IF(G82="Всього:",SUM($M$5:M81),IF($E$5="UAH",J82+L82+K82,J82+K82))</f>
        <v>#VALUE!</v>
      </c>
      <c r="N82" s="27" t="str">
        <f ca="1">IF(G82="Всього:",SUM($N$4:N81),IF($E$5="UAH","",L82))</f>
        <v/>
      </c>
      <c r="O82" s="25" t="e">
        <f t="shared" ca="1" si="8"/>
        <v>#DIV/0!</v>
      </c>
      <c r="P82" s="33">
        <f t="shared" ca="1" si="9"/>
        <v>48556</v>
      </c>
      <c r="Q82" s="8" t="e">
        <f t="shared" ca="1" si="12"/>
        <v>#VALUE!</v>
      </c>
    </row>
    <row r="83" spans="6:17" s="8" customFormat="1" ht="13.2" x14ac:dyDescent="0.25">
      <c r="F83" s="34" t="str">
        <f t="shared" ca="1" si="10"/>
        <v/>
      </c>
      <c r="G83" s="23">
        <f t="shared" ca="1" si="13"/>
        <v>48587</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#DIV/0!</v>
      </c>
      <c r="M83" s="25" t="e">
        <f ca="1">IF(G83="Всього:",SUM($M$5:M82),IF($E$5="UAH",J83+L83+K83,J83+K83))</f>
        <v>#VALUE!</v>
      </c>
      <c r="N83" s="27" t="str">
        <f ca="1">IF(G83="Всього:",SUM($N$4:N82),IF($E$5="UAH","",L83))</f>
        <v/>
      </c>
      <c r="O83" s="25" t="e">
        <f t="shared" ca="1" si="8"/>
        <v>#DIV/0!</v>
      </c>
      <c r="P83" s="33">
        <f t="shared" ca="1" si="9"/>
        <v>48587</v>
      </c>
      <c r="Q83" s="8" t="e">
        <f t="shared" ca="1" si="12"/>
        <v>#VALUE!</v>
      </c>
    </row>
    <row r="84" spans="6:17" s="8" customFormat="1" ht="13.2" x14ac:dyDescent="0.25">
      <c r="F84" s="34" t="str">
        <f t="shared" ca="1" si="10"/>
        <v/>
      </c>
      <c r="G84" s="23">
        <f t="shared" ca="1" si="13"/>
        <v>48618</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#DIV/0!</v>
      </c>
      <c r="M84" s="25" t="e">
        <f ca="1">IF(G84="Всього:",SUM($M$5:M83),IF($E$5="UAH",J84+L84+K84,J84+K84))</f>
        <v>#VALUE!</v>
      </c>
      <c r="N84" s="27" t="str">
        <f ca="1">IF(G84="Всього:",SUM($N$4:N83),IF($E$5="UAH","",L84))</f>
        <v/>
      </c>
      <c r="O84" s="25" t="e">
        <f t="shared" ca="1" si="8"/>
        <v>#DIV/0!</v>
      </c>
      <c r="P84" s="33">
        <f t="shared" ca="1" si="9"/>
        <v>48618</v>
      </c>
      <c r="Q84" s="8" t="e">
        <f t="shared" ca="1" si="12"/>
        <v>#VALUE!</v>
      </c>
    </row>
    <row r="85" spans="6:17" s="8" customFormat="1" ht="13.2" x14ac:dyDescent="0.25">
      <c r="F85" s="34" t="str">
        <f t="shared" ca="1" si="10"/>
        <v/>
      </c>
      <c r="G85" s="23">
        <f t="shared" ca="1" si="13"/>
        <v>48646</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#DIV/0!</v>
      </c>
      <c r="M85" s="25" t="e">
        <f ca="1">IF(G85="Всього:",SUM($M$5:M84),IF($E$5="UAH",J85+L85+K85,J85+K85))</f>
        <v>#VALUE!</v>
      </c>
      <c r="N85" s="27" t="str">
        <f ca="1">IF(G85="Всього:",SUM($N$4:N84),IF($E$5="UAH","",L85))</f>
        <v/>
      </c>
      <c r="O85" s="25" t="e">
        <f t="shared" ca="1" si="8"/>
        <v>#DIV/0!</v>
      </c>
      <c r="P85" s="33">
        <f t="shared" ca="1" si="9"/>
        <v>48646</v>
      </c>
      <c r="Q85" s="8" t="e">
        <f t="shared" ca="1" si="12"/>
        <v>#VALUE!</v>
      </c>
    </row>
    <row r="86" spans="6:17" s="8" customFormat="1" ht="13.2" x14ac:dyDescent="0.25">
      <c r="F86" s="34" t="str">
        <f t="shared" ca="1" si="10"/>
        <v/>
      </c>
      <c r="G86" s="23">
        <f t="shared" ca="1" si="13"/>
        <v>48677</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#DIV/0!</v>
      </c>
      <c r="M86" s="25" t="e">
        <f ca="1">IF(G86="Всього:",SUM($M$5:M85),IF($E$5="UAH",J86+L86+K86,J86+K86))</f>
        <v>#VALUE!</v>
      </c>
      <c r="N86" s="27" t="str">
        <f ca="1">IF(G86="Всього:",SUM($N$4:N85),IF($E$5="UAH","",L86))</f>
        <v/>
      </c>
      <c r="O86" s="25" t="e">
        <f t="shared" ca="1" si="8"/>
        <v>#DIV/0!</v>
      </c>
      <c r="P86" s="33">
        <f t="shared" ca="1" si="9"/>
        <v>48677</v>
      </c>
      <c r="Q86" s="8" t="e">
        <f t="shared" ca="1" si="12"/>
        <v>#VALUE!</v>
      </c>
    </row>
    <row r="87" spans="6:17" s="8" customFormat="1" ht="13.2" x14ac:dyDescent="0.25">
      <c r="F87" s="34" t="str">
        <f t="shared" ca="1" si="10"/>
        <v/>
      </c>
      <c r="G87" s="23">
        <f t="shared" ca="1" si="13"/>
        <v>48707</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#DIV/0!</v>
      </c>
      <c r="M87" s="25" t="e">
        <f ca="1">IF(G87="Всього:",SUM($M$5:M86),IF($E$5="UAH",J87+L87+K87,J87+K87))</f>
        <v>#VALUE!</v>
      </c>
      <c r="N87" s="27" t="str">
        <f ca="1">IF(G87="Всього:",SUM($N$4:N86),IF($E$5="UAH","",L87))</f>
        <v/>
      </c>
      <c r="O87" s="25" t="e">
        <f t="shared" ca="1" si="8"/>
        <v>#DIV/0!</v>
      </c>
      <c r="P87" s="33">
        <f t="shared" ca="1" si="9"/>
        <v>48707</v>
      </c>
      <c r="Q87" s="8" t="e">
        <f t="shared" ca="1" si="12"/>
        <v>#VALUE!</v>
      </c>
    </row>
    <row r="88" spans="6:17" s="8" customFormat="1" ht="13.2" x14ac:dyDescent="0.25">
      <c r="F88" s="34" t="str">
        <f t="shared" ca="1" si="10"/>
        <v/>
      </c>
      <c r="G88" s="23">
        <f t="shared" ca="1" si="13"/>
        <v>48738</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#DIV/0!</v>
      </c>
      <c r="M88" s="25" t="e">
        <f ca="1">IF(G88="Всього:",SUM($M$5:M87),IF($E$5="UAH",J88+L88+K88,J88+K88))</f>
        <v>#VALUE!</v>
      </c>
      <c r="N88" s="27" t="str">
        <f ca="1">IF(G88="Всього:",SUM($N$4:N87),IF($E$5="UAH","",L88))</f>
        <v/>
      </c>
      <c r="O88" s="25" t="e">
        <f t="shared" ca="1" si="8"/>
        <v>#DIV/0!</v>
      </c>
      <c r="P88" s="33">
        <f t="shared" ca="1" si="9"/>
        <v>48738</v>
      </c>
      <c r="Q88" s="8" t="e">
        <f t="shared" ca="1" si="12"/>
        <v>#VALUE!</v>
      </c>
    </row>
    <row r="89" spans="6:17" s="8" customFormat="1" ht="13.2" x14ac:dyDescent="0.25">
      <c r="F89" s="34" t="str">
        <f t="shared" ca="1" si="10"/>
        <v/>
      </c>
      <c r="G89" s="23">
        <f t="shared" ca="1" si="13"/>
        <v>48768</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#DIV/0!</v>
      </c>
      <c r="M89" s="25" t="e">
        <f ca="1">IF(G89="Всього:",SUM($M$5:M88),IF($E$5="UAH",J89+L89+K89,J89+K89))</f>
        <v>#VALUE!</v>
      </c>
      <c r="N89" s="27" t="str">
        <f ca="1">IF(G89="Всього:",SUM($N$4:N88),IF($E$5="UAH","",L89))</f>
        <v/>
      </c>
      <c r="O89" s="25" t="e">
        <f t="shared" ca="1" si="8"/>
        <v>#DIV/0!</v>
      </c>
      <c r="P89" s="33">
        <f t="shared" ca="1" si="9"/>
        <v>48768</v>
      </c>
      <c r="Q89" s="8" t="e">
        <f t="shared" ca="1" si="12"/>
        <v>#VALUE!</v>
      </c>
    </row>
    <row r="90" spans="6:17" s="8" customFormat="1" ht="13.2" x14ac:dyDescent="0.25">
      <c r="F90" s="34" t="str">
        <f t="shared" ca="1" si="10"/>
        <v/>
      </c>
      <c r="G90" s="23">
        <f t="shared" ca="1" si="13"/>
        <v>48799</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#DIV/0!</v>
      </c>
      <c r="M90" s="25" t="e">
        <f ca="1">IF(G90="Всього:",SUM($M$5:M89),IF($E$5="UAH",J90+L90+K90,J90+K90))</f>
        <v>#VALUE!</v>
      </c>
      <c r="N90" s="27" t="str">
        <f ca="1">IF(G90="Всього:",SUM($N$4:N89),IF($E$5="UAH","",L90))</f>
        <v/>
      </c>
      <c r="O90" s="25" t="e">
        <f t="shared" ca="1" si="8"/>
        <v>#DIV/0!</v>
      </c>
      <c r="P90" s="33">
        <f t="shared" ca="1" si="9"/>
        <v>48799</v>
      </c>
      <c r="Q90" s="8" t="e">
        <f t="shared" ca="1" si="12"/>
        <v>#VALUE!</v>
      </c>
    </row>
    <row r="91" spans="6:17" s="8" customFormat="1" ht="13.2" x14ac:dyDescent="0.25">
      <c r="F91" s="34" t="str">
        <f t="shared" ca="1" si="10"/>
        <v/>
      </c>
      <c r="G91" s="23">
        <f t="shared" ca="1" si="13"/>
        <v>48830</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#DIV/0!</v>
      </c>
      <c r="M91" s="25" t="e">
        <f ca="1">IF(G91="Всього:",SUM($M$5:M90),IF($E$5="UAH",J91+L91+K91,J91+K91))</f>
        <v>#VALUE!</v>
      </c>
      <c r="N91" s="27" t="str">
        <f ca="1">IF(G91="Всього:",SUM($N$4:N90),IF($E$5="UAH","",L91))</f>
        <v/>
      </c>
      <c r="O91" s="25" t="e">
        <f t="shared" ca="1" si="8"/>
        <v>#DIV/0!</v>
      </c>
      <c r="P91" s="33">
        <f t="shared" ca="1" si="9"/>
        <v>48830</v>
      </c>
      <c r="Q91" s="8" t="e">
        <f t="shared" ca="1" si="12"/>
        <v>#VALUE!</v>
      </c>
    </row>
    <row r="92" spans="6:17" s="8" customFormat="1" ht="13.2" x14ac:dyDescent="0.25">
      <c r="F92" s="34" t="str">
        <f t="shared" ca="1" si="10"/>
        <v/>
      </c>
      <c r="G92" s="23">
        <f t="shared" ca="1" si="13"/>
        <v>48860</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#DIV/0!</v>
      </c>
      <c r="M92" s="25" t="e">
        <f ca="1">IF(G92="Всього:",SUM($M$5:M91),IF($E$5="UAH",J92+L92+K92,J92+K92))</f>
        <v>#VALUE!</v>
      </c>
      <c r="N92" s="27" t="str">
        <f ca="1">IF(G92="Всього:",SUM($N$4:N91),IF($E$5="UAH","",L92))</f>
        <v/>
      </c>
      <c r="O92" s="25" t="e">
        <f t="shared" ca="1" si="8"/>
        <v>#DIV/0!</v>
      </c>
      <c r="P92" s="33">
        <f t="shared" ca="1" si="9"/>
        <v>48860</v>
      </c>
      <c r="Q92" s="8" t="e">
        <f t="shared" ca="1" si="12"/>
        <v>#VALUE!</v>
      </c>
    </row>
    <row r="93" spans="6:17" s="8" customFormat="1" ht="13.2" x14ac:dyDescent="0.25">
      <c r="F93" s="34" t="str">
        <f t="shared" ca="1" si="10"/>
        <v/>
      </c>
      <c r="G93" s="23">
        <f t="shared" ca="1" si="13"/>
        <v>48891</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#DIV/0!</v>
      </c>
      <c r="M93" s="25" t="e">
        <f ca="1">IF(G93="Всього:",SUM($M$5:M92),IF($E$5="UAH",J93+L93+K93,J93+K93))</f>
        <v>#VALUE!</v>
      </c>
      <c r="N93" s="27" t="str">
        <f ca="1">IF(G93="Всього:",SUM($N$4:N92),IF($E$5="UAH","",L93))</f>
        <v/>
      </c>
      <c r="O93" s="25" t="e">
        <f t="shared" ca="1" si="8"/>
        <v>#DIV/0!</v>
      </c>
      <c r="P93" s="33">
        <f t="shared" ca="1" si="9"/>
        <v>48891</v>
      </c>
      <c r="Q93" s="8" t="e">
        <f t="shared" ca="1" si="12"/>
        <v>#VALUE!</v>
      </c>
    </row>
    <row r="94" spans="6:17" s="8" customFormat="1" ht="13.2" x14ac:dyDescent="0.25">
      <c r="F94" s="34" t="str">
        <f t="shared" ca="1" si="10"/>
        <v/>
      </c>
      <c r="G94" s="23">
        <f t="shared" ca="1" si="13"/>
        <v>48921</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#DIV/0!</v>
      </c>
      <c r="M94" s="25" t="e">
        <f ca="1">IF(G94="Всього:",SUM($M$5:M93),IF($E$5="UAH",J94+L94+K94,J94+K94))</f>
        <v>#VALUE!</v>
      </c>
      <c r="N94" s="27" t="str">
        <f ca="1">IF(G94="Всього:",SUM($N$4:N93),IF($E$5="UAH","",L94))</f>
        <v/>
      </c>
      <c r="O94" s="25" t="e">
        <f t="shared" ca="1" si="8"/>
        <v>#DIV/0!</v>
      </c>
      <c r="P94" s="33">
        <f t="shared" ca="1" si="9"/>
        <v>48921</v>
      </c>
      <c r="Q94" s="8" t="e">
        <f t="shared" ca="1" si="12"/>
        <v>#VALUE!</v>
      </c>
    </row>
    <row r="95" spans="6:17" s="8" customFormat="1" ht="13.2" x14ac:dyDescent="0.25">
      <c r="F95" s="34" t="str">
        <f t="shared" ca="1" si="10"/>
        <v/>
      </c>
      <c r="G95" s="23">
        <f t="shared" ca="1" si="13"/>
        <v>48952</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#DIV/0!</v>
      </c>
      <c r="M95" s="25" t="e">
        <f ca="1">IF(G95="Всього:",SUM($M$5:M94),IF($E$5="UAH",J95+L95+K95,J95+K95))</f>
        <v>#VALUE!</v>
      </c>
      <c r="N95" s="27" t="str">
        <f ca="1">IF(G95="Всього:",SUM($N$4:N94),IF($E$5="UAH","",L95))</f>
        <v/>
      </c>
      <c r="O95" s="25" t="e">
        <f t="shared" ca="1" si="8"/>
        <v>#DIV/0!</v>
      </c>
      <c r="P95" s="33">
        <f t="shared" ca="1" si="9"/>
        <v>48952</v>
      </c>
      <c r="Q95" s="8" t="e">
        <f t="shared" ca="1" si="12"/>
        <v>#VALUE!</v>
      </c>
    </row>
    <row r="96" spans="6:17" s="8" customFormat="1" ht="13.2" x14ac:dyDescent="0.25">
      <c r="F96" s="34" t="str">
        <f t="shared" ca="1" si="10"/>
        <v/>
      </c>
      <c r="G96" s="23">
        <f t="shared" ca="1" si="13"/>
        <v>48983</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#DIV/0!</v>
      </c>
      <c r="M96" s="25" t="e">
        <f ca="1">IF(G96="Всього:",SUM($M$5:M95),IF($E$5="UAH",J96+L96+K96,J96+K96))</f>
        <v>#VALUE!</v>
      </c>
      <c r="N96" s="27" t="str">
        <f ca="1">IF(G96="Всього:",SUM($N$4:N95),IF($E$5="UAH","",L96))</f>
        <v/>
      </c>
      <c r="O96" s="25" t="e">
        <f t="shared" ca="1" si="8"/>
        <v>#DIV/0!</v>
      </c>
      <c r="P96" s="33">
        <f t="shared" ca="1" si="9"/>
        <v>48983</v>
      </c>
      <c r="Q96" s="8" t="e">
        <f t="shared" ca="1" si="12"/>
        <v>#VALUE!</v>
      </c>
    </row>
    <row r="97" spans="6:17" s="8" customFormat="1" ht="13.2" x14ac:dyDescent="0.25">
      <c r="F97" s="34" t="str">
        <f t="shared" ca="1" si="10"/>
        <v/>
      </c>
      <c r="G97" s="23">
        <f t="shared" ca="1" si="13"/>
        <v>49011</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#DIV/0!</v>
      </c>
      <c r="M97" s="25" t="e">
        <f ca="1">IF(G97="Всього:",SUM($M$5:M96),IF($E$5="UAH",J97+L97+K97,J97+K97))</f>
        <v>#VALUE!</v>
      </c>
      <c r="N97" s="27" t="str">
        <f ca="1">IF(G97="Всього:",SUM($N$4:N96),IF($E$5="UAH","",L97))</f>
        <v/>
      </c>
      <c r="O97" s="25" t="e">
        <f t="shared" ca="1" si="8"/>
        <v>#DIV/0!</v>
      </c>
      <c r="P97" s="33">
        <f t="shared" ca="1" si="9"/>
        <v>49011</v>
      </c>
      <c r="Q97" s="8" t="e">
        <f t="shared" ca="1" si="12"/>
        <v>#VALUE!</v>
      </c>
    </row>
    <row r="98" spans="6:17" s="8" customFormat="1" ht="13.2" x14ac:dyDescent="0.25">
      <c r="F98" s="34" t="str">
        <f t="shared" ca="1" si="10"/>
        <v/>
      </c>
      <c r="G98" s="23">
        <f t="shared" ca="1" si="13"/>
        <v>49042</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#DIV/0!</v>
      </c>
      <c r="M98" s="25" t="e">
        <f ca="1">IF(G98="Всього:",SUM($M$5:M97),IF($E$5="UAH",J98+L98+K98,J98+K98))</f>
        <v>#VALUE!</v>
      </c>
      <c r="N98" s="27" t="str">
        <f ca="1">IF(G98="Всього:",SUM($N$4:N97),IF($E$5="UAH","",L98))</f>
        <v/>
      </c>
      <c r="O98" s="25" t="e">
        <f t="shared" ca="1" si="8"/>
        <v>#DIV/0!</v>
      </c>
      <c r="P98" s="33">
        <f t="shared" ca="1" si="9"/>
        <v>49042</v>
      </c>
      <c r="Q98" s="8" t="e">
        <f t="shared" ca="1" si="12"/>
        <v>#VALUE!</v>
      </c>
    </row>
    <row r="99" spans="6:17" s="8" customFormat="1" ht="13.2" x14ac:dyDescent="0.25">
      <c r="F99" s="34" t="str">
        <f t="shared" ca="1" si="10"/>
        <v/>
      </c>
      <c r="G99" s="23">
        <f t="shared" ca="1" si="13"/>
        <v>49072</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#DIV/0!</v>
      </c>
      <c r="M99" s="25" t="e">
        <f ca="1">IF(G99="Всього:",SUM($M$5:M98),IF($E$5="UAH",J99+L99+K99,J99+K99))</f>
        <v>#VALUE!</v>
      </c>
      <c r="N99" s="27" t="str">
        <f ca="1">IF(G99="Всього:",SUM($N$4:N98),IF($E$5="UAH","",L99))</f>
        <v/>
      </c>
      <c r="O99" s="25" t="e">
        <f t="shared" ca="1" si="8"/>
        <v>#DIV/0!</v>
      </c>
      <c r="P99" s="33">
        <f t="shared" ca="1" si="9"/>
        <v>49072</v>
      </c>
      <c r="Q99" s="8" t="e">
        <f t="shared" ca="1" si="12"/>
        <v>#VALUE!</v>
      </c>
    </row>
    <row r="100" spans="6:17" s="8" customFormat="1" ht="13.2" x14ac:dyDescent="0.25">
      <c r="F100" s="34" t="str">
        <f t="shared" ca="1" si="10"/>
        <v/>
      </c>
      <c r="G100" s="23">
        <f t="shared" ca="1" si="13"/>
        <v>49103</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#DIV/0!</v>
      </c>
      <c r="M100" s="25" t="e">
        <f ca="1">IF(G100="Всього:",SUM($M$5:M99),IF($E$5="UAH",J100+L100+K100,J100+K100))</f>
        <v>#VALUE!</v>
      </c>
      <c r="N100" s="27" t="str">
        <f ca="1">IF(G100="Всього:",SUM($N$4:N99),IF($E$5="UAH","",L100))</f>
        <v/>
      </c>
      <c r="O100" s="25" t="e">
        <f t="shared" ca="1" si="8"/>
        <v>#DIV/0!</v>
      </c>
      <c r="P100" s="33">
        <f t="shared" ca="1" si="9"/>
        <v>49103</v>
      </c>
      <c r="Q100" s="8" t="e">
        <f t="shared" ca="1" si="12"/>
        <v>#VALUE!</v>
      </c>
    </row>
    <row r="101" spans="6:17" s="8" customFormat="1" ht="13.2" x14ac:dyDescent="0.25">
      <c r="F101" s="34" t="str">
        <f t="shared" ca="1" si="10"/>
        <v/>
      </c>
      <c r="G101" s="23">
        <f t="shared" ca="1" si="13"/>
        <v>49133</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#DIV/0!</v>
      </c>
      <c r="M101" s="25" t="e">
        <f ca="1">IF(G101="Всього:",SUM($M$5:M100),IF($E$5="UAH",J101+L101+K101,J101+K101))</f>
        <v>#VALUE!</v>
      </c>
      <c r="N101" s="27" t="str">
        <f ca="1">IF(G101="Всього:",SUM($N$4:N100),IF($E$5="UAH","",L101))</f>
        <v/>
      </c>
      <c r="O101" s="25" t="e">
        <f t="shared" ca="1" si="8"/>
        <v>#DIV/0!</v>
      </c>
      <c r="P101" s="33">
        <f t="shared" ca="1" si="9"/>
        <v>49133</v>
      </c>
      <c r="Q101" s="8" t="e">
        <f t="shared" ca="1" si="12"/>
        <v>#VALUE!</v>
      </c>
    </row>
    <row r="102" spans="6:17" s="8" customFormat="1" ht="13.2" x14ac:dyDescent="0.25">
      <c r="F102" s="34" t="str">
        <f t="shared" ca="1" si="10"/>
        <v/>
      </c>
      <c r="G102" s="23">
        <f t="shared" ca="1" si="13"/>
        <v>49164</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#DIV/0!</v>
      </c>
      <c r="M102" s="25" t="e">
        <f ca="1">IF(G102="Всього:",SUM($M$5:M101),IF($E$5="UAH",J102+L102+K102,J102+K102))</f>
        <v>#VALUE!</v>
      </c>
      <c r="N102" s="27" t="str">
        <f ca="1">IF(G102="Всього:",SUM($N$4:N101),IF($E$5="UAH","",L102))</f>
        <v/>
      </c>
      <c r="O102" s="25" t="e">
        <f t="shared" ca="1" si="8"/>
        <v>#DIV/0!</v>
      </c>
      <c r="P102" s="33">
        <f t="shared" ca="1" si="9"/>
        <v>49164</v>
      </c>
      <c r="Q102" s="8" t="e">
        <f t="shared" ca="1" si="12"/>
        <v>#VALUE!</v>
      </c>
    </row>
    <row r="103" spans="6:17" s="8" customFormat="1" ht="13.2" x14ac:dyDescent="0.25">
      <c r="F103" s="34" t="str">
        <f t="shared" ca="1" si="10"/>
        <v/>
      </c>
      <c r="G103" s="23">
        <f t="shared" ca="1" si="13"/>
        <v>49195</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#DIV/0!</v>
      </c>
      <c r="M103" s="25" t="e">
        <f ca="1">IF(G103="Всього:",SUM($M$5:M102),IF($E$5="UAH",J103+L103+K103,J103+K103))</f>
        <v>#VALUE!</v>
      </c>
      <c r="N103" s="27" t="str">
        <f ca="1">IF(G103="Всього:",SUM($N$4:N102),IF($E$5="UAH","",L103))</f>
        <v/>
      </c>
      <c r="O103" s="25" t="e">
        <f t="shared" ca="1" si="8"/>
        <v>#DIV/0!</v>
      </c>
      <c r="P103" s="33">
        <f t="shared" ca="1" si="9"/>
        <v>49195</v>
      </c>
      <c r="Q103" s="8" t="e">
        <f t="shared" ca="1" si="12"/>
        <v>#VALUE!</v>
      </c>
    </row>
    <row r="104" spans="6:17" s="8" customFormat="1" ht="13.2" x14ac:dyDescent="0.25">
      <c r="F104" s="34" t="str">
        <f t="shared" ca="1" si="10"/>
        <v/>
      </c>
      <c r="G104" s="23">
        <f t="shared" ca="1" si="13"/>
        <v>49225</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#DIV/0!</v>
      </c>
      <c r="M104" s="25" t="e">
        <f ca="1">IF(G104="Всього:",SUM($M$5:M103),IF($E$5="UAH",J104+L104+K104,J104+K104))</f>
        <v>#VALUE!</v>
      </c>
      <c r="N104" s="27" t="str">
        <f ca="1">IF(G104="Всього:",SUM($N$4:N103),IF($E$5="UAH","",L104))</f>
        <v/>
      </c>
      <c r="O104" s="25" t="e">
        <f t="shared" ca="1" si="8"/>
        <v>#DIV/0!</v>
      </c>
      <c r="P104" s="33">
        <f t="shared" ca="1" si="9"/>
        <v>49225</v>
      </c>
      <c r="Q104" s="8" t="e">
        <f t="shared" ca="1" si="12"/>
        <v>#VALUE!</v>
      </c>
    </row>
    <row r="105" spans="6:17" s="8" customFormat="1" ht="13.2" x14ac:dyDescent="0.25">
      <c r="F105" s="34" t="str">
        <f t="shared" ca="1" si="10"/>
        <v/>
      </c>
      <c r="G105" s="23">
        <f t="shared" ca="1" si="13"/>
        <v>49256</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#DIV/0!</v>
      </c>
      <c r="M105" s="25" t="e">
        <f ca="1">IF(G105="Всього:",SUM($M$5:M104),IF($E$5="UAH",J105+L105+K105,J105+K105))</f>
        <v>#VALUE!</v>
      </c>
      <c r="N105" s="27" t="str">
        <f ca="1">IF(G105="Всього:",SUM($N$4:N104),IF($E$5="UAH","",L105))</f>
        <v/>
      </c>
      <c r="O105" s="25" t="e">
        <f t="shared" ca="1" si="8"/>
        <v>#DIV/0!</v>
      </c>
      <c r="P105" s="33">
        <f t="shared" ca="1" si="9"/>
        <v>49256</v>
      </c>
      <c r="Q105" s="8" t="e">
        <f t="shared" ca="1" si="12"/>
        <v>#VALUE!</v>
      </c>
    </row>
    <row r="106" spans="6:17" s="8" customFormat="1" ht="13.2" x14ac:dyDescent="0.25">
      <c r="F106" s="34" t="str">
        <f t="shared" ca="1" si="10"/>
        <v/>
      </c>
      <c r="G106" s="23">
        <f t="shared" ca="1" si="13"/>
        <v>49286</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#DIV/0!</v>
      </c>
      <c r="M106" s="25" t="e">
        <f ca="1">IF(G106="Всього:",SUM($M$5:M105),IF($E$5="UAH",J106+L106+K106,J106+K106))</f>
        <v>#VALUE!</v>
      </c>
      <c r="N106" s="27" t="str">
        <f ca="1">IF(G106="Всього:",SUM($N$4:N105),IF($E$5="UAH","",L106))</f>
        <v/>
      </c>
      <c r="O106" s="25" t="e">
        <f t="shared" ca="1" si="8"/>
        <v>#DIV/0!</v>
      </c>
      <c r="P106" s="33">
        <f t="shared" ca="1" si="9"/>
        <v>49286</v>
      </c>
      <c r="Q106" s="8" t="e">
        <f t="shared" ca="1" si="12"/>
        <v>#VALUE!</v>
      </c>
    </row>
    <row r="107" spans="6:17" s="8" customFormat="1" ht="13.2" x14ac:dyDescent="0.25">
      <c r="F107" s="34" t="str">
        <f t="shared" ca="1" si="10"/>
        <v/>
      </c>
      <c r="G107" s="23">
        <f t="shared" ca="1" si="13"/>
        <v>49317</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#DIV/0!</v>
      </c>
      <c r="M107" s="25" t="e">
        <f ca="1">IF(G107="Всього:",SUM($M$5:M106),IF($E$5="UAH",J107+L107+K107,J107+K107))</f>
        <v>#VALUE!</v>
      </c>
      <c r="N107" s="27" t="str">
        <f ca="1">IF(G107="Всього:",SUM($N$4:N106),IF($E$5="UAH","",L107))</f>
        <v/>
      </c>
      <c r="O107" s="25" t="e">
        <f t="shared" ca="1" si="8"/>
        <v>#DIV/0!</v>
      </c>
      <c r="P107" s="33">
        <f t="shared" ca="1" si="9"/>
        <v>49317</v>
      </c>
      <c r="Q107" s="8" t="e">
        <f t="shared" ca="1" si="12"/>
        <v>#VALUE!</v>
      </c>
    </row>
    <row r="108" spans="6:17" s="8" customFormat="1" ht="13.2" x14ac:dyDescent="0.25">
      <c r="F108" s="34" t="str">
        <f t="shared" ca="1" si="10"/>
        <v/>
      </c>
      <c r="G108" s="23">
        <f t="shared" ca="1" si="13"/>
        <v>49348</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#DIV/0!</v>
      </c>
      <c r="M108" s="25" t="e">
        <f ca="1">IF(G108="Всього:",SUM($M$5:M107),IF($E$5="UAH",J108+L108+K108,J108+K108))</f>
        <v>#VALUE!</v>
      </c>
      <c r="N108" s="27" t="str">
        <f ca="1">IF(G108="Всього:",SUM($N$4:N107),IF($E$5="UAH","",L108))</f>
        <v/>
      </c>
      <c r="O108" s="25" t="e">
        <f t="shared" ca="1" si="8"/>
        <v>#DIV/0!</v>
      </c>
      <c r="P108" s="33">
        <f t="shared" ca="1" si="9"/>
        <v>49348</v>
      </c>
      <c r="Q108" s="8" t="e">
        <f t="shared" ca="1" si="12"/>
        <v>#VALUE!</v>
      </c>
    </row>
    <row r="109" spans="6:17" s="8" customFormat="1" ht="13.2" x14ac:dyDescent="0.25">
      <c r="F109" s="34" t="str">
        <f t="shared" ca="1" si="10"/>
        <v/>
      </c>
      <c r="G109" s="23">
        <f t="shared" ca="1" si="13"/>
        <v>49376</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#DIV/0!</v>
      </c>
      <c r="M109" s="25" t="e">
        <f ca="1">IF(G109="Всього:",SUM($M$5:M108),IF($E$5="UAH",J109+L109+K109,J109+K109))</f>
        <v>#VALUE!</v>
      </c>
      <c r="N109" s="27" t="str">
        <f ca="1">IF(G109="Всього:",SUM($N$4:N108),IF($E$5="UAH","",L109))</f>
        <v/>
      </c>
      <c r="O109" s="25" t="e">
        <f t="shared" ca="1" si="8"/>
        <v>#DIV/0!</v>
      </c>
      <c r="P109" s="33">
        <f t="shared" ca="1" si="9"/>
        <v>49376</v>
      </c>
      <c r="Q109" s="8" t="e">
        <f t="shared" ca="1" si="12"/>
        <v>#VALUE!</v>
      </c>
    </row>
    <row r="110" spans="6:17" s="8" customFormat="1" ht="13.2" x14ac:dyDescent="0.25">
      <c r="F110" s="34" t="str">
        <f t="shared" ca="1" si="10"/>
        <v/>
      </c>
      <c r="G110" s="23">
        <f t="shared" ca="1" si="13"/>
        <v>49407</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#DIV/0!</v>
      </c>
      <c r="M110" s="25" t="e">
        <f ca="1">IF(G110="Всього:",SUM($M$5:M109),IF($E$5="UAH",J110+L110+K110,J110+K110))</f>
        <v>#VALUE!</v>
      </c>
      <c r="N110" s="27" t="str">
        <f ca="1">IF(G110="Всього:",SUM($N$4:N109),IF($E$5="UAH","",L110))</f>
        <v/>
      </c>
      <c r="O110" s="25" t="e">
        <f t="shared" ca="1" si="8"/>
        <v>#DIV/0!</v>
      </c>
      <c r="P110" s="33">
        <f t="shared" ca="1" si="9"/>
        <v>49407</v>
      </c>
      <c r="Q110" s="8" t="e">
        <f t="shared" ca="1" si="12"/>
        <v>#VALUE!</v>
      </c>
    </row>
    <row r="111" spans="6:17" s="8" customFormat="1" ht="13.2" x14ac:dyDescent="0.25">
      <c r="F111" s="34" t="str">
        <f t="shared" ca="1" si="10"/>
        <v/>
      </c>
      <c r="G111" s="23">
        <f t="shared" ca="1" si="13"/>
        <v>49437</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#DIV/0!</v>
      </c>
      <c r="M111" s="25" t="e">
        <f ca="1">IF(G111="Всього:",SUM($M$5:M110),IF($E$5="UAH",J111+L111+K111,J111+K111))</f>
        <v>#VALUE!</v>
      </c>
      <c r="N111" s="27" t="str">
        <f ca="1">IF(G111="Всього:",SUM($N$4:N110),IF($E$5="UAH","",L111))</f>
        <v/>
      </c>
      <c r="O111" s="25" t="e">
        <f t="shared" ca="1" si="8"/>
        <v>#DIV/0!</v>
      </c>
      <c r="P111" s="33">
        <f t="shared" ca="1" si="9"/>
        <v>49437</v>
      </c>
      <c r="Q111" s="8" t="e">
        <f t="shared" ca="1" si="12"/>
        <v>#VALUE!</v>
      </c>
    </row>
    <row r="112" spans="6:17" s="8" customFormat="1" ht="13.2" x14ac:dyDescent="0.25">
      <c r="F112" s="34" t="str">
        <f t="shared" ca="1" si="10"/>
        <v/>
      </c>
      <c r="G112" s="23">
        <f t="shared" ca="1" si="13"/>
        <v>49468</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#DIV/0!</v>
      </c>
      <c r="M112" s="25" t="e">
        <f ca="1">IF(G112="Всього:",SUM($M$5:M111),IF($E$5="UAH",J112+L112+K112,J112+K112))</f>
        <v>#VALUE!</v>
      </c>
      <c r="N112" s="27" t="str">
        <f ca="1">IF(G112="Всього:",SUM($N$4:N111),IF($E$5="UAH","",L112))</f>
        <v/>
      </c>
      <c r="O112" s="25" t="e">
        <f t="shared" ca="1" si="8"/>
        <v>#DIV/0!</v>
      </c>
      <c r="P112" s="33">
        <f t="shared" ca="1" si="9"/>
        <v>49468</v>
      </c>
      <c r="Q112" s="8" t="e">
        <f t="shared" ca="1" si="12"/>
        <v>#VALUE!</v>
      </c>
    </row>
    <row r="113" spans="6:17" s="8" customFormat="1" ht="13.2" x14ac:dyDescent="0.25">
      <c r="F113" s="34" t="str">
        <f t="shared" ca="1" si="10"/>
        <v/>
      </c>
      <c r="G113" s="23">
        <f t="shared" ca="1" si="13"/>
        <v>49498</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#DIV/0!</v>
      </c>
      <c r="M113" s="25" t="e">
        <f ca="1">IF(G113="Всього:",SUM($M$5:M112),IF($E$5="UAH",J113+L113+K113,J113+K113))</f>
        <v>#VALUE!</v>
      </c>
      <c r="N113" s="27" t="str">
        <f ca="1">IF(G113="Всього:",SUM($N$4:N112),IF($E$5="UAH","",L113))</f>
        <v/>
      </c>
      <c r="O113" s="25" t="e">
        <f t="shared" ca="1" si="8"/>
        <v>#DIV/0!</v>
      </c>
      <c r="P113" s="33">
        <f t="shared" ca="1" si="9"/>
        <v>49498</v>
      </c>
      <c r="Q113" s="8" t="e">
        <f t="shared" ca="1" si="12"/>
        <v>#VALUE!</v>
      </c>
    </row>
    <row r="114" spans="6:17" s="8" customFormat="1" ht="13.2" x14ac:dyDescent="0.25">
      <c r="F114" s="34" t="str">
        <f t="shared" ca="1" si="10"/>
        <v/>
      </c>
      <c r="G114" s="23">
        <f t="shared" ca="1" si="13"/>
        <v>49529</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#DIV/0!</v>
      </c>
      <c r="M114" s="25" t="e">
        <f ca="1">IF(G114="Всього:",SUM($M$5:M113),IF($E$5="UAH",J114+L114+K114,J114+K114))</f>
        <v>#VALUE!</v>
      </c>
      <c r="N114" s="27" t="str">
        <f ca="1">IF(G114="Всього:",SUM($N$4:N113),IF($E$5="UAH","",L114))</f>
        <v/>
      </c>
      <c r="O114" s="25" t="e">
        <f t="shared" ca="1" si="8"/>
        <v>#DIV/0!</v>
      </c>
      <c r="P114" s="33">
        <f t="shared" ca="1" si="9"/>
        <v>49529</v>
      </c>
      <c r="Q114" s="8" t="e">
        <f t="shared" ca="1" si="12"/>
        <v>#VALUE!</v>
      </c>
    </row>
    <row r="115" spans="6:17" s="8" customFormat="1" ht="13.2" x14ac:dyDescent="0.25">
      <c r="F115" s="34" t="str">
        <f t="shared" ca="1" si="10"/>
        <v/>
      </c>
      <c r="G115" s="23">
        <f t="shared" ca="1" si="13"/>
        <v>49560</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#DIV/0!</v>
      </c>
      <c r="M115" s="25" t="e">
        <f ca="1">IF(G115="Всього:",SUM($M$5:M114),IF($E$5="UAH",J115+L115+K115,J115+K115))</f>
        <v>#VALUE!</v>
      </c>
      <c r="N115" s="27" t="str">
        <f ca="1">IF(G115="Всього:",SUM($N$4:N114),IF($E$5="UAH","",L115))</f>
        <v/>
      </c>
      <c r="O115" s="25" t="e">
        <f t="shared" ca="1" si="8"/>
        <v>#DIV/0!</v>
      </c>
      <c r="P115" s="33">
        <f t="shared" ca="1" si="9"/>
        <v>49560</v>
      </c>
      <c r="Q115" s="8" t="e">
        <f t="shared" ca="1" si="12"/>
        <v>#VALUE!</v>
      </c>
    </row>
    <row r="116" spans="6:17" s="8" customFormat="1" ht="13.2" x14ac:dyDescent="0.25">
      <c r="F116" s="34" t="str">
        <f t="shared" ca="1" si="10"/>
        <v/>
      </c>
      <c r="G116" s="23">
        <f t="shared" ca="1" si="13"/>
        <v>49590</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#DIV/0!</v>
      </c>
      <c r="M116" s="25" t="e">
        <f ca="1">IF(G116="Всього:",SUM($M$5:M115),IF($E$5="UAH",J116+L116+K116,J116+K116))</f>
        <v>#VALUE!</v>
      </c>
      <c r="N116" s="27" t="str">
        <f ca="1">IF(G116="Всього:",SUM($N$4:N115),IF($E$5="UAH","",L116))</f>
        <v/>
      </c>
      <c r="O116" s="25" t="e">
        <f t="shared" ca="1" si="8"/>
        <v>#DIV/0!</v>
      </c>
      <c r="P116" s="33">
        <f t="shared" ca="1" si="9"/>
        <v>49590</v>
      </c>
      <c r="Q116" s="8" t="e">
        <f t="shared" ca="1" si="12"/>
        <v>#VALUE!</v>
      </c>
    </row>
    <row r="117" spans="6:17" s="8" customFormat="1" ht="13.2" x14ac:dyDescent="0.25">
      <c r="F117" s="34" t="str">
        <f t="shared" ca="1" si="10"/>
        <v/>
      </c>
      <c r="G117" s="23">
        <f t="shared" ca="1" si="13"/>
        <v>49621</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#DIV/0!</v>
      </c>
      <c r="M117" s="25" t="e">
        <f ca="1">IF(G117="Всього:",SUM($M$5:M116),IF($E$5="UAH",J117+L117+K117,J117+K117))</f>
        <v>#VALUE!</v>
      </c>
      <c r="N117" s="27" t="str">
        <f ca="1">IF(G117="Всього:",SUM($N$4:N116),IF($E$5="UAH","",L117))</f>
        <v/>
      </c>
      <c r="O117" s="25" t="e">
        <f t="shared" ca="1" si="8"/>
        <v>#DIV/0!</v>
      </c>
      <c r="P117" s="33">
        <f t="shared" ca="1" si="9"/>
        <v>49621</v>
      </c>
      <c r="Q117" s="8" t="e">
        <f t="shared" ca="1" si="12"/>
        <v>#VALUE!</v>
      </c>
    </row>
    <row r="118" spans="6:17" s="8" customFormat="1" ht="13.2" x14ac:dyDescent="0.25">
      <c r="F118" s="34" t="str">
        <f t="shared" ca="1" si="10"/>
        <v/>
      </c>
      <c r="G118" s="23">
        <f t="shared" ca="1" si="13"/>
        <v>49651</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#DIV/0!</v>
      </c>
      <c r="M118" s="25" t="e">
        <f ca="1">IF(G118="Всього:",SUM($M$5:M117),IF($E$5="UAH",J118+L118+K118,J118+K118))</f>
        <v>#VALUE!</v>
      </c>
      <c r="N118" s="27" t="str">
        <f ca="1">IF(G118="Всього:",SUM($N$4:N117),IF($E$5="UAH","",L118))</f>
        <v/>
      </c>
      <c r="O118" s="25" t="e">
        <f t="shared" ca="1" si="8"/>
        <v>#DIV/0!</v>
      </c>
      <c r="P118" s="33">
        <f t="shared" ca="1" si="9"/>
        <v>49651</v>
      </c>
      <c r="Q118" s="8" t="e">
        <f t="shared" ca="1" si="12"/>
        <v>#VALUE!</v>
      </c>
    </row>
    <row r="119" spans="6:17" s="8" customFormat="1" ht="13.2" x14ac:dyDescent="0.25">
      <c r="F119" s="34" t="str">
        <f t="shared" ca="1" si="10"/>
        <v/>
      </c>
      <c r="G119" s="23">
        <f t="shared" ca="1" si="13"/>
        <v>49682</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#DIV/0!</v>
      </c>
      <c r="M119" s="25" t="e">
        <f ca="1">IF(G119="Всього:",SUM($M$5:M118),IF($E$5="UAH",J119+L119+K119,J119+K119))</f>
        <v>#VALUE!</v>
      </c>
      <c r="N119" s="27" t="str">
        <f ca="1">IF(G119="Всього:",SUM($N$4:N118),IF($E$5="UAH","",L119))</f>
        <v/>
      </c>
      <c r="O119" s="25" t="e">
        <f t="shared" ca="1" si="8"/>
        <v>#DIV/0!</v>
      </c>
      <c r="P119" s="33">
        <f t="shared" ca="1" si="9"/>
        <v>49682</v>
      </c>
      <c r="Q119" s="8" t="e">
        <f t="shared" ca="1" si="12"/>
        <v>#VALUE!</v>
      </c>
    </row>
    <row r="120" spans="6:17" s="8" customFormat="1" ht="13.2" x14ac:dyDescent="0.25">
      <c r="F120" s="34" t="str">
        <f t="shared" ca="1" si="10"/>
        <v/>
      </c>
      <c r="G120" s="23">
        <f t="shared" ca="1" si="13"/>
        <v>49713</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#DIV/0!</v>
      </c>
      <c r="M120" s="25" t="e">
        <f ca="1">IF(G120="Всього:",SUM($M$5:M119),IF($E$5="UAH",J120+L120+K120,J120+K120))</f>
        <v>#VALUE!</v>
      </c>
      <c r="N120" s="27" t="str">
        <f ca="1">IF(G120="Всього:",SUM($N$4:N119),IF($E$5="UAH","",L120))</f>
        <v/>
      </c>
      <c r="O120" s="25" t="e">
        <f t="shared" ca="1" si="8"/>
        <v>#DIV/0!</v>
      </c>
      <c r="P120" s="33">
        <f t="shared" ca="1" si="9"/>
        <v>49713</v>
      </c>
      <c r="Q120" s="8" t="e">
        <f t="shared" ca="1" si="12"/>
        <v>#VALUE!</v>
      </c>
    </row>
    <row r="121" spans="6:17" s="8" customFormat="1" ht="13.2" x14ac:dyDescent="0.25">
      <c r="F121" s="34" t="str">
        <f t="shared" ca="1" si="10"/>
        <v/>
      </c>
      <c r="G121" s="23">
        <f t="shared" ca="1" si="13"/>
        <v>49742</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#DIV/0!</v>
      </c>
      <c r="M121" s="25" t="e">
        <f ca="1">IF(G121="Всього:",SUM($M$5:M120),IF($E$5="UAH",J121+L121+K121,J121+K121))</f>
        <v>#VALUE!</v>
      </c>
      <c r="N121" s="27" t="str">
        <f ca="1">IF(G121="Всього:",SUM($N$4:N120),IF($E$5="UAH","",L121))</f>
        <v/>
      </c>
      <c r="O121" s="25" t="e">
        <f t="shared" ca="1" si="8"/>
        <v>#DIV/0!</v>
      </c>
      <c r="P121" s="33">
        <f t="shared" ca="1" si="9"/>
        <v>49742</v>
      </c>
      <c r="Q121" s="8" t="e">
        <f t="shared" ca="1" si="12"/>
        <v>#VALUE!</v>
      </c>
    </row>
    <row r="122" spans="6:17" s="8" customFormat="1" ht="13.2" x14ac:dyDescent="0.25">
      <c r="F122" s="34" t="str">
        <f t="shared" ca="1" si="10"/>
        <v/>
      </c>
      <c r="G122" s="23">
        <f t="shared" ca="1" si="13"/>
        <v>49773</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#DIV/0!</v>
      </c>
      <c r="M122" s="25" t="e">
        <f ca="1">IF(G122="Всього:",SUM($M$5:M121),IF($E$5="UAH",J122+L122+K122,J122+K122))</f>
        <v>#VALUE!</v>
      </c>
      <c r="N122" s="27" t="str">
        <f ca="1">IF(G122="Всього:",SUM($N$4:N121),IF($E$5="UAH","",L122))</f>
        <v/>
      </c>
      <c r="O122" s="25" t="e">
        <f t="shared" ca="1" si="8"/>
        <v>#DIV/0!</v>
      </c>
      <c r="P122" s="33">
        <f t="shared" ca="1" si="9"/>
        <v>49773</v>
      </c>
      <c r="Q122" s="8" t="e">
        <f t="shared" ca="1" si="12"/>
        <v>#VALUE!</v>
      </c>
    </row>
    <row r="123" spans="6:17" s="8" customFormat="1" ht="13.2" x14ac:dyDescent="0.25">
      <c r="F123" s="34" t="str">
        <f t="shared" ca="1" si="10"/>
        <v/>
      </c>
      <c r="G123" s="23">
        <f t="shared" ca="1" si="13"/>
        <v>49803</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#DIV/0!</v>
      </c>
      <c r="M123" s="25" t="e">
        <f ca="1">IF(G123="Всього:",SUM($M$5:M122),IF($E$5="UAH",J123+L123+K123,J123+K123))</f>
        <v>#VALUE!</v>
      </c>
      <c r="N123" s="27" t="str">
        <f ca="1">IF(G123="Всього:",SUM($N$4:N122),IF($E$5="UAH","",L123))</f>
        <v/>
      </c>
      <c r="O123" s="25" t="e">
        <f t="shared" ca="1" si="8"/>
        <v>#DIV/0!</v>
      </c>
      <c r="P123" s="33">
        <f t="shared" ca="1" si="9"/>
        <v>49803</v>
      </c>
      <c r="Q123" s="8" t="e">
        <f t="shared" ca="1" si="12"/>
        <v>#VALUE!</v>
      </c>
    </row>
    <row r="124" spans="6:17" s="8" customFormat="1" ht="13.2" x14ac:dyDescent="0.25">
      <c r="F124" s="34" t="str">
        <f t="shared" ca="1" si="10"/>
        <v/>
      </c>
      <c r="G124" s="23">
        <f t="shared" ca="1" si="13"/>
        <v>49834</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#DIV/0!</v>
      </c>
      <c r="M124" s="25" t="e">
        <f ca="1">IF(G124="Всього:",SUM($M$5:M123),IF($E$5="UAH",J124+L124+K124,J124+K124))</f>
        <v>#VALUE!</v>
      </c>
      <c r="N124" s="27" t="str">
        <f ca="1">IF(G124="Всього:",SUM($N$4:N123),IF($E$5="UAH","",L124))</f>
        <v/>
      </c>
      <c r="O124" s="25" t="e">
        <f t="shared" ca="1" si="8"/>
        <v>#DIV/0!</v>
      </c>
      <c r="P124" s="33">
        <f t="shared" ca="1" si="9"/>
        <v>49834</v>
      </c>
      <c r="Q124" s="8" t="e">
        <f t="shared" ca="1" si="12"/>
        <v>#VALUE!</v>
      </c>
    </row>
    <row r="125" spans="6:17" s="8" customFormat="1" ht="13.2" x14ac:dyDescent="0.25">
      <c r="F125" s="34" t="str">
        <f t="shared" ca="1" si="10"/>
        <v/>
      </c>
      <c r="G125" s="23">
        <f t="shared" ca="1" si="13"/>
        <v>49864</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#DIV/0!</v>
      </c>
      <c r="M125" s="25" t="e">
        <f ca="1">IF(G125="Всього:",SUM($M$5:M124),IF($E$5="UAH",J125+L125+K125,J125+K125))</f>
        <v>#VALUE!</v>
      </c>
      <c r="N125" s="27" t="str">
        <f ca="1">IF(G125="Всього:",SUM($N$4:N124),IF($E$5="UAH","",L125))</f>
        <v/>
      </c>
      <c r="O125" s="25" t="e">
        <f t="shared" ca="1" si="8"/>
        <v>#DIV/0!</v>
      </c>
      <c r="P125" s="33">
        <f t="shared" ca="1" si="9"/>
        <v>49864</v>
      </c>
      <c r="Q125" s="8" t="e">
        <f t="shared" ca="1" si="12"/>
        <v>#VALUE!</v>
      </c>
    </row>
    <row r="126" spans="6:17" s="8" customFormat="1" ht="13.2" x14ac:dyDescent="0.25">
      <c r="F126" s="34" t="str">
        <f t="shared" ca="1" si="10"/>
        <v/>
      </c>
      <c r="G126" s="23">
        <f t="shared" ca="1" si="13"/>
        <v>49895</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#DIV/0!</v>
      </c>
      <c r="M126" s="25" t="e">
        <f ca="1">IF(G126="Всього:",SUM($M$5:M125),IF($E$5="UAH",J126+L126+K126,J126+K126))</f>
        <v>#VALUE!</v>
      </c>
      <c r="N126" s="27" t="str">
        <f ca="1">IF(G126="Всього:",SUM($N$4:N125),IF($E$5="UAH","",L126))</f>
        <v/>
      </c>
      <c r="O126" s="25" t="e">
        <f t="shared" ca="1" si="8"/>
        <v>#DIV/0!</v>
      </c>
      <c r="P126" s="33">
        <f t="shared" ca="1" si="9"/>
        <v>49895</v>
      </c>
      <c r="Q126" s="8" t="e">
        <f t="shared" ca="1" si="12"/>
        <v>#VALUE!</v>
      </c>
    </row>
    <row r="127" spans="6:17" s="8" customFormat="1" ht="13.2" x14ac:dyDescent="0.25">
      <c r="F127" s="34" t="str">
        <f t="shared" ca="1" si="10"/>
        <v/>
      </c>
      <c r="G127" s="23">
        <f t="shared" ca="1" si="13"/>
        <v>49926</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#DIV/0!</v>
      </c>
      <c r="M127" s="25" t="e">
        <f ca="1">IF(G127="Всього:",SUM($M$5:M126),IF($E$5="UAH",J127+L127+K127,J127+K127))</f>
        <v>#VALUE!</v>
      </c>
      <c r="N127" s="27" t="str">
        <f ca="1">IF(G127="Всього:",SUM($N$4:N126),IF($E$5="UAH","",L127))</f>
        <v/>
      </c>
      <c r="O127" s="25" t="e">
        <f t="shared" ca="1" si="8"/>
        <v>#DIV/0!</v>
      </c>
      <c r="P127" s="33">
        <f t="shared" ca="1" si="9"/>
        <v>49926</v>
      </c>
      <c r="Q127" s="8" t="e">
        <f t="shared" ca="1" si="12"/>
        <v>#VALUE!</v>
      </c>
    </row>
    <row r="128" spans="6:17" s="8" customFormat="1" ht="13.2" x14ac:dyDescent="0.25">
      <c r="F128" s="34" t="str">
        <f t="shared" ca="1" si="10"/>
        <v/>
      </c>
      <c r="G128" s="23">
        <f t="shared" ca="1" si="13"/>
        <v>49956</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#DIV/0!</v>
      </c>
      <c r="M128" s="25" t="e">
        <f ca="1">IF(G128="Всього:",SUM($M$5:M127),IF($E$5="UAH",J128+L128+K128,J128+K128))</f>
        <v>#VALUE!</v>
      </c>
      <c r="N128" s="27" t="str">
        <f ca="1">IF(G128="Всього:",SUM($N$4:N127),IF($E$5="UAH","",L128))</f>
        <v/>
      </c>
      <c r="O128" s="25" t="e">
        <f t="shared" ca="1" si="8"/>
        <v>#DIV/0!</v>
      </c>
      <c r="P128" s="33">
        <f t="shared" ca="1" si="9"/>
        <v>49956</v>
      </c>
      <c r="Q128" s="8" t="e">
        <f t="shared" ca="1" si="12"/>
        <v>#VALUE!</v>
      </c>
    </row>
    <row r="129" spans="6:17" s="8" customFormat="1" ht="13.2" x14ac:dyDescent="0.25">
      <c r="F129" s="34" t="str">
        <f t="shared" ca="1" si="10"/>
        <v/>
      </c>
      <c r="G129" s="23">
        <f t="shared" ca="1" si="13"/>
        <v>49987</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#DIV/0!</v>
      </c>
      <c r="M129" s="25" t="e">
        <f ca="1">IF(G129="Всього:",SUM($M$5:M128),IF($E$5="UAH",J129+L129+K129,J129+K129))</f>
        <v>#VALUE!</v>
      </c>
      <c r="N129" s="27" t="str">
        <f ca="1">IF(G129="Всього:",SUM($N$4:N128),IF($E$5="UAH","",L129))</f>
        <v/>
      </c>
      <c r="O129" s="25" t="e">
        <f t="shared" ca="1" si="8"/>
        <v>#DIV/0!</v>
      </c>
      <c r="P129" s="33">
        <f t="shared" ca="1" si="9"/>
        <v>49987</v>
      </c>
      <c r="Q129" s="8" t="e">
        <f t="shared" ca="1" si="12"/>
        <v>#VALUE!</v>
      </c>
    </row>
    <row r="130" spans="6:17" s="8" customFormat="1" ht="13.2" x14ac:dyDescent="0.25">
      <c r="F130" s="34" t="str">
        <f t="shared" ca="1" si="10"/>
        <v/>
      </c>
      <c r="G130" s="23">
        <f t="shared" ca="1" si="13"/>
        <v>50017</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#DIV/0!</v>
      </c>
      <c r="M130" s="25" t="e">
        <f ca="1">IF(G130="Всього:",SUM($M$5:M129),IF($E$5="UAH",J130+L130+K130,J130+K130))</f>
        <v>#VALUE!</v>
      </c>
      <c r="N130" s="27" t="str">
        <f ca="1">IF(G130="Всього:",SUM($N$4:N129),IF($E$5="UAH","",L130))</f>
        <v/>
      </c>
      <c r="O130" s="25" t="e">
        <f t="shared" ca="1" si="8"/>
        <v>#DIV/0!</v>
      </c>
      <c r="P130" s="33">
        <f t="shared" ca="1" si="9"/>
        <v>50017</v>
      </c>
      <c r="Q130" s="8" t="e">
        <f t="shared" ca="1" si="12"/>
        <v>#VALUE!</v>
      </c>
    </row>
    <row r="131" spans="6:17" s="8" customFormat="1" ht="13.2" x14ac:dyDescent="0.25">
      <c r="F131" s="34" t="str">
        <f t="shared" ca="1" si="10"/>
        <v/>
      </c>
      <c r="G131" s="23">
        <f t="shared" ca="1" si="13"/>
        <v>50048</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#DIV/0!</v>
      </c>
      <c r="M131" s="25" t="e">
        <f ca="1">IF(G131="Всього:",SUM($M$5:M130),IF($E$5="UAH",J131+L131+K131,J131+K131))</f>
        <v>#VALUE!</v>
      </c>
      <c r="N131" s="27" t="str">
        <f ca="1">IF(G131="Всього:",SUM($N$4:N130),IF($E$5="UAH","",L131))</f>
        <v/>
      </c>
      <c r="O131" s="25" t="e">
        <f t="shared" ca="1" si="8"/>
        <v>#DIV/0!</v>
      </c>
      <c r="P131" s="33">
        <f t="shared" ca="1" si="9"/>
        <v>50048</v>
      </c>
      <c r="Q131" s="8" t="e">
        <f t="shared" ca="1" si="12"/>
        <v>#VALUE!</v>
      </c>
    </row>
    <row r="132" spans="6:17" s="8" customFormat="1" ht="13.2" x14ac:dyDescent="0.25">
      <c r="F132" s="34" t="str">
        <f t="shared" ca="1" si="10"/>
        <v/>
      </c>
      <c r="G132" s="23">
        <f t="shared" ca="1" si="13"/>
        <v>50079</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#DIV/0!</v>
      </c>
      <c r="M132" s="25" t="e">
        <f ca="1">IF(G132="Всього:",SUM($M$5:M131),IF($E$5="UAH",J132+L132+K132,J132+K132))</f>
        <v>#VALUE!</v>
      </c>
      <c r="N132" s="27" t="str">
        <f ca="1">IF(G132="Всього:",SUM($N$4:N131),IF($E$5="UAH","",L132))</f>
        <v/>
      </c>
      <c r="O132" s="25" t="e">
        <f t="shared" ca="1" si="8"/>
        <v>#DIV/0!</v>
      </c>
      <c r="P132" s="33">
        <f t="shared" ca="1" si="9"/>
        <v>50079</v>
      </c>
      <c r="Q132" s="8" t="e">
        <f t="shared" ca="1" si="12"/>
        <v>#VALUE!</v>
      </c>
    </row>
    <row r="133" spans="6:17" s="8" customFormat="1" ht="13.2" x14ac:dyDescent="0.25">
      <c r="F133" s="34" t="str">
        <f t="shared" ca="1" si="10"/>
        <v/>
      </c>
      <c r="G133" s="23">
        <f t="shared" ca="1" si="13"/>
        <v>50107</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#DIV/0!</v>
      </c>
      <c r="M133" s="25" t="e">
        <f ca="1">IF(G133="Всього:",SUM($M$5:M132),IF($E$5="UAH",J133+L133+K133,J133+K133))</f>
        <v>#VALUE!</v>
      </c>
      <c r="N133" s="27" t="str">
        <f ca="1">IF(G133="Всього:",SUM($N$4:N132),IF($E$5="UAH","",L133))</f>
        <v/>
      </c>
      <c r="O133" s="25" t="e">
        <f t="shared" ref="O133:O196" ca="1" si="14">O132-J133</f>
        <v>#DIV/0!</v>
      </c>
      <c r="P133" s="33">
        <f t="shared" ref="P133:P196" ca="1" si="15">G133</f>
        <v>50107</v>
      </c>
      <c r="Q133" s="8" t="e">
        <f t="shared" ca="1" si="12"/>
        <v>#VALUE!</v>
      </c>
    </row>
    <row r="134" spans="6:17" s="8" customFormat="1" ht="13.2" x14ac:dyDescent="0.25">
      <c r="F134" s="34" t="str">
        <f t="shared" ref="F134:F197" ca="1" si="16">IF(G134="Всього:","",IF(AND(G134&gt;$B$9,G134&lt;=$B$10),$C$16,IF(AND(G134&gt;$B$9,G134&lt;=$B$11),$D$16,IF(AND(G134&gt;$B$10,G134&lt;=$B$14),$E$16,$B$16))))</f>
        <v/>
      </c>
      <c r="G134" s="23">
        <f t="shared" ca="1" si="13"/>
        <v>50138</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#DIV/0!</v>
      </c>
      <c r="M134" s="25" t="e">
        <f ca="1">IF(G134="Всього:",SUM($M$5:M133),IF($E$5="UAH",J134+L134+K134,J134+K134))</f>
        <v>#VALUE!</v>
      </c>
      <c r="N134" s="27" t="str">
        <f ca="1">IF(G134="Всього:",SUM($N$4:N133),IF($E$5="UAH","",L134))</f>
        <v/>
      </c>
      <c r="O134" s="25" t="e">
        <f t="shared" ca="1" si="14"/>
        <v>#DIV/0!</v>
      </c>
      <c r="P134" s="33">
        <f t="shared" ca="1" si="15"/>
        <v>50138</v>
      </c>
      <c r="Q134" s="8" t="e">
        <f t="shared" ref="Q134:Q159" ca="1" si="18">IF(R135="",I134,IFERROR(I134+R135,0))</f>
        <v>#VALUE!</v>
      </c>
    </row>
    <row r="135" spans="6:17" s="8" customFormat="1" ht="13.2" x14ac:dyDescent="0.25">
      <c r="F135" s="34" t="str">
        <f t="shared" ca="1" si="16"/>
        <v/>
      </c>
      <c r="G135" s="23">
        <f t="shared" ref="G135:G198" ca="1" si="19">IF(H134=$E$3,"Всього:",IF($E$3=H135,$B$14,DATE(YEAR(G134),MONTH(G134)+1,IF($B$7&lt;&gt;"",DAY(IF($B$7&gt;DAY(EOMONTH(G134,1)),EOMONTH(G134,1),$B$7)),DAY(1)))))</f>
        <v>50168</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#DIV/0!</v>
      </c>
      <c r="M135" s="25" t="e">
        <f ca="1">IF(G135="Всього:",SUM($M$5:M134),IF($E$5="UAH",J135+L135+K135,J135+K135))</f>
        <v>#VALUE!</v>
      </c>
      <c r="N135" s="27" t="str">
        <f ca="1">IF(G135="Всього:",SUM($N$4:N134),IF($E$5="UAH","",L135))</f>
        <v/>
      </c>
      <c r="O135" s="25" t="e">
        <f t="shared" ca="1" si="14"/>
        <v>#DIV/0!</v>
      </c>
      <c r="P135" s="33">
        <f t="shared" ca="1" si="15"/>
        <v>50168</v>
      </c>
      <c r="Q135" s="8" t="e">
        <f t="shared" ca="1" si="18"/>
        <v>#VALUE!</v>
      </c>
    </row>
    <row r="136" spans="6:17" s="8" customFormat="1" ht="13.2" x14ac:dyDescent="0.25">
      <c r="F136" s="34" t="str">
        <f t="shared" ca="1" si="16"/>
        <v/>
      </c>
      <c r="G136" s="23">
        <f t="shared" ca="1" si="19"/>
        <v>50199</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#DIV/0!</v>
      </c>
      <c r="M136" s="25" t="e">
        <f ca="1">IF(G136="Всього:",SUM($M$5:M135),IF($E$5="UAH",J136+L136+K136,J136+K136))</f>
        <v>#VALUE!</v>
      </c>
      <c r="N136" s="27" t="str">
        <f ca="1">IF(G136="Всього:",SUM($N$4:N135),IF($E$5="UAH","",L136))</f>
        <v/>
      </c>
      <c r="O136" s="25" t="e">
        <f t="shared" ca="1" si="14"/>
        <v>#DIV/0!</v>
      </c>
      <c r="P136" s="33">
        <f t="shared" ca="1" si="15"/>
        <v>50199</v>
      </c>
      <c r="Q136" s="8" t="e">
        <f t="shared" ca="1" si="18"/>
        <v>#VALUE!</v>
      </c>
    </row>
    <row r="137" spans="6:17" s="8" customFormat="1" ht="13.2" x14ac:dyDescent="0.25">
      <c r="F137" s="34" t="str">
        <f t="shared" ca="1" si="16"/>
        <v/>
      </c>
      <c r="G137" s="23">
        <f t="shared" ca="1" si="19"/>
        <v>50229</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#DIV/0!</v>
      </c>
      <c r="M137" s="25" t="e">
        <f ca="1">IF(G137="Всього:",SUM($M$5:M136),IF($E$5="UAH",J137+L137+K137,J137+K137))</f>
        <v>#VALUE!</v>
      </c>
      <c r="N137" s="27" t="str">
        <f ca="1">IF(G137="Всього:",SUM($N$4:N136),IF($E$5="UAH","",L137))</f>
        <v/>
      </c>
      <c r="O137" s="25" t="e">
        <f t="shared" ca="1" si="14"/>
        <v>#DIV/0!</v>
      </c>
      <c r="P137" s="33">
        <f t="shared" ca="1" si="15"/>
        <v>50229</v>
      </c>
      <c r="Q137" s="8" t="e">
        <f t="shared" ca="1" si="18"/>
        <v>#VALUE!</v>
      </c>
    </row>
    <row r="138" spans="6:17" s="8" customFormat="1" ht="13.2" x14ac:dyDescent="0.25">
      <c r="F138" s="34" t="str">
        <f t="shared" ca="1" si="16"/>
        <v/>
      </c>
      <c r="G138" s="23">
        <f t="shared" ca="1" si="19"/>
        <v>50260</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#DIV/0!</v>
      </c>
      <c r="M138" s="25" t="e">
        <f ca="1">IF(G138="Всього:",SUM($M$5:M137),IF($E$5="UAH",J138+L138+K138,J138+K138))</f>
        <v>#VALUE!</v>
      </c>
      <c r="N138" s="27" t="str">
        <f ca="1">IF(G138="Всього:",SUM($N$4:N137),IF($E$5="UAH","",L138))</f>
        <v/>
      </c>
      <c r="O138" s="25" t="e">
        <f t="shared" ca="1" si="14"/>
        <v>#DIV/0!</v>
      </c>
      <c r="P138" s="33">
        <f t="shared" ca="1" si="15"/>
        <v>50260</v>
      </c>
      <c r="Q138" s="8" t="e">
        <f t="shared" ca="1" si="18"/>
        <v>#VALUE!</v>
      </c>
    </row>
    <row r="139" spans="6:17" s="8" customFormat="1" ht="13.2" x14ac:dyDescent="0.25">
      <c r="F139" s="34" t="str">
        <f t="shared" ca="1" si="16"/>
        <v/>
      </c>
      <c r="G139" s="23">
        <f t="shared" ca="1" si="19"/>
        <v>50291</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#DIV/0!</v>
      </c>
      <c r="M139" s="25" t="e">
        <f ca="1">IF(G139="Всього:",SUM($M$5:M138),IF($E$5="UAH",J139+L139+K139,J139+K139))</f>
        <v>#VALUE!</v>
      </c>
      <c r="N139" s="27" t="str">
        <f ca="1">IF(G139="Всього:",SUM($N$4:N138),IF($E$5="UAH","",L139))</f>
        <v/>
      </c>
      <c r="O139" s="25" t="e">
        <f t="shared" ca="1" si="14"/>
        <v>#DIV/0!</v>
      </c>
      <c r="P139" s="33">
        <f t="shared" ca="1" si="15"/>
        <v>50291</v>
      </c>
      <c r="Q139" s="8" t="e">
        <f t="shared" ca="1" si="18"/>
        <v>#VALUE!</v>
      </c>
    </row>
    <row r="140" spans="6:17" s="8" customFormat="1" ht="13.2" x14ac:dyDescent="0.25">
      <c r="F140" s="34" t="str">
        <f t="shared" ca="1" si="16"/>
        <v/>
      </c>
      <c r="G140" s="23">
        <f t="shared" ca="1" si="19"/>
        <v>50321</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#DIV/0!</v>
      </c>
      <c r="M140" s="25" t="e">
        <f ca="1">IF(G140="Всього:",SUM($M$5:M139),IF($E$5="UAH",J140+L140+K140,J140+K140))</f>
        <v>#VALUE!</v>
      </c>
      <c r="N140" s="27" t="str">
        <f ca="1">IF(G140="Всього:",SUM($N$4:N139),IF($E$5="UAH","",L140))</f>
        <v/>
      </c>
      <c r="O140" s="25" t="e">
        <f t="shared" ca="1" si="14"/>
        <v>#DIV/0!</v>
      </c>
      <c r="P140" s="33">
        <f t="shared" ca="1" si="15"/>
        <v>50321</v>
      </c>
      <c r="Q140" s="8" t="e">
        <f t="shared" ca="1" si="18"/>
        <v>#VALUE!</v>
      </c>
    </row>
    <row r="141" spans="6:17" s="8" customFormat="1" ht="13.2" x14ac:dyDescent="0.25">
      <c r="F141" s="34" t="str">
        <f t="shared" ca="1" si="16"/>
        <v/>
      </c>
      <c r="G141" s="23">
        <f t="shared" ca="1" si="19"/>
        <v>50352</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#DIV/0!</v>
      </c>
      <c r="M141" s="25" t="e">
        <f ca="1">IF(G141="Всього:",SUM($M$5:M140),IF($E$5="UAH",J141+L141+K141,J141+K141))</f>
        <v>#VALUE!</v>
      </c>
      <c r="N141" s="27" t="str">
        <f ca="1">IF(G141="Всього:",SUM($N$4:N140),IF($E$5="UAH","",L141))</f>
        <v/>
      </c>
      <c r="O141" s="25" t="e">
        <f t="shared" ca="1" si="14"/>
        <v>#DIV/0!</v>
      </c>
      <c r="P141" s="33">
        <f t="shared" ca="1" si="15"/>
        <v>50352</v>
      </c>
      <c r="Q141" s="8" t="e">
        <f t="shared" ca="1" si="18"/>
        <v>#VALUE!</v>
      </c>
    </row>
    <row r="142" spans="6:17" s="8" customFormat="1" ht="13.2" x14ac:dyDescent="0.25">
      <c r="F142" s="34" t="str">
        <f t="shared" ca="1" si="16"/>
        <v/>
      </c>
      <c r="G142" s="23">
        <f t="shared" ca="1" si="19"/>
        <v>50382</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#DIV/0!</v>
      </c>
      <c r="M142" s="25" t="e">
        <f ca="1">IF(G142="Всього:",SUM($M$5:M141),IF($E$5="UAH",J142+L142+K142,J142+K142))</f>
        <v>#VALUE!</v>
      </c>
      <c r="N142" s="27" t="str">
        <f ca="1">IF(G142="Всього:",SUM($N$4:N141),IF($E$5="UAH","",L142))</f>
        <v/>
      </c>
      <c r="O142" s="25" t="e">
        <f t="shared" ca="1" si="14"/>
        <v>#DIV/0!</v>
      </c>
      <c r="P142" s="33">
        <f t="shared" ca="1" si="15"/>
        <v>50382</v>
      </c>
      <c r="Q142" s="8" t="e">
        <f t="shared" ca="1" si="18"/>
        <v>#VALUE!</v>
      </c>
    </row>
    <row r="143" spans="6:17" s="8" customFormat="1" ht="13.2" x14ac:dyDescent="0.25">
      <c r="F143" s="34" t="str">
        <f t="shared" ca="1" si="16"/>
        <v/>
      </c>
      <c r="G143" s="23">
        <f t="shared" ca="1" si="19"/>
        <v>50413</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#DIV/0!</v>
      </c>
      <c r="M143" s="25" t="e">
        <f ca="1">IF(G143="Всього:",SUM($M$5:M142),IF($E$5="UAH",J143+L143+K143,J143+K143))</f>
        <v>#VALUE!</v>
      </c>
      <c r="N143" s="27" t="str">
        <f ca="1">IF(G143="Всього:",SUM($N$4:N142),IF($E$5="UAH","",L143))</f>
        <v/>
      </c>
      <c r="O143" s="25" t="e">
        <f t="shared" ca="1" si="14"/>
        <v>#DIV/0!</v>
      </c>
      <c r="P143" s="33">
        <f t="shared" ca="1" si="15"/>
        <v>50413</v>
      </c>
      <c r="Q143" s="8" t="e">
        <f t="shared" ca="1" si="18"/>
        <v>#VALUE!</v>
      </c>
    </row>
    <row r="144" spans="6:17" s="8" customFormat="1" ht="13.2" x14ac:dyDescent="0.25">
      <c r="F144" s="34" t="str">
        <f t="shared" ca="1" si="16"/>
        <v/>
      </c>
      <c r="G144" s="23">
        <f t="shared" ca="1" si="19"/>
        <v>50444</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#DIV/0!</v>
      </c>
      <c r="M144" s="25" t="e">
        <f ca="1">IF(G144="Всього:",SUM($M$5:M143),IF($E$5="UAH",J144+L144+K144,J144+K144))</f>
        <v>#VALUE!</v>
      </c>
      <c r="N144" s="27" t="str">
        <f ca="1">IF(G144="Всього:",SUM($N$4:N143),IF($E$5="UAH","",L144))</f>
        <v/>
      </c>
      <c r="O144" s="25" t="e">
        <f t="shared" ca="1" si="14"/>
        <v>#DIV/0!</v>
      </c>
      <c r="P144" s="33">
        <f t="shared" ca="1" si="15"/>
        <v>50444</v>
      </c>
      <c r="Q144" s="8" t="e">
        <f t="shared" ca="1" si="18"/>
        <v>#VALUE!</v>
      </c>
    </row>
    <row r="145" spans="6:17" s="8" customFormat="1" ht="13.2" x14ac:dyDescent="0.25">
      <c r="F145" s="34" t="str">
        <f t="shared" ca="1" si="16"/>
        <v/>
      </c>
      <c r="G145" s="23">
        <f t="shared" ca="1" si="19"/>
        <v>50472</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#DIV/0!</v>
      </c>
      <c r="M145" s="25" t="e">
        <f ca="1">IF(G145="Всього:",SUM($M$5:M144),IF($E$5="UAH",J145+L145+K145,J145+K145))</f>
        <v>#VALUE!</v>
      </c>
      <c r="N145" s="27" t="str">
        <f ca="1">IF(G145="Всього:",SUM($N$4:N144),IF($E$5="UAH","",L145))</f>
        <v/>
      </c>
      <c r="O145" s="25" t="e">
        <f t="shared" ca="1" si="14"/>
        <v>#DIV/0!</v>
      </c>
      <c r="P145" s="33">
        <f t="shared" ca="1" si="15"/>
        <v>50472</v>
      </c>
      <c r="Q145" s="8" t="e">
        <f t="shared" ca="1" si="18"/>
        <v>#VALUE!</v>
      </c>
    </row>
    <row r="146" spans="6:17" s="8" customFormat="1" ht="13.2" x14ac:dyDescent="0.25">
      <c r="F146" s="34" t="str">
        <f t="shared" ca="1" si="16"/>
        <v/>
      </c>
      <c r="G146" s="23">
        <f t="shared" ca="1" si="19"/>
        <v>50503</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#DIV/0!</v>
      </c>
      <c r="M146" s="25" t="e">
        <f ca="1">IF(G146="Всього:",SUM($M$5:M145),IF($E$5="UAH",J146+L146+K146,J146+K146))</f>
        <v>#VALUE!</v>
      </c>
      <c r="N146" s="27" t="str">
        <f ca="1">IF(G146="Всього:",SUM($N$4:N145),IF($E$5="UAH","",L146))</f>
        <v/>
      </c>
      <c r="O146" s="25" t="e">
        <f t="shared" ca="1" si="14"/>
        <v>#DIV/0!</v>
      </c>
      <c r="P146" s="33">
        <f t="shared" ca="1" si="15"/>
        <v>50503</v>
      </c>
      <c r="Q146" s="8" t="e">
        <f t="shared" ca="1" si="18"/>
        <v>#VALUE!</v>
      </c>
    </row>
    <row r="147" spans="6:17" s="8" customFormat="1" ht="13.2" x14ac:dyDescent="0.25">
      <c r="F147" s="34" t="str">
        <f t="shared" ca="1" si="16"/>
        <v/>
      </c>
      <c r="G147" s="23">
        <f t="shared" ca="1" si="19"/>
        <v>50533</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#DIV/0!</v>
      </c>
      <c r="M147" s="25" t="e">
        <f ca="1">IF(G147="Всього:",SUM($M$5:M146),IF($E$5="UAH",J147+L147+K147,J147+K147))</f>
        <v>#VALUE!</v>
      </c>
      <c r="N147" s="27" t="str">
        <f ca="1">IF(G147="Всього:",SUM($N$4:N146),IF($E$5="UAH","",L147))</f>
        <v/>
      </c>
      <c r="O147" s="25" t="e">
        <f t="shared" ca="1" si="14"/>
        <v>#DIV/0!</v>
      </c>
      <c r="P147" s="33">
        <f t="shared" ca="1" si="15"/>
        <v>50533</v>
      </c>
      <c r="Q147" s="8" t="e">
        <f t="shared" ca="1" si="18"/>
        <v>#VALUE!</v>
      </c>
    </row>
    <row r="148" spans="6:17" s="8" customFormat="1" ht="13.2" x14ac:dyDescent="0.25">
      <c r="F148" s="34" t="str">
        <f t="shared" ca="1" si="16"/>
        <v/>
      </c>
      <c r="G148" s="23">
        <f t="shared" ca="1" si="19"/>
        <v>50564</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#DIV/0!</v>
      </c>
      <c r="M148" s="25" t="e">
        <f ca="1">IF(G148="Всього:",SUM($M$5:M147),IF($E$5="UAH",J148+L148+K148,J148+K148))</f>
        <v>#VALUE!</v>
      </c>
      <c r="N148" s="27" t="str">
        <f ca="1">IF(G148="Всього:",SUM($N$4:N147),IF($E$5="UAH","",L148))</f>
        <v/>
      </c>
      <c r="O148" s="25" t="e">
        <f t="shared" ca="1" si="14"/>
        <v>#DIV/0!</v>
      </c>
      <c r="P148" s="33">
        <f t="shared" ca="1" si="15"/>
        <v>50564</v>
      </c>
      <c r="Q148" s="8" t="e">
        <f t="shared" ca="1" si="18"/>
        <v>#VALUE!</v>
      </c>
    </row>
    <row r="149" spans="6:17" s="8" customFormat="1" ht="13.2" x14ac:dyDescent="0.25">
      <c r="F149" s="34" t="str">
        <f t="shared" ca="1" si="16"/>
        <v/>
      </c>
      <c r="G149" s="23">
        <f t="shared" ca="1" si="19"/>
        <v>50594</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#DIV/0!</v>
      </c>
      <c r="M149" s="25" t="e">
        <f ca="1">IF(G149="Всього:",SUM($M$5:M148),IF($E$5="UAH",J149+L149+K149,J149+K149))</f>
        <v>#VALUE!</v>
      </c>
      <c r="N149" s="27" t="str">
        <f ca="1">IF(G149="Всього:",SUM($N$4:N148),IF($E$5="UAH","",L149))</f>
        <v/>
      </c>
      <c r="O149" s="25" t="e">
        <f t="shared" ca="1" si="14"/>
        <v>#DIV/0!</v>
      </c>
      <c r="P149" s="33">
        <f t="shared" ca="1" si="15"/>
        <v>50594</v>
      </c>
      <c r="Q149" s="8" t="e">
        <f t="shared" ca="1" si="18"/>
        <v>#VALUE!</v>
      </c>
    </row>
    <row r="150" spans="6:17" s="8" customFormat="1" ht="13.2" x14ac:dyDescent="0.25">
      <c r="F150" s="34" t="str">
        <f t="shared" ca="1" si="16"/>
        <v/>
      </c>
      <c r="G150" s="23">
        <f t="shared" ca="1" si="19"/>
        <v>50625</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#DIV/0!</v>
      </c>
      <c r="M150" s="25" t="e">
        <f ca="1">IF(G150="Всього:",SUM($M$5:M149),IF($E$5="UAH",J150+L150+K150,J150+K150))</f>
        <v>#VALUE!</v>
      </c>
      <c r="N150" s="27" t="str">
        <f ca="1">IF(G150="Всього:",SUM($N$4:N149),IF($E$5="UAH","",L150))</f>
        <v/>
      </c>
      <c r="O150" s="25" t="e">
        <f t="shared" ca="1" si="14"/>
        <v>#DIV/0!</v>
      </c>
      <c r="P150" s="33">
        <f t="shared" ca="1" si="15"/>
        <v>50625</v>
      </c>
      <c r="Q150" s="8" t="e">
        <f t="shared" ca="1" si="18"/>
        <v>#VALUE!</v>
      </c>
    </row>
    <row r="151" spans="6:17" s="8" customFormat="1" ht="13.2" x14ac:dyDescent="0.25">
      <c r="F151" s="34" t="str">
        <f t="shared" ca="1" si="16"/>
        <v/>
      </c>
      <c r="G151" s="23">
        <f t="shared" ca="1" si="19"/>
        <v>50656</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#DIV/0!</v>
      </c>
      <c r="M151" s="25" t="e">
        <f ca="1">IF(G151="Всього:",SUM($M$5:M150),IF($E$5="UAH",J151+L151+K151,J151+K151))</f>
        <v>#VALUE!</v>
      </c>
      <c r="N151" s="27" t="str">
        <f ca="1">IF(G151="Всього:",SUM($N$4:N150),IF($E$5="UAH","",L151))</f>
        <v/>
      </c>
      <c r="O151" s="25" t="e">
        <f t="shared" ca="1" si="14"/>
        <v>#DIV/0!</v>
      </c>
      <c r="P151" s="33">
        <f t="shared" ca="1" si="15"/>
        <v>50656</v>
      </c>
      <c r="Q151" s="8" t="e">
        <f t="shared" ca="1" si="18"/>
        <v>#VALUE!</v>
      </c>
    </row>
    <row r="152" spans="6:17" s="8" customFormat="1" ht="13.2" x14ac:dyDescent="0.25">
      <c r="F152" s="34" t="str">
        <f t="shared" ca="1" si="16"/>
        <v/>
      </c>
      <c r="G152" s="23">
        <f t="shared" ca="1" si="19"/>
        <v>50686</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#DIV/0!</v>
      </c>
      <c r="M152" s="25" t="e">
        <f ca="1">IF(G152="Всього:",SUM($M$5:M151),IF($E$5="UAH",J152+L152+K152,J152+K152))</f>
        <v>#VALUE!</v>
      </c>
      <c r="N152" s="27" t="str">
        <f ca="1">IF(G152="Всього:",SUM($N$4:N151),IF($E$5="UAH","",L152))</f>
        <v/>
      </c>
      <c r="O152" s="25" t="e">
        <f t="shared" ca="1" si="14"/>
        <v>#DIV/0!</v>
      </c>
      <c r="P152" s="33">
        <f t="shared" ca="1" si="15"/>
        <v>50686</v>
      </c>
      <c r="Q152" s="8" t="e">
        <f t="shared" ca="1" si="18"/>
        <v>#VALUE!</v>
      </c>
    </row>
    <row r="153" spans="6:17" s="8" customFormat="1" ht="13.2" x14ac:dyDescent="0.25">
      <c r="F153" s="34" t="str">
        <f t="shared" ca="1" si="16"/>
        <v/>
      </c>
      <c r="G153" s="23">
        <f t="shared" ca="1" si="19"/>
        <v>50717</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#DIV/0!</v>
      </c>
      <c r="M153" s="25" t="e">
        <f ca="1">IF(G153="Всього:",SUM($M$5:M152),IF($E$5="UAH",J153+L153+K153,J153+K153))</f>
        <v>#VALUE!</v>
      </c>
      <c r="N153" s="27" t="str">
        <f ca="1">IF(G153="Всього:",SUM($N$4:N152),IF($E$5="UAH","",L153))</f>
        <v/>
      </c>
      <c r="O153" s="25" t="e">
        <f t="shared" ca="1" si="14"/>
        <v>#DIV/0!</v>
      </c>
      <c r="P153" s="33">
        <f t="shared" ca="1" si="15"/>
        <v>50717</v>
      </c>
      <c r="Q153" s="8" t="e">
        <f t="shared" ca="1" si="18"/>
        <v>#VALUE!</v>
      </c>
    </row>
    <row r="154" spans="6:17" s="8" customFormat="1" ht="13.2" x14ac:dyDescent="0.25">
      <c r="F154" s="34" t="str">
        <f t="shared" ca="1" si="16"/>
        <v/>
      </c>
      <c r="G154" s="23">
        <f t="shared" ca="1" si="19"/>
        <v>50747</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#DIV/0!</v>
      </c>
      <c r="M154" s="25" t="e">
        <f ca="1">IF(G154="Всього:",SUM($M$5:M153),IF($E$5="UAH",J154+L154+K154,J154+K154))</f>
        <v>#VALUE!</v>
      </c>
      <c r="N154" s="27" t="str">
        <f ca="1">IF(G154="Всього:",SUM($N$4:N153),IF($E$5="UAH","",L154))</f>
        <v/>
      </c>
      <c r="O154" s="25" t="e">
        <f t="shared" ca="1" si="14"/>
        <v>#DIV/0!</v>
      </c>
      <c r="P154" s="33">
        <f t="shared" ca="1" si="15"/>
        <v>50747</v>
      </c>
      <c r="Q154" s="8" t="e">
        <f t="shared" ca="1" si="18"/>
        <v>#VALUE!</v>
      </c>
    </row>
    <row r="155" spans="6:17" s="8" customFormat="1" ht="13.2" x14ac:dyDescent="0.25">
      <c r="F155" s="34" t="str">
        <f t="shared" ca="1" si="16"/>
        <v/>
      </c>
      <c r="G155" s="23">
        <f t="shared" ca="1" si="19"/>
        <v>50778</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#DIV/0!</v>
      </c>
      <c r="M155" s="25" t="e">
        <f ca="1">IF(G155="Всього:",SUM($M$5:M154),IF($E$5="UAH",J155+L155+K155,J155+K155))</f>
        <v>#VALUE!</v>
      </c>
      <c r="N155" s="27" t="str">
        <f ca="1">IF(G155="Всього:",SUM($N$4:N154),IF($E$5="UAH","",L155))</f>
        <v/>
      </c>
      <c r="O155" s="25" t="e">
        <f t="shared" ca="1" si="14"/>
        <v>#DIV/0!</v>
      </c>
      <c r="P155" s="33">
        <f t="shared" ca="1" si="15"/>
        <v>50778</v>
      </c>
      <c r="Q155" s="8" t="e">
        <f t="shared" ca="1" si="18"/>
        <v>#VALUE!</v>
      </c>
    </row>
    <row r="156" spans="6:17" s="8" customFormat="1" ht="13.2" x14ac:dyDescent="0.25">
      <c r="F156" s="34" t="str">
        <f t="shared" ca="1" si="16"/>
        <v/>
      </c>
      <c r="G156" s="23">
        <f t="shared" ca="1" si="19"/>
        <v>50809</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#DIV/0!</v>
      </c>
      <c r="M156" s="25" t="e">
        <f ca="1">IF(G156="Всього:",SUM($M$5:M155),IF($E$5="UAH",J156+L156+K156,J156+K156))</f>
        <v>#VALUE!</v>
      </c>
      <c r="N156" s="27" t="str">
        <f ca="1">IF(G156="Всього:",SUM($N$4:N155),IF($E$5="UAH","",L156))</f>
        <v/>
      </c>
      <c r="O156" s="25" t="e">
        <f t="shared" ca="1" si="14"/>
        <v>#DIV/0!</v>
      </c>
      <c r="P156" s="33">
        <f t="shared" ca="1" si="15"/>
        <v>50809</v>
      </c>
      <c r="Q156" s="8" t="e">
        <f t="shared" ca="1" si="18"/>
        <v>#VALUE!</v>
      </c>
    </row>
    <row r="157" spans="6:17" s="8" customFormat="1" ht="13.2" x14ac:dyDescent="0.25">
      <c r="F157" s="34" t="str">
        <f t="shared" ca="1" si="16"/>
        <v/>
      </c>
      <c r="G157" s="23">
        <f t="shared" ca="1" si="19"/>
        <v>50837</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#DIV/0!</v>
      </c>
      <c r="M157" s="25" t="e">
        <f ca="1">IF(G157="Всього:",SUM($M$5:M156),IF($E$5="UAH",J157+L157+K157,J157+K157))</f>
        <v>#VALUE!</v>
      </c>
      <c r="N157" s="27" t="str">
        <f ca="1">IF(G157="Всього:",SUM($N$4:N156),IF($E$5="UAH","",L157))</f>
        <v/>
      </c>
      <c r="O157" s="25" t="e">
        <f t="shared" ca="1" si="14"/>
        <v>#DIV/0!</v>
      </c>
      <c r="P157" s="33">
        <f t="shared" ca="1" si="15"/>
        <v>50837</v>
      </c>
      <c r="Q157" s="8" t="e">
        <f t="shared" ca="1" si="18"/>
        <v>#VALUE!</v>
      </c>
    </row>
    <row r="158" spans="6:17" s="8" customFormat="1" ht="13.2" x14ac:dyDescent="0.25">
      <c r="F158" s="34" t="str">
        <f t="shared" ca="1" si="16"/>
        <v/>
      </c>
      <c r="G158" s="23">
        <f t="shared" ca="1" si="19"/>
        <v>50868</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#DIV/0!</v>
      </c>
      <c r="M158" s="25" t="e">
        <f ca="1">IF(G158="Всього:",SUM($M$5:M157),IF($E$5="UAH",J158+L158+K158,J158+K158))</f>
        <v>#VALUE!</v>
      </c>
      <c r="N158" s="27" t="str">
        <f ca="1">IF(G158="Всього:",SUM($N$4:N157),IF($E$5="UAH","",L158))</f>
        <v/>
      </c>
      <c r="O158" s="25" t="e">
        <f t="shared" ca="1" si="14"/>
        <v>#DIV/0!</v>
      </c>
      <c r="P158" s="33">
        <f t="shared" ca="1" si="15"/>
        <v>50868</v>
      </c>
      <c r="Q158" s="8" t="e">
        <f t="shared" ca="1" si="18"/>
        <v>#VALUE!</v>
      </c>
    </row>
    <row r="159" spans="6:17" s="8" customFormat="1" ht="13.2" x14ac:dyDescent="0.25">
      <c r="F159" s="34" t="str">
        <f t="shared" ca="1" si="16"/>
        <v/>
      </c>
      <c r="G159" s="23">
        <f t="shared" ca="1" si="19"/>
        <v>50898</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#DIV/0!</v>
      </c>
      <c r="M159" s="25" t="e">
        <f ca="1">IF(G159="Всього:",SUM($M$5:M158),IF($E$5="UAH",J159+L159+K159,J159+K159))</f>
        <v>#VALUE!</v>
      </c>
      <c r="N159" s="27" t="str">
        <f ca="1">IF(G159="Всього:",SUM($N$4:N158),IF($E$5="UAH","",L159))</f>
        <v/>
      </c>
      <c r="O159" s="25" t="e">
        <f t="shared" ca="1" si="14"/>
        <v>#DIV/0!</v>
      </c>
      <c r="P159" s="33">
        <f t="shared" ca="1" si="15"/>
        <v>50898</v>
      </c>
      <c r="Q159" s="8" t="e">
        <f t="shared" ca="1" si="18"/>
        <v>#VALUE!</v>
      </c>
    </row>
    <row r="160" spans="6:17" s="8" customFormat="1" ht="13.2" x14ac:dyDescent="0.25">
      <c r="F160" s="34" t="str">
        <f t="shared" ca="1" si="16"/>
        <v/>
      </c>
      <c r="G160" s="23">
        <f t="shared" ca="1" si="19"/>
        <v>50929</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#DIV/0!</v>
      </c>
      <c r="M160" s="25" t="e">
        <f ca="1">IF(G160="Всього:",SUM($M$5:M159),IF($E$5="UAH",J160+L160+K160,J160+K160))</f>
        <v>#VALUE!</v>
      </c>
      <c r="N160" s="27" t="str">
        <f ca="1">IF(G160="Всього:",SUM($N$4:N159),IF($E$5="UAH","",L160))</f>
        <v/>
      </c>
      <c r="O160" s="25" t="e">
        <f t="shared" ca="1" si="14"/>
        <v>#DIV/0!</v>
      </c>
      <c r="P160" s="33">
        <f t="shared" ca="1" si="15"/>
        <v>50929</v>
      </c>
      <c r="Q160" s="8" t="e">
        <f t="shared" ref="Q160:Q197" ca="1" si="20">IF(R161="",I160,IFERROR(I160+R161,0))</f>
        <v>#VALUE!</v>
      </c>
    </row>
    <row r="161" spans="6:17" s="8" customFormat="1" ht="13.2" x14ac:dyDescent="0.25">
      <c r="F161" s="34" t="str">
        <f t="shared" ca="1" si="16"/>
        <v/>
      </c>
      <c r="G161" s="23">
        <f t="shared" ca="1" si="19"/>
        <v>50959</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#DIV/0!</v>
      </c>
      <c r="M161" s="25" t="e">
        <f ca="1">IF(G161="Всього:",SUM($M$5:M160),IF($E$5="UAH",J161+L161+K161,J161+K161))</f>
        <v>#VALUE!</v>
      </c>
      <c r="N161" s="27" t="str">
        <f ca="1">IF(G161="Всього:",SUM($N$4:N160),IF($E$5="UAH","",L161))</f>
        <v/>
      </c>
      <c r="O161" s="25" t="e">
        <f t="shared" ca="1" si="14"/>
        <v>#DIV/0!</v>
      </c>
      <c r="P161" s="33">
        <f t="shared" ca="1" si="15"/>
        <v>50959</v>
      </c>
      <c r="Q161" s="8" t="e">
        <f t="shared" ca="1" si="20"/>
        <v>#VALUE!</v>
      </c>
    </row>
    <row r="162" spans="6:17" s="8" customFormat="1" ht="13.2" x14ac:dyDescent="0.25">
      <c r="F162" s="34" t="str">
        <f t="shared" ca="1" si="16"/>
        <v/>
      </c>
      <c r="G162" s="23">
        <f t="shared" ca="1" si="19"/>
        <v>50990</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#DIV/0!</v>
      </c>
      <c r="M162" s="25" t="e">
        <f ca="1">IF(G162="Всього:",SUM($M$5:M161),IF($E$5="UAH",J162+L162+K162,J162+K162))</f>
        <v>#VALUE!</v>
      </c>
      <c r="N162" s="27" t="str">
        <f ca="1">IF(G162="Всього:",SUM($N$4:N161),IF($E$5="UAH","",L162))</f>
        <v/>
      </c>
      <c r="O162" s="25" t="e">
        <f t="shared" ca="1" si="14"/>
        <v>#DIV/0!</v>
      </c>
      <c r="P162" s="33">
        <f t="shared" ca="1" si="15"/>
        <v>50990</v>
      </c>
      <c r="Q162" s="8" t="e">
        <f t="shared" ca="1" si="20"/>
        <v>#VALUE!</v>
      </c>
    </row>
    <row r="163" spans="6:17" s="8" customFormat="1" ht="13.2" x14ac:dyDescent="0.25">
      <c r="F163" s="34" t="str">
        <f t="shared" ca="1" si="16"/>
        <v/>
      </c>
      <c r="G163" s="23">
        <f t="shared" ca="1" si="19"/>
        <v>51021</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#DIV/0!</v>
      </c>
      <c r="M163" s="25" t="e">
        <f ca="1">IF(G163="Всього:",SUM($M$5:M162),IF($E$5="UAH",J163+L163+K163,J163+K163))</f>
        <v>#VALUE!</v>
      </c>
      <c r="N163" s="27" t="str">
        <f ca="1">IF(G163="Всього:",SUM($N$4:N162),IF($E$5="UAH","",L163))</f>
        <v/>
      </c>
      <c r="O163" s="25" t="e">
        <f t="shared" ca="1" si="14"/>
        <v>#DIV/0!</v>
      </c>
      <c r="P163" s="33">
        <f t="shared" ca="1" si="15"/>
        <v>51021</v>
      </c>
      <c r="Q163" s="8" t="e">
        <f t="shared" ca="1" si="20"/>
        <v>#VALUE!</v>
      </c>
    </row>
    <row r="164" spans="6:17" s="8" customFormat="1" ht="13.2" x14ac:dyDescent="0.25">
      <c r="F164" s="34" t="str">
        <f t="shared" ca="1" si="16"/>
        <v/>
      </c>
      <c r="G164" s="23">
        <f t="shared" ca="1" si="19"/>
        <v>51051</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#DIV/0!</v>
      </c>
      <c r="M164" s="25" t="e">
        <f ca="1">IF(G164="Всього:",SUM($M$5:M163),IF($E$5="UAH",J164+L164+K164,J164+K164))</f>
        <v>#VALUE!</v>
      </c>
      <c r="N164" s="27" t="str">
        <f ca="1">IF(G164="Всього:",SUM($N$4:N163),IF($E$5="UAH","",L164))</f>
        <v/>
      </c>
      <c r="O164" s="25" t="e">
        <f t="shared" ca="1" si="14"/>
        <v>#DIV/0!</v>
      </c>
      <c r="P164" s="33">
        <f t="shared" ca="1" si="15"/>
        <v>51051</v>
      </c>
      <c r="Q164" s="8" t="e">
        <f t="shared" ca="1" si="20"/>
        <v>#VALUE!</v>
      </c>
    </row>
    <row r="165" spans="6:17" s="8" customFormat="1" ht="13.2" x14ac:dyDescent="0.25">
      <c r="F165" s="34" t="str">
        <f t="shared" ca="1" si="16"/>
        <v/>
      </c>
      <c r="G165" s="23">
        <f t="shared" ca="1" si="19"/>
        <v>51082</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#DIV/0!</v>
      </c>
      <c r="M165" s="25" t="e">
        <f ca="1">IF(G165="Всього:",SUM($M$5:M164),IF($E$5="UAH",J165+L165+K165,J165+K165))</f>
        <v>#VALUE!</v>
      </c>
      <c r="N165" s="27" t="str">
        <f ca="1">IF(G165="Всього:",SUM($N$4:N164),IF($E$5="UAH","",L165))</f>
        <v/>
      </c>
      <c r="O165" s="25" t="e">
        <f t="shared" ca="1" si="14"/>
        <v>#DIV/0!</v>
      </c>
      <c r="P165" s="33">
        <f t="shared" ca="1" si="15"/>
        <v>51082</v>
      </c>
      <c r="Q165" s="8" t="e">
        <f t="shared" ca="1" si="20"/>
        <v>#VALUE!</v>
      </c>
    </row>
    <row r="166" spans="6:17" s="8" customFormat="1" ht="13.2" x14ac:dyDescent="0.25">
      <c r="F166" s="34" t="str">
        <f t="shared" ca="1" si="16"/>
        <v/>
      </c>
      <c r="G166" s="23">
        <f t="shared" ca="1" si="19"/>
        <v>51112</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#DIV/0!</v>
      </c>
      <c r="M166" s="25" t="e">
        <f ca="1">IF(G166="Всього:",SUM($M$5:M165),IF($E$5="UAH",J166+L166+K166,J166+K166))</f>
        <v>#VALUE!</v>
      </c>
      <c r="N166" s="27" t="str">
        <f ca="1">IF(G166="Всього:",SUM($N$4:N165),IF($E$5="UAH","",L166))</f>
        <v/>
      </c>
      <c r="O166" s="25" t="e">
        <f t="shared" ca="1" si="14"/>
        <v>#DIV/0!</v>
      </c>
      <c r="P166" s="33">
        <f t="shared" ca="1" si="15"/>
        <v>51112</v>
      </c>
      <c r="Q166" s="8" t="e">
        <f t="shared" ca="1" si="20"/>
        <v>#VALUE!</v>
      </c>
    </row>
    <row r="167" spans="6:17" s="8" customFormat="1" ht="13.2" x14ac:dyDescent="0.25">
      <c r="F167" s="34" t="str">
        <f t="shared" ca="1" si="16"/>
        <v/>
      </c>
      <c r="G167" s="23">
        <f t="shared" ca="1" si="19"/>
        <v>51143</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#DIV/0!</v>
      </c>
      <c r="M167" s="25" t="e">
        <f ca="1">IF(G167="Всього:",SUM($M$5:M166),IF($E$5="UAH",J167+L167+K167,J167+K167))</f>
        <v>#VALUE!</v>
      </c>
      <c r="N167" s="27" t="str">
        <f ca="1">IF(G167="Всього:",SUM($N$4:N166),IF($E$5="UAH","",L167))</f>
        <v/>
      </c>
      <c r="O167" s="25" t="e">
        <f t="shared" ca="1" si="14"/>
        <v>#DIV/0!</v>
      </c>
      <c r="P167" s="33">
        <f t="shared" ca="1" si="15"/>
        <v>51143</v>
      </c>
      <c r="Q167" s="8" t="e">
        <f t="shared" ca="1" si="20"/>
        <v>#VALUE!</v>
      </c>
    </row>
    <row r="168" spans="6:17" s="8" customFormat="1" ht="13.2" x14ac:dyDescent="0.25">
      <c r="F168" s="34" t="str">
        <f t="shared" ca="1" si="16"/>
        <v/>
      </c>
      <c r="G168" s="23">
        <f t="shared" ca="1" si="19"/>
        <v>51174</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#DIV/0!</v>
      </c>
      <c r="M168" s="25" t="e">
        <f ca="1">IF(G168="Всього:",SUM($M$5:M167),IF($E$5="UAH",J168+L168+K168,J168+K168))</f>
        <v>#VALUE!</v>
      </c>
      <c r="N168" s="27" t="str">
        <f ca="1">IF(G168="Всього:",SUM($N$4:N167),IF($E$5="UAH","",L168))</f>
        <v/>
      </c>
      <c r="O168" s="25" t="e">
        <f t="shared" ca="1" si="14"/>
        <v>#DIV/0!</v>
      </c>
      <c r="P168" s="33">
        <f t="shared" ca="1" si="15"/>
        <v>51174</v>
      </c>
      <c r="Q168" s="8" t="e">
        <f t="shared" ca="1" si="20"/>
        <v>#VALUE!</v>
      </c>
    </row>
    <row r="169" spans="6:17" s="8" customFormat="1" ht="13.2" x14ac:dyDescent="0.25">
      <c r="F169" s="34" t="str">
        <f t="shared" ca="1" si="16"/>
        <v/>
      </c>
      <c r="G169" s="23">
        <f t="shared" ca="1" si="19"/>
        <v>51203</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#DIV/0!</v>
      </c>
      <c r="M169" s="25" t="e">
        <f ca="1">IF(G169="Всього:",SUM($M$5:M168),IF($E$5="UAH",J169+L169+K169,J169+K169))</f>
        <v>#VALUE!</v>
      </c>
      <c r="N169" s="27" t="str">
        <f ca="1">IF(G169="Всього:",SUM($N$4:N168),IF($E$5="UAH","",L169))</f>
        <v/>
      </c>
      <c r="O169" s="25" t="e">
        <f t="shared" ca="1" si="14"/>
        <v>#DIV/0!</v>
      </c>
      <c r="P169" s="33">
        <f t="shared" ca="1" si="15"/>
        <v>51203</v>
      </c>
      <c r="Q169" s="8" t="e">
        <f t="shared" ca="1" si="20"/>
        <v>#VALUE!</v>
      </c>
    </row>
    <row r="170" spans="6:17" s="8" customFormat="1" ht="13.2" x14ac:dyDescent="0.25">
      <c r="F170" s="34" t="str">
        <f t="shared" ca="1" si="16"/>
        <v/>
      </c>
      <c r="G170" s="23">
        <f t="shared" ca="1" si="19"/>
        <v>51234</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#DIV/0!</v>
      </c>
      <c r="M170" s="25" t="e">
        <f ca="1">IF(G170="Всього:",SUM($M$5:M169),IF($E$5="UAH",J170+L170+K170,J170+K170))</f>
        <v>#VALUE!</v>
      </c>
      <c r="N170" s="27" t="str">
        <f ca="1">IF(G170="Всього:",SUM($N$4:N169),IF($E$5="UAH","",L170))</f>
        <v/>
      </c>
      <c r="O170" s="25" t="e">
        <f t="shared" ca="1" si="14"/>
        <v>#DIV/0!</v>
      </c>
      <c r="P170" s="33">
        <f t="shared" ca="1" si="15"/>
        <v>51234</v>
      </c>
      <c r="Q170" s="8" t="e">
        <f t="shared" ca="1" si="20"/>
        <v>#VALUE!</v>
      </c>
    </row>
    <row r="171" spans="6:17" s="8" customFormat="1" ht="13.2" x14ac:dyDescent="0.25">
      <c r="F171" s="34" t="str">
        <f t="shared" ca="1" si="16"/>
        <v/>
      </c>
      <c r="G171" s="23">
        <f t="shared" ca="1" si="19"/>
        <v>51264</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#DIV/0!</v>
      </c>
      <c r="M171" s="25" t="e">
        <f ca="1">IF(G171="Всього:",SUM($M$5:M170),IF($E$5="UAH",J171+L171+K171,J171+K171))</f>
        <v>#VALUE!</v>
      </c>
      <c r="N171" s="27" t="str">
        <f ca="1">IF(G171="Всього:",SUM($N$4:N170),IF($E$5="UAH","",L171))</f>
        <v/>
      </c>
      <c r="O171" s="25" t="e">
        <f t="shared" ca="1" si="14"/>
        <v>#DIV/0!</v>
      </c>
      <c r="P171" s="33">
        <f t="shared" ca="1" si="15"/>
        <v>51264</v>
      </c>
      <c r="Q171" s="8" t="e">
        <f t="shared" ca="1" si="20"/>
        <v>#VALUE!</v>
      </c>
    </row>
    <row r="172" spans="6:17" s="8" customFormat="1" ht="13.2" x14ac:dyDescent="0.25">
      <c r="F172" s="34" t="str">
        <f t="shared" ca="1" si="16"/>
        <v/>
      </c>
      <c r="G172" s="23">
        <f t="shared" ca="1" si="19"/>
        <v>51295</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#DIV/0!</v>
      </c>
      <c r="M172" s="25" t="e">
        <f ca="1">IF(G172="Всього:",SUM($M$5:M171),IF($E$5="UAH",J172+L172+K172,J172+K172))</f>
        <v>#VALUE!</v>
      </c>
      <c r="N172" s="27" t="str">
        <f ca="1">IF(G172="Всього:",SUM($N$4:N171),IF($E$5="UAH","",L172))</f>
        <v/>
      </c>
      <c r="O172" s="25" t="e">
        <f t="shared" ca="1" si="14"/>
        <v>#DIV/0!</v>
      </c>
      <c r="P172" s="33">
        <f t="shared" ca="1" si="15"/>
        <v>51295</v>
      </c>
      <c r="Q172" s="8" t="e">
        <f t="shared" ca="1" si="20"/>
        <v>#VALUE!</v>
      </c>
    </row>
    <row r="173" spans="6:17" s="8" customFormat="1" ht="13.2" x14ac:dyDescent="0.25">
      <c r="F173" s="34" t="str">
        <f t="shared" ca="1" si="16"/>
        <v/>
      </c>
      <c r="G173" s="23">
        <f t="shared" ca="1" si="19"/>
        <v>51325</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#DIV/0!</v>
      </c>
      <c r="M173" s="25" t="e">
        <f ca="1">IF(G173="Всього:",SUM($M$5:M172),IF($E$5="UAH",J173+L173+K173,J173+K173))</f>
        <v>#VALUE!</v>
      </c>
      <c r="N173" s="27" t="str">
        <f ca="1">IF(G173="Всього:",SUM($N$4:N172),IF($E$5="UAH","",L173))</f>
        <v/>
      </c>
      <c r="O173" s="25" t="e">
        <f t="shared" ca="1" si="14"/>
        <v>#DIV/0!</v>
      </c>
      <c r="P173" s="33">
        <f t="shared" ca="1" si="15"/>
        <v>51325</v>
      </c>
      <c r="Q173" s="8" t="e">
        <f t="shared" ca="1" si="20"/>
        <v>#VALUE!</v>
      </c>
    </row>
    <row r="174" spans="6:17" s="8" customFormat="1" ht="13.2" x14ac:dyDescent="0.25">
      <c r="F174" s="34" t="str">
        <f t="shared" ca="1" si="16"/>
        <v/>
      </c>
      <c r="G174" s="23">
        <f t="shared" ca="1" si="19"/>
        <v>51356</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#DIV/0!</v>
      </c>
      <c r="M174" s="25" t="e">
        <f ca="1">IF(G174="Всього:",SUM($M$5:M173),IF($E$5="UAH",J174+L174+K174,J174+K174))</f>
        <v>#VALUE!</v>
      </c>
      <c r="N174" s="27" t="str">
        <f ca="1">IF(G174="Всього:",SUM($N$4:N173),IF($E$5="UAH","",L174))</f>
        <v/>
      </c>
      <c r="O174" s="25" t="e">
        <f t="shared" ca="1" si="14"/>
        <v>#DIV/0!</v>
      </c>
      <c r="P174" s="33">
        <f t="shared" ca="1" si="15"/>
        <v>51356</v>
      </c>
      <c r="Q174" s="8" t="e">
        <f t="shared" ca="1" si="20"/>
        <v>#VALUE!</v>
      </c>
    </row>
    <row r="175" spans="6:17" s="8" customFormat="1" ht="13.2" x14ac:dyDescent="0.25">
      <c r="F175" s="34" t="str">
        <f t="shared" ca="1" si="16"/>
        <v/>
      </c>
      <c r="G175" s="23">
        <f t="shared" ca="1" si="19"/>
        <v>51387</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#DIV/0!</v>
      </c>
      <c r="M175" s="25" t="e">
        <f ca="1">IF(G175="Всього:",SUM($M$5:M174),IF($E$5="UAH",J175+L175+K175,J175+K175))</f>
        <v>#VALUE!</v>
      </c>
      <c r="N175" s="27" t="str">
        <f ca="1">IF(G175="Всього:",SUM($N$4:N174),IF($E$5="UAH","",L175))</f>
        <v/>
      </c>
      <c r="O175" s="25" t="e">
        <f t="shared" ca="1" si="14"/>
        <v>#DIV/0!</v>
      </c>
      <c r="P175" s="33">
        <f t="shared" ca="1" si="15"/>
        <v>51387</v>
      </c>
      <c r="Q175" s="8" t="e">
        <f t="shared" ca="1" si="20"/>
        <v>#VALUE!</v>
      </c>
    </row>
    <row r="176" spans="6:17" s="8" customFormat="1" ht="13.2" x14ac:dyDescent="0.25">
      <c r="F176" s="34" t="str">
        <f t="shared" ca="1" si="16"/>
        <v/>
      </c>
      <c r="G176" s="23">
        <f t="shared" ca="1" si="19"/>
        <v>51417</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#DIV/0!</v>
      </c>
      <c r="M176" s="25" t="e">
        <f ca="1">IF(G176="Всього:",SUM($M$5:M175),IF($E$5="UAH",J176+L176+K176,J176+K176))</f>
        <v>#VALUE!</v>
      </c>
      <c r="N176" s="27" t="str">
        <f ca="1">IF(G176="Всього:",SUM($N$4:N175),IF($E$5="UAH","",L176))</f>
        <v/>
      </c>
      <c r="O176" s="25" t="e">
        <f t="shared" ca="1" si="14"/>
        <v>#DIV/0!</v>
      </c>
      <c r="P176" s="33">
        <f t="shared" ca="1" si="15"/>
        <v>51417</v>
      </c>
      <c r="Q176" s="8" t="e">
        <f t="shared" ca="1" si="20"/>
        <v>#VALUE!</v>
      </c>
    </row>
    <row r="177" spans="6:17" s="8" customFormat="1" ht="13.2" x14ac:dyDescent="0.25">
      <c r="F177" s="34" t="str">
        <f t="shared" ca="1" si="16"/>
        <v/>
      </c>
      <c r="G177" s="23">
        <f t="shared" ca="1" si="19"/>
        <v>51448</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#DIV/0!</v>
      </c>
      <c r="M177" s="25" t="e">
        <f ca="1">IF(G177="Всього:",SUM($M$5:M176),IF($E$5="UAH",J177+L177+K177,J177+K177))</f>
        <v>#VALUE!</v>
      </c>
      <c r="N177" s="27" t="str">
        <f ca="1">IF(G177="Всього:",SUM($N$4:N176),IF($E$5="UAH","",L177))</f>
        <v/>
      </c>
      <c r="O177" s="25" t="e">
        <f t="shared" ca="1" si="14"/>
        <v>#DIV/0!</v>
      </c>
      <c r="P177" s="33">
        <f t="shared" ca="1" si="15"/>
        <v>51448</v>
      </c>
      <c r="Q177" s="8" t="e">
        <f t="shared" ca="1" si="20"/>
        <v>#VALUE!</v>
      </c>
    </row>
    <row r="178" spans="6:17" s="8" customFormat="1" ht="13.2" x14ac:dyDescent="0.25">
      <c r="F178" s="34" t="str">
        <f t="shared" ca="1" si="16"/>
        <v/>
      </c>
      <c r="G178" s="23">
        <f t="shared" ca="1" si="19"/>
        <v>51478</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#DIV/0!</v>
      </c>
      <c r="M178" s="25" t="e">
        <f ca="1">IF(G178="Всього:",SUM($M$5:M177),IF($E$5="UAH",J178+L178+K178,J178+K178))</f>
        <v>#VALUE!</v>
      </c>
      <c r="N178" s="27" t="str">
        <f ca="1">IF(G178="Всього:",SUM($N$4:N177),IF($E$5="UAH","",L178))</f>
        <v/>
      </c>
      <c r="O178" s="25" t="e">
        <f t="shared" ca="1" si="14"/>
        <v>#DIV/0!</v>
      </c>
      <c r="P178" s="33">
        <f t="shared" ca="1" si="15"/>
        <v>51478</v>
      </c>
      <c r="Q178" s="8" t="e">
        <f t="shared" ca="1" si="20"/>
        <v>#VALUE!</v>
      </c>
    </row>
    <row r="179" spans="6:17" s="8" customFormat="1" ht="13.2" x14ac:dyDescent="0.25">
      <c r="F179" s="34" t="str">
        <f t="shared" ca="1" si="16"/>
        <v/>
      </c>
      <c r="G179" s="23">
        <f t="shared" ca="1" si="19"/>
        <v>51509</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#DIV/0!</v>
      </c>
      <c r="M179" s="25" t="e">
        <f ca="1">IF(G179="Всього:",SUM($M$5:M178),IF($E$5="UAH",J179+L179+K179,J179+K179))</f>
        <v>#VALUE!</v>
      </c>
      <c r="N179" s="27" t="str">
        <f ca="1">IF(G179="Всього:",SUM($N$4:N178),IF($E$5="UAH","",L179))</f>
        <v/>
      </c>
      <c r="O179" s="25" t="e">
        <f t="shared" ca="1" si="14"/>
        <v>#DIV/0!</v>
      </c>
      <c r="P179" s="33">
        <f t="shared" ca="1" si="15"/>
        <v>51509</v>
      </c>
      <c r="Q179" s="8" t="e">
        <f t="shared" ca="1" si="20"/>
        <v>#VALUE!</v>
      </c>
    </row>
    <row r="180" spans="6:17" s="8" customFormat="1" ht="13.2" x14ac:dyDescent="0.25">
      <c r="F180" s="34" t="str">
        <f t="shared" ca="1" si="16"/>
        <v/>
      </c>
      <c r="G180" s="23">
        <f t="shared" ca="1" si="19"/>
        <v>51540</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#DIV/0!</v>
      </c>
      <c r="M180" s="25" t="e">
        <f ca="1">IF(G180="Всього:",SUM($M$5:M179),IF($E$5="UAH",J180+L180+K180,J180+K180))</f>
        <v>#VALUE!</v>
      </c>
      <c r="N180" s="27" t="str">
        <f ca="1">IF(G180="Всього:",SUM($N$4:N179),IF($E$5="UAH","",L180))</f>
        <v/>
      </c>
      <c r="O180" s="25" t="e">
        <f t="shared" ca="1" si="14"/>
        <v>#DIV/0!</v>
      </c>
      <c r="P180" s="33">
        <f t="shared" ca="1" si="15"/>
        <v>51540</v>
      </c>
      <c r="Q180" s="8" t="e">
        <f t="shared" ca="1" si="20"/>
        <v>#VALUE!</v>
      </c>
    </row>
    <row r="181" spans="6:17" s="8" customFormat="1" ht="13.2" x14ac:dyDescent="0.25">
      <c r="F181" s="34" t="str">
        <f t="shared" ca="1" si="16"/>
        <v/>
      </c>
      <c r="G181" s="23">
        <f t="shared" ca="1" si="19"/>
        <v>51568</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#DIV/0!</v>
      </c>
      <c r="M181" s="25" t="e">
        <f ca="1">IF(G181="Всього:",SUM($M$5:M180),IF($E$5="UAH",J181+L181+K181,J181+K181))</f>
        <v>#VALUE!</v>
      </c>
      <c r="N181" s="27" t="str">
        <f ca="1">IF(G181="Всього:",SUM($N$4:N180),IF($E$5="UAH","",L181))</f>
        <v/>
      </c>
      <c r="O181" s="25" t="e">
        <f t="shared" ca="1" si="14"/>
        <v>#DIV/0!</v>
      </c>
      <c r="P181" s="33">
        <f t="shared" ca="1" si="15"/>
        <v>51568</v>
      </c>
      <c r="Q181" s="8" t="e">
        <f t="shared" ca="1" si="20"/>
        <v>#VALUE!</v>
      </c>
    </row>
    <row r="182" spans="6:17" s="8" customFormat="1" ht="13.2" x14ac:dyDescent="0.25">
      <c r="F182" s="34" t="str">
        <f t="shared" ca="1" si="16"/>
        <v/>
      </c>
      <c r="G182" s="23">
        <f t="shared" ca="1" si="19"/>
        <v>51599</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#DIV/0!</v>
      </c>
      <c r="M182" s="25" t="e">
        <f ca="1">IF(G182="Всього:",SUM($M$5:M181),IF($E$5="UAH",J182+L182+K182,J182+K182))</f>
        <v>#VALUE!</v>
      </c>
      <c r="N182" s="27" t="str">
        <f ca="1">IF(G182="Всього:",SUM($N$4:N181),IF($E$5="UAH","",L182))</f>
        <v/>
      </c>
      <c r="O182" s="25" t="e">
        <f t="shared" ca="1" si="14"/>
        <v>#DIV/0!</v>
      </c>
      <c r="P182" s="33">
        <f t="shared" ca="1" si="15"/>
        <v>51599</v>
      </c>
      <c r="Q182" s="8" t="e">
        <f t="shared" ca="1" si="20"/>
        <v>#VALUE!</v>
      </c>
    </row>
    <row r="183" spans="6:17" s="8" customFormat="1" ht="13.2" x14ac:dyDescent="0.25">
      <c r="F183" s="34" t="str">
        <f t="shared" ca="1" si="16"/>
        <v/>
      </c>
      <c r="G183" s="23">
        <f t="shared" ca="1" si="19"/>
        <v>51629</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#DIV/0!</v>
      </c>
      <c r="M183" s="25" t="e">
        <f ca="1">IF(G183="Всього:",SUM($M$5:M182),IF($E$5="UAH",J183+L183+K183,J183+K183))</f>
        <v>#VALUE!</v>
      </c>
      <c r="N183" s="27" t="str">
        <f ca="1">IF(G183="Всього:",SUM($N$4:N182),IF($E$5="UAH","",L183))</f>
        <v/>
      </c>
      <c r="O183" s="25" t="e">
        <f t="shared" ca="1" si="14"/>
        <v>#DIV/0!</v>
      </c>
      <c r="P183" s="33">
        <f t="shared" ca="1" si="15"/>
        <v>51629</v>
      </c>
      <c r="Q183" s="8" t="e">
        <f t="shared" ca="1" si="20"/>
        <v>#VALUE!</v>
      </c>
    </row>
    <row r="184" spans="6:17" s="8" customFormat="1" ht="13.2" x14ac:dyDescent="0.25">
      <c r="F184" s="34" t="str">
        <f t="shared" ca="1" si="16"/>
        <v/>
      </c>
      <c r="G184" s="23">
        <f t="shared" ca="1" si="19"/>
        <v>51660</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#DIV/0!</v>
      </c>
      <c r="M184" s="25" t="e">
        <f ca="1">IF(G184="Всього:",SUM($M$5:M183),IF($E$5="UAH",J184+L184+K184,J184+K184))</f>
        <v>#VALUE!</v>
      </c>
      <c r="N184" s="27" t="str">
        <f ca="1">IF(G184="Всього:",SUM($N$4:N183),IF($E$5="UAH","",L184))</f>
        <v/>
      </c>
      <c r="O184" s="25" t="e">
        <f t="shared" ca="1" si="14"/>
        <v>#DIV/0!</v>
      </c>
      <c r="P184" s="33">
        <f t="shared" ca="1" si="15"/>
        <v>51660</v>
      </c>
      <c r="Q184" s="8" t="e">
        <f t="shared" ca="1" si="20"/>
        <v>#VALUE!</v>
      </c>
    </row>
    <row r="185" spans="6:17" s="8" customFormat="1" ht="13.2" x14ac:dyDescent="0.25">
      <c r="F185" s="34" t="str">
        <f t="shared" ca="1" si="16"/>
        <v/>
      </c>
      <c r="G185" s="23">
        <f t="shared" ca="1" si="19"/>
        <v>51690</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#DIV/0!</v>
      </c>
      <c r="M185" s="25" t="e">
        <f ca="1">IF(G185="Всього:",SUM($M$5:M184),IF($E$5="UAH",J185+L185+K185,J185+K185))</f>
        <v>#VALUE!</v>
      </c>
      <c r="N185" s="27" t="str">
        <f ca="1">IF(G185="Всього:",SUM($N$4:N184),IF($E$5="UAH","",L185))</f>
        <v/>
      </c>
      <c r="O185" s="25" t="e">
        <f t="shared" ca="1" si="14"/>
        <v>#DIV/0!</v>
      </c>
      <c r="P185" s="33">
        <f t="shared" ca="1" si="15"/>
        <v>51690</v>
      </c>
      <c r="Q185" s="8" t="e">
        <f t="shared" ca="1" si="20"/>
        <v>#VALUE!</v>
      </c>
    </row>
    <row r="186" spans="6:17" s="8" customFormat="1" ht="13.2" x14ac:dyDescent="0.25">
      <c r="F186" s="34" t="str">
        <f t="shared" ca="1" si="16"/>
        <v/>
      </c>
      <c r="G186" s="23">
        <f t="shared" ca="1" si="19"/>
        <v>51721</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#DIV/0!</v>
      </c>
      <c r="M186" s="25" t="e">
        <f ca="1">IF(G186="Всього:",SUM($M$5:M185),IF($E$5="UAH",J186+L186+K186,J186+K186))</f>
        <v>#VALUE!</v>
      </c>
      <c r="N186" s="27" t="str">
        <f ca="1">IF(G186="Всього:",SUM($N$4:N185),IF($E$5="UAH","",L186))</f>
        <v/>
      </c>
      <c r="O186" s="25" t="e">
        <f t="shared" ca="1" si="14"/>
        <v>#DIV/0!</v>
      </c>
      <c r="P186" s="33">
        <f t="shared" ca="1" si="15"/>
        <v>51721</v>
      </c>
      <c r="Q186" s="8" t="e">
        <f t="shared" ca="1" si="20"/>
        <v>#VALUE!</v>
      </c>
    </row>
    <row r="187" spans="6:17" s="8" customFormat="1" ht="13.2" x14ac:dyDescent="0.25">
      <c r="F187" s="34" t="str">
        <f t="shared" ca="1" si="16"/>
        <v/>
      </c>
      <c r="G187" s="23">
        <f t="shared" ca="1" si="19"/>
        <v>51752</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#DIV/0!</v>
      </c>
      <c r="M187" s="25" t="e">
        <f ca="1">IF(G187="Всього:",SUM($M$5:M186),IF($E$5="UAH",J187+L187+K187,J187+K187))</f>
        <v>#VALUE!</v>
      </c>
      <c r="N187" s="27" t="str">
        <f ca="1">IF(G187="Всього:",SUM($N$4:N186),IF($E$5="UAH","",L187))</f>
        <v/>
      </c>
      <c r="O187" s="25" t="e">
        <f t="shared" ca="1" si="14"/>
        <v>#DIV/0!</v>
      </c>
      <c r="P187" s="33">
        <f t="shared" ca="1" si="15"/>
        <v>51752</v>
      </c>
      <c r="Q187" s="8" t="e">
        <f t="shared" ca="1" si="20"/>
        <v>#VALUE!</v>
      </c>
    </row>
    <row r="188" spans="6:17" s="8" customFormat="1" ht="13.2" x14ac:dyDescent="0.25">
      <c r="F188" s="34" t="str">
        <f t="shared" ca="1" si="16"/>
        <v/>
      </c>
      <c r="G188" s="23">
        <f t="shared" ca="1" si="19"/>
        <v>51782</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#DIV/0!</v>
      </c>
      <c r="M188" s="25" t="e">
        <f ca="1">IF(G188="Всього:",SUM($M$5:M187),IF($E$5="UAH",J188+L188+K188,J188+K188))</f>
        <v>#VALUE!</v>
      </c>
      <c r="N188" s="27" t="str">
        <f ca="1">IF(G188="Всього:",SUM($N$4:N187),IF($E$5="UAH","",L188))</f>
        <v/>
      </c>
      <c r="O188" s="25" t="e">
        <f t="shared" ca="1" si="14"/>
        <v>#DIV/0!</v>
      </c>
      <c r="P188" s="33">
        <f t="shared" ca="1" si="15"/>
        <v>51782</v>
      </c>
      <c r="Q188" s="8" t="e">
        <f t="shared" ca="1" si="20"/>
        <v>#VALUE!</v>
      </c>
    </row>
    <row r="189" spans="6:17" s="8" customFormat="1" ht="13.2" x14ac:dyDescent="0.25">
      <c r="F189" s="34" t="str">
        <f t="shared" ca="1" si="16"/>
        <v/>
      </c>
      <c r="G189" s="23">
        <f t="shared" ca="1" si="19"/>
        <v>51813</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#DIV/0!</v>
      </c>
      <c r="M189" s="25" t="e">
        <f ca="1">IF(G189="Всього:",SUM($M$5:M188),IF($E$5="UAH",J189+L189+K189,J189+K189))</f>
        <v>#VALUE!</v>
      </c>
      <c r="N189" s="27" t="str">
        <f ca="1">IF(G189="Всього:",SUM($N$4:N188),IF($E$5="UAH","",L189))</f>
        <v/>
      </c>
      <c r="O189" s="25" t="e">
        <f t="shared" ca="1" si="14"/>
        <v>#DIV/0!</v>
      </c>
      <c r="P189" s="33">
        <f t="shared" ca="1" si="15"/>
        <v>51813</v>
      </c>
      <c r="Q189" s="8" t="e">
        <f t="shared" ca="1" si="20"/>
        <v>#VALUE!</v>
      </c>
    </row>
    <row r="190" spans="6:17" s="8" customFormat="1" ht="13.2" x14ac:dyDescent="0.25">
      <c r="F190" s="34" t="str">
        <f t="shared" ca="1" si="16"/>
        <v/>
      </c>
      <c r="G190" s="23">
        <f t="shared" ca="1" si="19"/>
        <v>51843</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#DIV/0!</v>
      </c>
      <c r="M190" s="25" t="e">
        <f ca="1">IF(G190="Всього:",SUM($M$5:M189),IF($E$5="UAH",J190+L190+K190,J190+K190))</f>
        <v>#VALUE!</v>
      </c>
      <c r="N190" s="27" t="str">
        <f ca="1">IF(G190="Всього:",SUM($N$4:N189),IF($E$5="UAH","",L190))</f>
        <v/>
      </c>
      <c r="O190" s="25" t="e">
        <f t="shared" ca="1" si="14"/>
        <v>#DIV/0!</v>
      </c>
      <c r="P190" s="33">
        <f t="shared" ca="1" si="15"/>
        <v>51843</v>
      </c>
      <c r="Q190" s="8" t="e">
        <f t="shared" ca="1" si="20"/>
        <v>#VALUE!</v>
      </c>
    </row>
    <row r="191" spans="6:17" s="8" customFormat="1" ht="13.2" x14ac:dyDescent="0.25">
      <c r="F191" s="34" t="str">
        <f t="shared" ca="1" si="16"/>
        <v/>
      </c>
      <c r="G191" s="23">
        <f t="shared" ca="1" si="19"/>
        <v>51874</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#DIV/0!</v>
      </c>
      <c r="M191" s="25" t="e">
        <f ca="1">IF(G191="Всього:",SUM($M$5:M190),IF($E$5="UAH",J191+L191+K191,J191+K191))</f>
        <v>#VALUE!</v>
      </c>
      <c r="N191" s="27" t="str">
        <f ca="1">IF(G191="Всього:",SUM($N$4:N190),IF($E$5="UAH","",L191))</f>
        <v/>
      </c>
      <c r="O191" s="25" t="e">
        <f t="shared" ca="1" si="14"/>
        <v>#DIV/0!</v>
      </c>
      <c r="P191" s="33">
        <f t="shared" ca="1" si="15"/>
        <v>51874</v>
      </c>
      <c r="Q191" s="8" t="e">
        <f t="shared" ca="1" si="20"/>
        <v>#VALUE!</v>
      </c>
    </row>
    <row r="192" spans="6:17" s="8" customFormat="1" ht="13.2" x14ac:dyDescent="0.25">
      <c r="F192" s="34" t="str">
        <f t="shared" ca="1" si="16"/>
        <v/>
      </c>
      <c r="G192" s="23">
        <f t="shared" ca="1" si="19"/>
        <v>51905</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#DIV/0!</v>
      </c>
      <c r="M192" s="25" t="e">
        <f ca="1">IF(G192="Всього:",SUM($M$5:M191),IF($E$5="UAH",J192+L192+K192,J192+K192))</f>
        <v>#VALUE!</v>
      </c>
      <c r="N192" s="27" t="str">
        <f ca="1">IF(G192="Всього:",SUM($N$4:N191),IF($E$5="UAH","",L192))</f>
        <v/>
      </c>
      <c r="O192" s="25" t="e">
        <f t="shared" ca="1" si="14"/>
        <v>#DIV/0!</v>
      </c>
      <c r="P192" s="33">
        <f t="shared" ca="1" si="15"/>
        <v>51905</v>
      </c>
      <c r="Q192" s="8" t="e">
        <f t="shared" ca="1" si="20"/>
        <v>#VALUE!</v>
      </c>
    </row>
    <row r="193" spans="6:17" s="8" customFormat="1" ht="13.2" x14ac:dyDescent="0.25">
      <c r="F193" s="34" t="str">
        <f t="shared" ca="1" si="16"/>
        <v/>
      </c>
      <c r="G193" s="23">
        <f t="shared" ca="1" si="19"/>
        <v>51933</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#DIV/0!</v>
      </c>
      <c r="M193" s="25" t="e">
        <f ca="1">IF(G193="Всього:",SUM($M$5:M192),IF($E$5="UAH",J193+L193+K193,J193+K193))</f>
        <v>#VALUE!</v>
      </c>
      <c r="N193" s="27" t="str">
        <f ca="1">IF(G193="Всього:",SUM($N$4:N192),IF($E$5="UAH","",L193))</f>
        <v/>
      </c>
      <c r="O193" s="25" t="e">
        <f t="shared" ca="1" si="14"/>
        <v>#DIV/0!</v>
      </c>
      <c r="P193" s="33">
        <f t="shared" ca="1" si="15"/>
        <v>51933</v>
      </c>
      <c r="Q193" s="8" t="e">
        <f t="shared" ca="1" si="20"/>
        <v>#VALUE!</v>
      </c>
    </row>
    <row r="194" spans="6:17" s="8" customFormat="1" ht="13.2" x14ac:dyDescent="0.25">
      <c r="F194" s="34" t="str">
        <f t="shared" ca="1" si="16"/>
        <v/>
      </c>
      <c r="G194" s="23">
        <f t="shared" ca="1" si="19"/>
        <v>51964</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#DIV/0!</v>
      </c>
      <c r="M194" s="25" t="e">
        <f ca="1">IF(G194="Всього:",SUM($M$5:M193),IF($E$5="UAH",J194+L194+K194,J194+K194))</f>
        <v>#VALUE!</v>
      </c>
      <c r="N194" s="27" t="str">
        <f ca="1">IF(G194="Всього:",SUM($N$4:N193),IF($E$5="UAH","",L194))</f>
        <v/>
      </c>
      <c r="O194" s="25" t="e">
        <f t="shared" ca="1" si="14"/>
        <v>#DIV/0!</v>
      </c>
      <c r="P194" s="33">
        <f t="shared" ca="1" si="15"/>
        <v>51964</v>
      </c>
      <c r="Q194" s="8" t="e">
        <f t="shared" ca="1" si="20"/>
        <v>#VALUE!</v>
      </c>
    </row>
    <row r="195" spans="6:17" s="8" customFormat="1" ht="13.2" x14ac:dyDescent="0.25">
      <c r="F195" s="34" t="str">
        <f t="shared" ca="1" si="16"/>
        <v/>
      </c>
      <c r="G195" s="23">
        <f t="shared" ca="1" si="19"/>
        <v>51994</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#DIV/0!</v>
      </c>
      <c r="M195" s="25" t="e">
        <f ca="1">IF(G195="Всього:",SUM($M$5:M194),IF($E$5="UAH",J195+L195+K195,J195+K195))</f>
        <v>#VALUE!</v>
      </c>
      <c r="N195" s="27" t="str">
        <f ca="1">IF(G195="Всього:",SUM($N$4:N194),IF($E$5="UAH","",L195))</f>
        <v/>
      </c>
      <c r="O195" s="25" t="e">
        <f t="shared" ca="1" si="14"/>
        <v>#DIV/0!</v>
      </c>
      <c r="P195" s="33">
        <f t="shared" ca="1" si="15"/>
        <v>51994</v>
      </c>
      <c r="Q195" s="8" t="e">
        <f t="shared" ca="1" si="20"/>
        <v>#VALUE!</v>
      </c>
    </row>
    <row r="196" spans="6:17" s="8" customFormat="1" ht="13.2" x14ac:dyDescent="0.25">
      <c r="F196" s="34" t="str">
        <f t="shared" ca="1" si="16"/>
        <v/>
      </c>
      <c r="G196" s="23">
        <f t="shared" ca="1" si="19"/>
        <v>52025</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#DIV/0!</v>
      </c>
      <c r="M196" s="25" t="e">
        <f ca="1">IF(G196="Всього:",SUM($M$5:M195),IF($E$5="UAH",J196+L196+K196,J196+K196))</f>
        <v>#VALUE!</v>
      </c>
      <c r="N196" s="27" t="str">
        <f ca="1">IF(G196="Всього:",SUM($N$4:N195),IF($E$5="UAH","",L196))</f>
        <v/>
      </c>
      <c r="O196" s="25" t="e">
        <f t="shared" ca="1" si="14"/>
        <v>#DIV/0!</v>
      </c>
      <c r="P196" s="33">
        <f t="shared" ca="1" si="15"/>
        <v>52025</v>
      </c>
      <c r="Q196" s="8" t="e">
        <f t="shared" ca="1" si="20"/>
        <v>#VALUE!</v>
      </c>
    </row>
    <row r="197" spans="6:17" s="8" customFormat="1" ht="13.2" x14ac:dyDescent="0.25">
      <c r="F197" s="34" t="str">
        <f t="shared" ca="1" si="16"/>
        <v/>
      </c>
      <c r="G197" s="23">
        <f t="shared" ca="1" si="19"/>
        <v>52055</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#DIV/0!</v>
      </c>
      <c r="M197" s="25" t="e">
        <f ca="1">IF(G197="Всього:",SUM($M$5:M196),IF($E$5="UAH",J197+L197+K197,J197+K197))</f>
        <v>#VALUE!</v>
      </c>
      <c r="N197" s="27" t="str">
        <f ca="1">IF(G197="Всього:",SUM($N$4:N196),IF($E$5="UAH","",L197))</f>
        <v/>
      </c>
      <c r="O197" s="25" t="e">
        <f t="shared" ref="O197:O248" ca="1" si="21">O196-J197</f>
        <v>#DIV/0!</v>
      </c>
      <c r="P197" s="33">
        <f t="shared" ref="P197:P246" ca="1" si="22">G197</f>
        <v>52055</v>
      </c>
      <c r="Q197" s="8" t="e">
        <f t="shared" ca="1" si="20"/>
        <v>#VALUE!</v>
      </c>
    </row>
    <row r="198" spans="6:17" s="8" customFormat="1" ht="13.2" x14ac:dyDescent="0.25">
      <c r="F198" s="34" t="str">
        <f t="shared" ref="F198:F247" ca="1" si="23">IF(G198="Всього:","",IF(AND(G198&gt;$B$9,G198&lt;=$B$10),$C$16,IF(AND(G198&gt;$B$9,G198&lt;=$B$11),$D$16,IF(AND(G198&gt;$B$10,G198&lt;=$B$14),$E$16,$B$16))))</f>
        <v/>
      </c>
      <c r="G198" s="23">
        <f t="shared" ca="1" si="19"/>
        <v>52086</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#DIV/0!</v>
      </c>
      <c r="M198" s="25" t="e">
        <f ca="1">IF(G198="Всього:",SUM($M$5:M197),IF($E$5="UAH",J198+L198+K198,J198+K198))</f>
        <v>#VALUE!</v>
      </c>
      <c r="N198" s="27" t="str">
        <f ca="1">IF(G198="Всього:",SUM($N$4:N197),IF($E$5="UAH","",L198))</f>
        <v/>
      </c>
      <c r="O198" s="25" t="e">
        <f t="shared" ca="1" si="21"/>
        <v>#DIV/0!</v>
      </c>
      <c r="P198" s="33">
        <f t="shared" ca="1" si="22"/>
        <v>52086</v>
      </c>
      <c r="Q198" s="8" t="e">
        <f t="shared" ref="Q198:Q246" ca="1" si="25">IF(R199="",I198,IFERROR(I198+R199,0))</f>
        <v>#VALUE!</v>
      </c>
    </row>
    <row r="199" spans="6:17" s="8" customFormat="1" ht="13.2" x14ac:dyDescent="0.25">
      <c r="F199" s="34" t="str">
        <f t="shared" ca="1" si="23"/>
        <v/>
      </c>
      <c r="G199" s="23">
        <f t="shared" ref="G199:G247" ca="1" si="26">IF(H198=$E$3,"Всього:",IF($E$3=H199,$B$14,DATE(YEAR(G198),MONTH(G198)+1,IF($B$7&lt;&gt;"",DAY(IF($B$7&gt;DAY(EOMONTH(G198,1)),EOMONTH(G198,1),$B$7)),DAY(1)))))</f>
        <v>52117</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#DIV/0!</v>
      </c>
      <c r="M199" s="25" t="e">
        <f ca="1">IF(G199="Всього:",SUM($M$5:M198),IF($E$5="UAH",J199+L199+K199,J199+K199))</f>
        <v>#VALUE!</v>
      </c>
      <c r="N199" s="27" t="str">
        <f ca="1">IF(G199="Всього:",SUM($N$4:N198),IF($E$5="UAH","",L199))</f>
        <v/>
      </c>
      <c r="O199" s="25" t="e">
        <f t="shared" ca="1" si="21"/>
        <v>#DIV/0!</v>
      </c>
      <c r="P199" s="33">
        <f t="shared" ca="1" si="22"/>
        <v>52117</v>
      </c>
      <c r="Q199" s="8" t="e">
        <f t="shared" ca="1" si="25"/>
        <v>#VALUE!</v>
      </c>
    </row>
    <row r="200" spans="6:17" s="8" customFormat="1" ht="13.2" x14ac:dyDescent="0.25">
      <c r="F200" s="34" t="str">
        <f t="shared" ca="1" si="23"/>
        <v/>
      </c>
      <c r="G200" s="23">
        <f t="shared" ca="1" si="26"/>
        <v>52147</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#DIV/0!</v>
      </c>
      <c r="M200" s="25" t="e">
        <f ca="1">IF(G200="Всього:",SUM($M$5:M199),IF($E$5="UAH",J200+L200+K200,J200+K200))</f>
        <v>#VALUE!</v>
      </c>
      <c r="N200" s="27" t="str">
        <f ca="1">IF(G200="Всього:",SUM($N$4:N199),IF($E$5="UAH","",L200))</f>
        <v/>
      </c>
      <c r="O200" s="25" t="e">
        <f t="shared" ca="1" si="21"/>
        <v>#DIV/0!</v>
      </c>
      <c r="P200" s="33">
        <f t="shared" ca="1" si="22"/>
        <v>52147</v>
      </c>
      <c r="Q200" s="8" t="e">
        <f t="shared" ca="1" si="25"/>
        <v>#VALUE!</v>
      </c>
    </row>
    <row r="201" spans="6:17" s="8" customFormat="1" ht="13.2" x14ac:dyDescent="0.25">
      <c r="F201" s="34" t="str">
        <f t="shared" ca="1" si="23"/>
        <v/>
      </c>
      <c r="G201" s="23">
        <f t="shared" ca="1" si="26"/>
        <v>52178</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#DIV/0!</v>
      </c>
      <c r="M201" s="25" t="e">
        <f ca="1">IF(G201="Всього:",SUM($M$5:M200),IF($E$5="UAH",J201+L201+K201,J201+K201))</f>
        <v>#VALUE!</v>
      </c>
      <c r="N201" s="27" t="str">
        <f ca="1">IF(G201="Всього:",SUM($N$4:N200),IF($E$5="UAH","",L201))</f>
        <v/>
      </c>
      <c r="O201" s="25" t="e">
        <f t="shared" ca="1" si="21"/>
        <v>#DIV/0!</v>
      </c>
      <c r="P201" s="33">
        <f t="shared" ca="1" si="22"/>
        <v>52178</v>
      </c>
      <c r="Q201" s="8" t="e">
        <f t="shared" ca="1" si="25"/>
        <v>#VALUE!</v>
      </c>
    </row>
    <row r="202" spans="6:17" s="8" customFormat="1" ht="13.2" x14ac:dyDescent="0.25">
      <c r="F202" s="34" t="str">
        <f t="shared" ca="1" si="23"/>
        <v/>
      </c>
      <c r="G202" s="23">
        <f t="shared" ca="1" si="26"/>
        <v>52208</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#DIV/0!</v>
      </c>
      <c r="M202" s="25" t="e">
        <f ca="1">IF(G202="Всього:",SUM($M$5:M201),IF($E$5="UAH",J202+L202+K202,J202+K202))</f>
        <v>#VALUE!</v>
      </c>
      <c r="N202" s="27" t="str">
        <f ca="1">IF(G202="Всього:",SUM($N$4:N201),IF($E$5="UAH","",L202))</f>
        <v/>
      </c>
      <c r="O202" s="25" t="e">
        <f t="shared" ca="1" si="21"/>
        <v>#DIV/0!</v>
      </c>
      <c r="P202" s="33">
        <f t="shared" ca="1" si="22"/>
        <v>52208</v>
      </c>
      <c r="Q202" s="8" t="e">
        <f t="shared" ca="1" si="25"/>
        <v>#VALUE!</v>
      </c>
    </row>
    <row r="203" spans="6:17" s="8" customFormat="1" ht="13.2" x14ac:dyDescent="0.25">
      <c r="F203" s="34" t="str">
        <f t="shared" ca="1" si="23"/>
        <v/>
      </c>
      <c r="G203" s="23">
        <f t="shared" ca="1" si="26"/>
        <v>52239</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#DIV/0!</v>
      </c>
      <c r="M203" s="25" t="e">
        <f ca="1">IF(G203="Всього:",SUM($M$5:M202),IF($E$5="UAH",J203+L203+K203,J203+K203))</f>
        <v>#VALUE!</v>
      </c>
      <c r="N203" s="27" t="str">
        <f ca="1">IF(G203="Всього:",SUM($N$4:N202),IF($E$5="UAH","",L203))</f>
        <v/>
      </c>
      <c r="O203" s="25" t="e">
        <f t="shared" ca="1" si="21"/>
        <v>#DIV/0!</v>
      </c>
      <c r="P203" s="33">
        <f t="shared" ca="1" si="22"/>
        <v>52239</v>
      </c>
      <c r="Q203" s="8" t="e">
        <f t="shared" ca="1" si="25"/>
        <v>#VALUE!</v>
      </c>
    </row>
    <row r="204" spans="6:17" s="8" customFormat="1" ht="13.2" x14ac:dyDescent="0.25">
      <c r="F204" s="34" t="str">
        <f t="shared" ca="1" si="23"/>
        <v/>
      </c>
      <c r="G204" s="23">
        <f t="shared" ca="1" si="26"/>
        <v>52270</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#DIV/0!</v>
      </c>
      <c r="M204" s="25" t="e">
        <f ca="1">IF(G204="Всього:",SUM($M$5:M203),IF($E$5="UAH",J204+L204+K204,J204+K204))</f>
        <v>#VALUE!</v>
      </c>
      <c r="N204" s="27" t="str">
        <f ca="1">IF(G204="Всього:",SUM($N$4:N203),IF($E$5="UAH","",L204))</f>
        <v/>
      </c>
      <c r="O204" s="25" t="e">
        <f t="shared" ca="1" si="21"/>
        <v>#DIV/0!</v>
      </c>
      <c r="P204" s="33">
        <f t="shared" ca="1" si="22"/>
        <v>52270</v>
      </c>
      <c r="Q204" s="8" t="e">
        <f t="shared" ca="1" si="25"/>
        <v>#VALUE!</v>
      </c>
    </row>
    <row r="205" spans="6:17" s="8" customFormat="1" ht="13.2" x14ac:dyDescent="0.25">
      <c r="F205" s="34" t="str">
        <f t="shared" ca="1" si="23"/>
        <v/>
      </c>
      <c r="G205" s="23">
        <f t="shared" ca="1" si="26"/>
        <v>52298</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#DIV/0!</v>
      </c>
      <c r="M205" s="25" t="e">
        <f ca="1">IF(G205="Всього:",SUM($M$5:M204),IF($E$5="UAH",J205+L205+K205,J205+K205))</f>
        <v>#VALUE!</v>
      </c>
      <c r="N205" s="27" t="str">
        <f ca="1">IF(G205="Всього:",SUM($N$4:N204),IF($E$5="UAH","",L205))</f>
        <v/>
      </c>
      <c r="O205" s="25" t="e">
        <f t="shared" ca="1" si="21"/>
        <v>#DIV/0!</v>
      </c>
      <c r="P205" s="33">
        <f t="shared" ca="1" si="22"/>
        <v>52298</v>
      </c>
      <c r="Q205" s="8" t="e">
        <f t="shared" ca="1" si="25"/>
        <v>#VALUE!</v>
      </c>
    </row>
    <row r="206" spans="6:17" s="8" customFormat="1" ht="13.2" x14ac:dyDescent="0.25">
      <c r="F206" s="34" t="str">
        <f t="shared" ca="1" si="23"/>
        <v/>
      </c>
      <c r="G206" s="23">
        <f t="shared" ca="1" si="26"/>
        <v>52329</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#DIV/0!</v>
      </c>
      <c r="M206" s="25" t="e">
        <f ca="1">IF(G206="Всього:",SUM($M$5:M205),IF($E$5="UAH",J206+L206+K206,J206+K206))</f>
        <v>#VALUE!</v>
      </c>
      <c r="N206" s="27" t="str">
        <f ca="1">IF(G206="Всього:",SUM($N$4:N205),IF($E$5="UAH","",L206))</f>
        <v/>
      </c>
      <c r="O206" s="25" t="e">
        <f t="shared" ca="1" si="21"/>
        <v>#DIV/0!</v>
      </c>
      <c r="P206" s="33">
        <f t="shared" ca="1" si="22"/>
        <v>52329</v>
      </c>
      <c r="Q206" s="8" t="e">
        <f t="shared" ca="1" si="25"/>
        <v>#VALUE!</v>
      </c>
    </row>
    <row r="207" spans="6:17" s="8" customFormat="1" ht="13.2" x14ac:dyDescent="0.25">
      <c r="F207" s="34" t="str">
        <f t="shared" ca="1" si="23"/>
        <v/>
      </c>
      <c r="G207" s="23">
        <f t="shared" ca="1" si="26"/>
        <v>52359</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#DIV/0!</v>
      </c>
      <c r="M207" s="25" t="e">
        <f ca="1">IF(G207="Всього:",SUM($M$5:M206),IF($E$5="UAH",J207+L207+K207,J207+K207))</f>
        <v>#VALUE!</v>
      </c>
      <c r="N207" s="27" t="str">
        <f ca="1">IF(G207="Всього:",SUM($N$4:N206),IF($E$5="UAH","",L207))</f>
        <v/>
      </c>
      <c r="O207" s="25" t="e">
        <f t="shared" ca="1" si="21"/>
        <v>#DIV/0!</v>
      </c>
      <c r="P207" s="33">
        <f t="shared" ca="1" si="22"/>
        <v>52359</v>
      </c>
      <c r="Q207" s="8" t="e">
        <f t="shared" ca="1" si="25"/>
        <v>#VALUE!</v>
      </c>
    </row>
    <row r="208" spans="6:17" s="8" customFormat="1" ht="13.2" x14ac:dyDescent="0.25">
      <c r="F208" s="34" t="str">
        <f t="shared" ca="1" si="23"/>
        <v/>
      </c>
      <c r="G208" s="23">
        <f t="shared" ca="1" si="26"/>
        <v>52390</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#DIV/0!</v>
      </c>
      <c r="M208" s="25" t="e">
        <f ca="1">IF(G208="Всього:",SUM($M$5:M207),IF($E$5="UAH",J208+L208+K208,J208+K208))</f>
        <v>#VALUE!</v>
      </c>
      <c r="N208" s="27" t="str">
        <f ca="1">IF(G208="Всього:",SUM($N$4:N207),IF($E$5="UAH","",L208))</f>
        <v/>
      </c>
      <c r="O208" s="25" t="e">
        <f t="shared" ca="1" si="21"/>
        <v>#DIV/0!</v>
      </c>
      <c r="P208" s="33">
        <f t="shared" ca="1" si="22"/>
        <v>52390</v>
      </c>
      <c r="Q208" s="8" t="e">
        <f t="shared" ca="1" si="25"/>
        <v>#VALUE!</v>
      </c>
    </row>
    <row r="209" spans="6:17" s="8" customFormat="1" ht="13.2" x14ac:dyDescent="0.25">
      <c r="F209" s="34" t="str">
        <f t="shared" ca="1" si="23"/>
        <v/>
      </c>
      <c r="G209" s="23">
        <f t="shared" ca="1" si="26"/>
        <v>52420</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#DIV/0!</v>
      </c>
      <c r="M209" s="25" t="e">
        <f ca="1">IF(G209="Всього:",SUM($M$5:M208),IF($E$5="UAH",J209+L209+K209,J209+K209))</f>
        <v>#VALUE!</v>
      </c>
      <c r="N209" s="27" t="str">
        <f ca="1">IF(G209="Всього:",SUM($N$4:N208),IF($E$5="UAH","",L209))</f>
        <v/>
      </c>
      <c r="O209" s="25" t="e">
        <f t="shared" ca="1" si="21"/>
        <v>#DIV/0!</v>
      </c>
      <c r="P209" s="33">
        <f t="shared" ca="1" si="22"/>
        <v>52420</v>
      </c>
      <c r="Q209" s="8" t="e">
        <f t="shared" ca="1" si="25"/>
        <v>#VALUE!</v>
      </c>
    </row>
    <row r="210" spans="6:17" s="8" customFormat="1" ht="13.2" x14ac:dyDescent="0.25">
      <c r="F210" s="34" t="str">
        <f t="shared" ca="1" si="23"/>
        <v/>
      </c>
      <c r="G210" s="23">
        <f t="shared" ca="1" si="26"/>
        <v>52451</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#DIV/0!</v>
      </c>
      <c r="M210" s="25" t="e">
        <f ca="1">IF(G210="Всього:",SUM($M$5:M209),IF($E$5="UAH",J210+L210+K210,J210+K210))</f>
        <v>#VALUE!</v>
      </c>
      <c r="N210" s="27" t="str">
        <f ca="1">IF(G210="Всього:",SUM($N$4:N209),IF($E$5="UAH","",L210))</f>
        <v/>
      </c>
      <c r="O210" s="25" t="e">
        <f t="shared" ca="1" si="21"/>
        <v>#DIV/0!</v>
      </c>
      <c r="P210" s="33">
        <f t="shared" ca="1" si="22"/>
        <v>52451</v>
      </c>
      <c r="Q210" s="8" t="e">
        <f t="shared" ca="1" si="25"/>
        <v>#VALUE!</v>
      </c>
    </row>
    <row r="211" spans="6:17" s="8" customFormat="1" ht="13.2" x14ac:dyDescent="0.25">
      <c r="F211" s="34" t="str">
        <f t="shared" ca="1" si="23"/>
        <v/>
      </c>
      <c r="G211" s="23">
        <f t="shared" ca="1" si="26"/>
        <v>52482</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#DIV/0!</v>
      </c>
      <c r="M211" s="25" t="e">
        <f ca="1">IF(G211="Всього:",SUM($M$5:M210),IF($E$5="UAH",J211+L211+K211,J211+K211))</f>
        <v>#VALUE!</v>
      </c>
      <c r="N211" s="27" t="str">
        <f ca="1">IF(G211="Всього:",SUM($N$4:N210),IF($E$5="UAH","",L211))</f>
        <v/>
      </c>
      <c r="O211" s="25" t="e">
        <f t="shared" ca="1" si="21"/>
        <v>#DIV/0!</v>
      </c>
      <c r="P211" s="33">
        <f t="shared" ca="1" si="22"/>
        <v>52482</v>
      </c>
      <c r="Q211" s="8" t="e">
        <f t="shared" ca="1" si="25"/>
        <v>#VALUE!</v>
      </c>
    </row>
    <row r="212" spans="6:17" s="8" customFormat="1" ht="13.2" x14ac:dyDescent="0.25">
      <c r="F212" s="34" t="str">
        <f t="shared" ca="1" si="23"/>
        <v/>
      </c>
      <c r="G212" s="23">
        <f t="shared" ca="1" si="26"/>
        <v>52512</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#DIV/0!</v>
      </c>
      <c r="M212" s="25" t="e">
        <f ca="1">IF(G212="Всього:",SUM($M$5:M211),IF($E$5="UAH",J212+L212+K212,J212+K212))</f>
        <v>#VALUE!</v>
      </c>
      <c r="N212" s="27" t="str">
        <f ca="1">IF(G212="Всього:",SUM($N$4:N211),IF($E$5="UAH","",L212))</f>
        <v/>
      </c>
      <c r="O212" s="25" t="e">
        <f t="shared" ca="1" si="21"/>
        <v>#DIV/0!</v>
      </c>
      <c r="P212" s="33">
        <f t="shared" ca="1" si="22"/>
        <v>52512</v>
      </c>
      <c r="Q212" s="8" t="e">
        <f t="shared" ca="1" si="25"/>
        <v>#VALUE!</v>
      </c>
    </row>
    <row r="213" spans="6:17" s="8" customFormat="1" ht="13.2" x14ac:dyDescent="0.25">
      <c r="F213" s="34" t="str">
        <f t="shared" ca="1" si="23"/>
        <v/>
      </c>
      <c r="G213" s="23">
        <f t="shared" ca="1" si="26"/>
        <v>52543</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#DIV/0!</v>
      </c>
      <c r="M213" s="25" t="e">
        <f ca="1">IF(G213="Всього:",SUM($M$5:M212),IF($E$5="UAH",J213+L213+K213,J213+K213))</f>
        <v>#VALUE!</v>
      </c>
      <c r="N213" s="27" t="str">
        <f ca="1">IF(G213="Всього:",SUM($N$4:N212),IF($E$5="UAH","",L213))</f>
        <v/>
      </c>
      <c r="O213" s="25" t="e">
        <f t="shared" ca="1" si="21"/>
        <v>#DIV/0!</v>
      </c>
      <c r="P213" s="33">
        <f t="shared" ca="1" si="22"/>
        <v>52543</v>
      </c>
      <c r="Q213" s="8" t="e">
        <f t="shared" ca="1" si="25"/>
        <v>#VALUE!</v>
      </c>
    </row>
    <row r="214" spans="6:17" s="8" customFormat="1" ht="13.2" x14ac:dyDescent="0.25">
      <c r="F214" s="34" t="str">
        <f t="shared" ca="1" si="23"/>
        <v/>
      </c>
      <c r="G214" s="23">
        <f t="shared" ca="1" si="26"/>
        <v>52573</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#DIV/0!</v>
      </c>
      <c r="M214" s="25" t="e">
        <f ca="1">IF(G214="Всього:",SUM($M$5:M213),IF($E$5="UAH",J214+L214+K214,J214+K214))</f>
        <v>#VALUE!</v>
      </c>
      <c r="N214" s="27" t="str">
        <f ca="1">IF(G214="Всього:",SUM($N$4:N213),IF($E$5="UAH","",L214))</f>
        <v/>
      </c>
      <c r="O214" s="25" t="e">
        <f t="shared" ca="1" si="21"/>
        <v>#DIV/0!</v>
      </c>
      <c r="P214" s="33">
        <f t="shared" ca="1" si="22"/>
        <v>52573</v>
      </c>
      <c r="Q214" s="8" t="e">
        <f t="shared" ca="1" si="25"/>
        <v>#VALUE!</v>
      </c>
    </row>
    <row r="215" spans="6:17" s="8" customFormat="1" ht="13.2" x14ac:dyDescent="0.25">
      <c r="F215" s="34" t="str">
        <f t="shared" ca="1" si="23"/>
        <v/>
      </c>
      <c r="G215" s="23">
        <f t="shared" ca="1" si="26"/>
        <v>52604</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#DIV/0!</v>
      </c>
      <c r="M215" s="25" t="e">
        <f ca="1">IF(G215="Всього:",SUM($M$5:M214),IF($E$5="UAH",J215+L215+K215,J215+K215))</f>
        <v>#VALUE!</v>
      </c>
      <c r="N215" s="27" t="str">
        <f ca="1">IF(G215="Всього:",SUM($N$4:N214),IF($E$5="UAH","",L215))</f>
        <v/>
      </c>
      <c r="O215" s="25" t="e">
        <f t="shared" ca="1" si="21"/>
        <v>#DIV/0!</v>
      </c>
      <c r="P215" s="33">
        <f t="shared" ca="1" si="22"/>
        <v>52604</v>
      </c>
      <c r="Q215" s="8" t="e">
        <f t="shared" ca="1" si="25"/>
        <v>#VALUE!</v>
      </c>
    </row>
    <row r="216" spans="6:17" s="8" customFormat="1" ht="13.2" x14ac:dyDescent="0.25">
      <c r="F216" s="34" t="str">
        <f t="shared" ca="1" si="23"/>
        <v/>
      </c>
      <c r="G216" s="23">
        <f t="shared" ca="1" si="26"/>
        <v>52635</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#DIV/0!</v>
      </c>
      <c r="M216" s="25" t="e">
        <f ca="1">IF(G216="Всього:",SUM($M$5:M215),IF($E$5="UAH",J216+L216+K216,J216+K216))</f>
        <v>#VALUE!</v>
      </c>
      <c r="N216" s="27" t="str">
        <f ca="1">IF(G216="Всього:",SUM($N$4:N215),IF($E$5="UAH","",L216))</f>
        <v/>
      </c>
      <c r="O216" s="25" t="e">
        <f t="shared" ca="1" si="21"/>
        <v>#DIV/0!</v>
      </c>
      <c r="P216" s="33">
        <f t="shared" ca="1" si="22"/>
        <v>52635</v>
      </c>
      <c r="Q216" s="8" t="e">
        <f t="shared" ca="1" si="25"/>
        <v>#VALUE!</v>
      </c>
    </row>
    <row r="217" spans="6:17" s="8" customFormat="1" ht="13.2" x14ac:dyDescent="0.25">
      <c r="F217" s="34" t="str">
        <f t="shared" ca="1" si="23"/>
        <v/>
      </c>
      <c r="G217" s="23">
        <f t="shared" ca="1" si="26"/>
        <v>52664</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#DIV/0!</v>
      </c>
      <c r="M217" s="25" t="e">
        <f ca="1">IF(G217="Всього:",SUM($M$5:M216),IF($E$5="UAH",J217+L217+K217,J217+K217))</f>
        <v>#VALUE!</v>
      </c>
      <c r="N217" s="27" t="str">
        <f ca="1">IF(G217="Всього:",SUM($N$4:N216),IF($E$5="UAH","",L217))</f>
        <v/>
      </c>
      <c r="O217" s="25" t="e">
        <f t="shared" ca="1" si="21"/>
        <v>#DIV/0!</v>
      </c>
      <c r="P217" s="33">
        <f t="shared" ca="1" si="22"/>
        <v>52664</v>
      </c>
      <c r="Q217" s="8" t="e">
        <f t="shared" ca="1" si="25"/>
        <v>#VALUE!</v>
      </c>
    </row>
    <row r="218" spans="6:17" s="8" customFormat="1" ht="13.2" x14ac:dyDescent="0.25">
      <c r="F218" s="34" t="str">
        <f t="shared" ca="1" si="23"/>
        <v/>
      </c>
      <c r="G218" s="23">
        <f t="shared" ca="1" si="26"/>
        <v>52695</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#DIV/0!</v>
      </c>
      <c r="M218" s="25" t="e">
        <f ca="1">IF(G218="Всього:",SUM($M$5:M217),IF($E$5="UAH",J218+L218+K218,J218+K218))</f>
        <v>#VALUE!</v>
      </c>
      <c r="N218" s="27" t="str">
        <f ca="1">IF(G218="Всього:",SUM($N$4:N217),IF($E$5="UAH","",L218))</f>
        <v/>
      </c>
      <c r="O218" s="25" t="e">
        <f t="shared" ca="1" si="21"/>
        <v>#DIV/0!</v>
      </c>
      <c r="P218" s="33">
        <f t="shared" ca="1" si="22"/>
        <v>52695</v>
      </c>
      <c r="Q218" s="8" t="e">
        <f t="shared" ca="1" si="25"/>
        <v>#VALUE!</v>
      </c>
    </row>
    <row r="219" spans="6:17" s="8" customFormat="1" ht="13.2" x14ac:dyDescent="0.25">
      <c r="F219" s="34" t="str">
        <f t="shared" ca="1" si="23"/>
        <v/>
      </c>
      <c r="G219" s="23">
        <f t="shared" ca="1" si="26"/>
        <v>52725</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#DIV/0!</v>
      </c>
      <c r="M219" s="25" t="e">
        <f ca="1">IF(G219="Всього:",SUM($M$5:M218),IF($E$5="UAH",J219+L219+K219,J219+K219))</f>
        <v>#VALUE!</v>
      </c>
      <c r="N219" s="27" t="str">
        <f ca="1">IF(G219="Всього:",SUM($N$4:N218),IF($E$5="UAH","",L219))</f>
        <v/>
      </c>
      <c r="O219" s="25" t="e">
        <f t="shared" ca="1" si="21"/>
        <v>#DIV/0!</v>
      </c>
      <c r="P219" s="33">
        <f t="shared" ca="1" si="22"/>
        <v>52725</v>
      </c>
      <c r="Q219" s="8" t="e">
        <f t="shared" ca="1" si="25"/>
        <v>#VALUE!</v>
      </c>
    </row>
    <row r="220" spans="6:17" s="8" customFormat="1" ht="13.2" x14ac:dyDescent="0.25">
      <c r="F220" s="34" t="str">
        <f t="shared" ca="1" si="23"/>
        <v/>
      </c>
      <c r="G220" s="23">
        <f t="shared" ca="1" si="26"/>
        <v>52756</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#DIV/0!</v>
      </c>
      <c r="M220" s="25" t="e">
        <f ca="1">IF(G220="Всього:",SUM($M$5:M219),IF($E$5="UAH",J220+L220+K220,J220+K220))</f>
        <v>#VALUE!</v>
      </c>
      <c r="N220" s="27" t="str">
        <f ca="1">IF(G220="Всього:",SUM($N$4:N219),IF($E$5="UAH","",L220))</f>
        <v/>
      </c>
      <c r="O220" s="25" t="e">
        <f t="shared" ca="1" si="21"/>
        <v>#DIV/0!</v>
      </c>
      <c r="P220" s="33">
        <f t="shared" ca="1" si="22"/>
        <v>52756</v>
      </c>
      <c r="Q220" s="8" t="e">
        <f t="shared" ca="1" si="25"/>
        <v>#VALUE!</v>
      </c>
    </row>
    <row r="221" spans="6:17" s="8" customFormat="1" ht="13.2" x14ac:dyDescent="0.25">
      <c r="F221" s="34" t="str">
        <f t="shared" ca="1" si="23"/>
        <v/>
      </c>
      <c r="G221" s="23">
        <f t="shared" ca="1" si="26"/>
        <v>52786</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#DIV/0!</v>
      </c>
      <c r="M221" s="25" t="e">
        <f ca="1">IF(G221="Всього:",SUM($M$5:M220),IF($E$5="UAH",J221+L221+K221,J221+K221))</f>
        <v>#VALUE!</v>
      </c>
      <c r="N221" s="27" t="str">
        <f ca="1">IF(G221="Всього:",SUM($N$4:N220),IF($E$5="UAH","",L221))</f>
        <v/>
      </c>
      <c r="O221" s="25" t="e">
        <f t="shared" ca="1" si="21"/>
        <v>#DIV/0!</v>
      </c>
      <c r="P221" s="33">
        <f t="shared" ca="1" si="22"/>
        <v>52786</v>
      </c>
      <c r="Q221" s="8" t="e">
        <f t="shared" ca="1" si="25"/>
        <v>#VALUE!</v>
      </c>
    </row>
    <row r="222" spans="6:17" s="8" customFormat="1" ht="13.2" x14ac:dyDescent="0.25">
      <c r="F222" s="34" t="str">
        <f t="shared" ca="1" si="23"/>
        <v/>
      </c>
      <c r="G222" s="23">
        <f t="shared" ca="1" si="26"/>
        <v>52817</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#DIV/0!</v>
      </c>
      <c r="M222" s="25" t="e">
        <f ca="1">IF(G222="Всього:",SUM($M$5:M221),IF($E$5="UAH",J222+L222+K222,J222+K222))</f>
        <v>#VALUE!</v>
      </c>
      <c r="N222" s="27" t="str">
        <f ca="1">IF(G222="Всього:",SUM($N$4:N221),IF($E$5="UAH","",L222))</f>
        <v/>
      </c>
      <c r="O222" s="25" t="e">
        <f t="shared" ca="1" si="21"/>
        <v>#DIV/0!</v>
      </c>
      <c r="P222" s="33">
        <f t="shared" ca="1" si="22"/>
        <v>52817</v>
      </c>
      <c r="Q222" s="8" t="e">
        <f t="shared" ca="1" si="25"/>
        <v>#VALUE!</v>
      </c>
    </row>
    <row r="223" spans="6:17" s="8" customFormat="1" ht="13.2" x14ac:dyDescent="0.25">
      <c r="F223" s="34" t="str">
        <f t="shared" ca="1" si="23"/>
        <v/>
      </c>
      <c r="G223" s="23">
        <f t="shared" ca="1" si="26"/>
        <v>52848</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#DIV/0!</v>
      </c>
      <c r="M223" s="25" t="e">
        <f ca="1">IF(G223="Всього:",SUM($M$5:M222),IF($E$5="UAH",J223+L223+K223,J223+K223))</f>
        <v>#VALUE!</v>
      </c>
      <c r="N223" s="27" t="str">
        <f ca="1">IF(G223="Всього:",SUM($N$4:N222),IF($E$5="UAH","",L223))</f>
        <v/>
      </c>
      <c r="O223" s="25" t="e">
        <f t="shared" ca="1" si="21"/>
        <v>#DIV/0!</v>
      </c>
      <c r="P223" s="33">
        <f t="shared" ca="1" si="22"/>
        <v>52848</v>
      </c>
      <c r="Q223" s="8" t="e">
        <f t="shared" ca="1" si="25"/>
        <v>#VALUE!</v>
      </c>
    </row>
    <row r="224" spans="6:17" s="8" customFormat="1" ht="13.2" x14ac:dyDescent="0.25">
      <c r="F224" s="34" t="str">
        <f t="shared" ca="1" si="23"/>
        <v/>
      </c>
      <c r="G224" s="23">
        <f t="shared" ca="1" si="26"/>
        <v>52878</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#DIV/0!</v>
      </c>
      <c r="M224" s="25" t="e">
        <f ca="1">IF(G224="Всього:",SUM($M$5:M223),IF($E$5="UAH",J224+L224+K224,J224+K224))</f>
        <v>#VALUE!</v>
      </c>
      <c r="N224" s="27" t="str">
        <f ca="1">IF(G224="Всього:",SUM($N$4:N223),IF($E$5="UAH","",L224))</f>
        <v/>
      </c>
      <c r="O224" s="25" t="e">
        <f t="shared" ca="1" si="21"/>
        <v>#DIV/0!</v>
      </c>
      <c r="P224" s="33">
        <f t="shared" ca="1" si="22"/>
        <v>52878</v>
      </c>
      <c r="Q224" s="8" t="e">
        <f t="shared" ca="1" si="25"/>
        <v>#VALUE!</v>
      </c>
    </row>
    <row r="225" spans="6:17" s="8" customFormat="1" ht="13.2" x14ac:dyDescent="0.25">
      <c r="F225" s="34" t="str">
        <f t="shared" ca="1" si="23"/>
        <v/>
      </c>
      <c r="G225" s="23">
        <f t="shared" ca="1" si="26"/>
        <v>52909</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#DIV/0!</v>
      </c>
      <c r="M225" s="25" t="e">
        <f ca="1">IF(G225="Всього:",SUM($M$5:M224),IF($E$5="UAH",J225+L225+K225,J225+K225))</f>
        <v>#VALUE!</v>
      </c>
      <c r="N225" s="27" t="str">
        <f ca="1">IF(G225="Всього:",SUM($N$4:N224),IF($E$5="UAH","",L225))</f>
        <v/>
      </c>
      <c r="O225" s="25" t="e">
        <f t="shared" ca="1" si="21"/>
        <v>#DIV/0!</v>
      </c>
      <c r="P225" s="33">
        <f t="shared" ca="1" si="22"/>
        <v>52909</v>
      </c>
      <c r="Q225" s="8" t="e">
        <f t="shared" ca="1" si="25"/>
        <v>#VALUE!</v>
      </c>
    </row>
    <row r="226" spans="6:17" s="8" customFormat="1" ht="13.2" x14ac:dyDescent="0.25">
      <c r="F226" s="34" t="str">
        <f t="shared" ca="1" si="23"/>
        <v/>
      </c>
      <c r="G226" s="23">
        <f t="shared" ca="1" si="26"/>
        <v>52939</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#DIV/0!</v>
      </c>
      <c r="M226" s="25" t="e">
        <f ca="1">IF(G226="Всього:",SUM($M$5:M225),IF($E$5="UAH",J226+L226+K226,J226+K226))</f>
        <v>#VALUE!</v>
      </c>
      <c r="N226" s="27" t="str">
        <f ca="1">IF(G226="Всього:",SUM($N$4:N225),IF($E$5="UAH","",L226))</f>
        <v/>
      </c>
      <c r="O226" s="25" t="e">
        <f t="shared" ca="1" si="21"/>
        <v>#DIV/0!</v>
      </c>
      <c r="P226" s="33">
        <f t="shared" ca="1" si="22"/>
        <v>52939</v>
      </c>
      <c r="Q226" s="8" t="e">
        <f t="shared" ca="1" si="25"/>
        <v>#VALUE!</v>
      </c>
    </row>
    <row r="227" spans="6:17" s="8" customFormat="1" ht="13.2" x14ac:dyDescent="0.25">
      <c r="F227" s="34" t="str">
        <f t="shared" ca="1" si="23"/>
        <v/>
      </c>
      <c r="G227" s="23">
        <f t="shared" ca="1" si="26"/>
        <v>52970</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#DIV/0!</v>
      </c>
      <c r="M227" s="25" t="e">
        <f ca="1">IF(G227="Всього:",SUM($M$5:M226),IF($E$5="UAH",J227+L227+K227,J227+K227))</f>
        <v>#VALUE!</v>
      </c>
      <c r="N227" s="27" t="str">
        <f ca="1">IF(G227="Всього:",SUM($N$4:N226),IF($E$5="UAH","",L227))</f>
        <v/>
      </c>
      <c r="O227" s="25" t="e">
        <f t="shared" ca="1" si="21"/>
        <v>#DIV/0!</v>
      </c>
      <c r="P227" s="33">
        <f t="shared" ca="1" si="22"/>
        <v>52970</v>
      </c>
      <c r="Q227" s="8" t="e">
        <f t="shared" ca="1" si="25"/>
        <v>#VALUE!</v>
      </c>
    </row>
    <row r="228" spans="6:17" s="8" customFormat="1" ht="13.2" x14ac:dyDescent="0.25">
      <c r="F228" s="34" t="str">
        <f t="shared" ca="1" si="23"/>
        <v/>
      </c>
      <c r="G228" s="23">
        <f t="shared" ca="1" si="26"/>
        <v>53001</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#DIV/0!</v>
      </c>
      <c r="M228" s="25" t="e">
        <f ca="1">IF(G228="Всього:",SUM($M$5:M227),IF($E$5="UAH",J228+L228+K228,J228+K228))</f>
        <v>#VALUE!</v>
      </c>
      <c r="N228" s="27" t="str">
        <f ca="1">IF(G228="Всього:",SUM($N$4:N227),IF($E$5="UAH","",L228))</f>
        <v/>
      </c>
      <c r="O228" s="25" t="e">
        <f t="shared" ca="1" si="21"/>
        <v>#DIV/0!</v>
      </c>
      <c r="P228" s="33">
        <f t="shared" ca="1" si="22"/>
        <v>53001</v>
      </c>
      <c r="Q228" s="8" t="e">
        <f t="shared" ca="1" si="25"/>
        <v>#VALUE!</v>
      </c>
    </row>
    <row r="229" spans="6:17" s="8" customFormat="1" ht="13.2" x14ac:dyDescent="0.25">
      <c r="F229" s="34" t="str">
        <f t="shared" ca="1" si="23"/>
        <v/>
      </c>
      <c r="G229" s="23">
        <f t="shared" ca="1" si="26"/>
        <v>53029</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#DIV/0!</v>
      </c>
      <c r="M229" s="25" t="e">
        <f ca="1">IF(G229="Всього:",SUM($M$5:M228),IF($E$5="UAH",J229+L229+K229,J229+K229))</f>
        <v>#VALUE!</v>
      </c>
      <c r="N229" s="27" t="str">
        <f ca="1">IF(G229="Всього:",SUM($N$4:N228),IF($E$5="UAH","",L229))</f>
        <v/>
      </c>
      <c r="O229" s="25" t="e">
        <f t="shared" ca="1" si="21"/>
        <v>#DIV/0!</v>
      </c>
      <c r="P229" s="33">
        <f t="shared" ca="1" si="22"/>
        <v>53029</v>
      </c>
      <c r="Q229" s="8" t="e">
        <f t="shared" ca="1" si="25"/>
        <v>#VALUE!</v>
      </c>
    </row>
    <row r="230" spans="6:17" s="8" customFormat="1" ht="13.2" x14ac:dyDescent="0.25">
      <c r="F230" s="34" t="str">
        <f t="shared" ca="1" si="23"/>
        <v/>
      </c>
      <c r="G230" s="23">
        <f t="shared" ca="1" si="26"/>
        <v>53060</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#DIV/0!</v>
      </c>
      <c r="M230" s="25" t="e">
        <f ca="1">IF(G230="Всього:",SUM($M$5:M229),IF($E$5="UAH",J230+L230+K230,J230+K230))</f>
        <v>#VALUE!</v>
      </c>
      <c r="N230" s="27" t="str">
        <f ca="1">IF(G230="Всього:",SUM($N$4:N229),IF($E$5="UAH","",L230))</f>
        <v/>
      </c>
      <c r="O230" s="25" t="e">
        <f t="shared" ca="1" si="21"/>
        <v>#DIV/0!</v>
      </c>
      <c r="P230" s="33">
        <f t="shared" ca="1" si="22"/>
        <v>53060</v>
      </c>
      <c r="Q230" s="8" t="e">
        <f t="shared" ca="1" si="25"/>
        <v>#VALUE!</v>
      </c>
    </row>
    <row r="231" spans="6:17" s="8" customFormat="1" ht="13.2" x14ac:dyDescent="0.25">
      <c r="F231" s="34" t="str">
        <f t="shared" ca="1" si="23"/>
        <v/>
      </c>
      <c r="G231" s="23">
        <f t="shared" ca="1" si="26"/>
        <v>53090</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#DIV/0!</v>
      </c>
      <c r="M231" s="25" t="e">
        <f ca="1">IF(G231="Всього:",SUM($M$5:M230),IF($E$5="UAH",J231+L231+K231,J231+K231))</f>
        <v>#VALUE!</v>
      </c>
      <c r="N231" s="27" t="str">
        <f ca="1">IF(G231="Всього:",SUM($N$4:N230),IF($E$5="UAH","",L231))</f>
        <v/>
      </c>
      <c r="O231" s="25" t="e">
        <f t="shared" ca="1" si="21"/>
        <v>#DIV/0!</v>
      </c>
      <c r="P231" s="33">
        <f t="shared" ca="1" si="22"/>
        <v>53090</v>
      </c>
      <c r="Q231" s="8" t="e">
        <f t="shared" ca="1" si="25"/>
        <v>#VALUE!</v>
      </c>
    </row>
    <row r="232" spans="6:17" s="8" customFormat="1" ht="13.2" x14ac:dyDescent="0.25">
      <c r="F232" s="34" t="str">
        <f t="shared" ca="1" si="23"/>
        <v/>
      </c>
      <c r="G232" s="23">
        <f t="shared" ca="1" si="26"/>
        <v>53121</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#DIV/0!</v>
      </c>
      <c r="M232" s="25" t="e">
        <f ca="1">IF(G232="Всього:",SUM($M$5:M231),IF($E$5="UAH",J232+L232+K232,J232+K232))</f>
        <v>#VALUE!</v>
      </c>
      <c r="N232" s="27" t="str">
        <f ca="1">IF(G232="Всього:",SUM($N$4:N231),IF($E$5="UAH","",L232))</f>
        <v/>
      </c>
      <c r="O232" s="25" t="e">
        <f t="shared" ca="1" si="21"/>
        <v>#DIV/0!</v>
      </c>
      <c r="P232" s="33">
        <f t="shared" ca="1" si="22"/>
        <v>53121</v>
      </c>
      <c r="Q232" s="8" t="e">
        <f t="shared" ca="1" si="25"/>
        <v>#VALUE!</v>
      </c>
    </row>
    <row r="233" spans="6:17" s="8" customFormat="1" ht="13.2" x14ac:dyDescent="0.25">
      <c r="F233" s="34" t="str">
        <f t="shared" ca="1" si="23"/>
        <v/>
      </c>
      <c r="G233" s="23">
        <f t="shared" ca="1" si="26"/>
        <v>53151</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#DIV/0!</v>
      </c>
      <c r="M233" s="25" t="e">
        <f ca="1">IF(G233="Всього:",SUM($M$5:M232),IF($E$5="UAH",J233+L233+K233,J233+K233))</f>
        <v>#VALUE!</v>
      </c>
      <c r="N233" s="27" t="str">
        <f ca="1">IF(G233="Всього:",SUM($N$4:N232),IF($E$5="UAH","",L233))</f>
        <v/>
      </c>
      <c r="O233" s="25" t="e">
        <f t="shared" ca="1" si="21"/>
        <v>#DIV/0!</v>
      </c>
      <c r="P233" s="33">
        <f t="shared" ca="1" si="22"/>
        <v>53151</v>
      </c>
      <c r="Q233" s="8" t="e">
        <f t="shared" ca="1" si="25"/>
        <v>#VALUE!</v>
      </c>
    </row>
    <row r="234" spans="6:17" s="8" customFormat="1" ht="13.2" x14ac:dyDescent="0.25">
      <c r="F234" s="34" t="str">
        <f t="shared" ca="1" si="23"/>
        <v/>
      </c>
      <c r="G234" s="23">
        <f t="shared" ca="1" si="26"/>
        <v>53182</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#DIV/0!</v>
      </c>
      <c r="M234" s="25" t="e">
        <f ca="1">IF(G234="Всього:",SUM($M$5:M233),IF($E$5="UAH",J234+L234+K234,J234+K234))</f>
        <v>#VALUE!</v>
      </c>
      <c r="N234" s="27" t="str">
        <f ca="1">IF(G234="Всього:",SUM($N$4:N233),IF($E$5="UAH","",L234))</f>
        <v/>
      </c>
      <c r="O234" s="25" t="e">
        <f t="shared" ca="1" si="21"/>
        <v>#DIV/0!</v>
      </c>
      <c r="P234" s="33">
        <f t="shared" ca="1" si="22"/>
        <v>53182</v>
      </c>
      <c r="Q234" s="8" t="e">
        <f t="shared" ca="1" si="25"/>
        <v>#VALUE!</v>
      </c>
    </row>
    <row r="235" spans="6:17" s="8" customFormat="1" ht="13.2" x14ac:dyDescent="0.25">
      <c r="F235" s="34" t="str">
        <f t="shared" ca="1" si="23"/>
        <v/>
      </c>
      <c r="G235" s="23">
        <f t="shared" ca="1" si="26"/>
        <v>53213</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#DIV/0!</v>
      </c>
      <c r="M235" s="25" t="e">
        <f ca="1">IF(G235="Всього:",SUM($M$5:M234),IF($E$5="UAH",J235+L235+K235,J235+K235))</f>
        <v>#VALUE!</v>
      </c>
      <c r="N235" s="27" t="str">
        <f ca="1">IF(G235="Всього:",SUM($N$4:N234),IF($E$5="UAH","",L235))</f>
        <v/>
      </c>
      <c r="O235" s="25" t="e">
        <f t="shared" ca="1" si="21"/>
        <v>#DIV/0!</v>
      </c>
      <c r="P235" s="33">
        <f t="shared" ca="1" si="22"/>
        <v>53213</v>
      </c>
      <c r="Q235" s="8" t="e">
        <f t="shared" ca="1" si="25"/>
        <v>#VALUE!</v>
      </c>
    </row>
    <row r="236" spans="6:17" s="8" customFormat="1" ht="13.2" x14ac:dyDescent="0.25">
      <c r="F236" s="34" t="str">
        <f t="shared" ca="1" si="23"/>
        <v/>
      </c>
      <c r="G236" s="23">
        <f t="shared" ca="1" si="26"/>
        <v>53243</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#DIV/0!</v>
      </c>
      <c r="M236" s="25" t="e">
        <f ca="1">IF(G236="Всього:",SUM($M$5:M235),IF($E$5="UAH",J236+L236+K236,J236+K236))</f>
        <v>#VALUE!</v>
      </c>
      <c r="N236" s="27" t="str">
        <f ca="1">IF(G236="Всього:",SUM($N$4:N235),IF($E$5="UAH","",L236))</f>
        <v/>
      </c>
      <c r="O236" s="25" t="e">
        <f t="shared" ca="1" si="21"/>
        <v>#DIV/0!</v>
      </c>
      <c r="P236" s="33">
        <f t="shared" ca="1" si="22"/>
        <v>53243</v>
      </c>
      <c r="Q236" s="8" t="e">
        <f t="shared" ca="1" si="25"/>
        <v>#VALUE!</v>
      </c>
    </row>
    <row r="237" spans="6:17" s="8" customFormat="1" ht="13.2" x14ac:dyDescent="0.25">
      <c r="F237" s="34" t="str">
        <f t="shared" ca="1" si="23"/>
        <v/>
      </c>
      <c r="G237" s="23">
        <f t="shared" ca="1" si="26"/>
        <v>53274</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#DIV/0!</v>
      </c>
      <c r="M237" s="25" t="e">
        <f ca="1">IF(G237="Всього:",SUM($M$5:M236),IF($E$5="UAH",J237+L237+K237,J237+K237))</f>
        <v>#VALUE!</v>
      </c>
      <c r="N237" s="27" t="str">
        <f ca="1">IF(G237="Всього:",SUM($N$4:N236),IF($E$5="UAH","",L237))</f>
        <v/>
      </c>
      <c r="O237" s="25" t="e">
        <f t="shared" ca="1" si="21"/>
        <v>#DIV/0!</v>
      </c>
      <c r="P237" s="33">
        <f t="shared" ca="1" si="22"/>
        <v>53274</v>
      </c>
      <c r="Q237" s="8" t="e">
        <f t="shared" ca="1" si="25"/>
        <v>#VALUE!</v>
      </c>
    </row>
    <row r="238" spans="6:17" s="8" customFormat="1" ht="13.2" x14ac:dyDescent="0.25">
      <c r="F238" s="34" t="str">
        <f t="shared" ca="1" si="23"/>
        <v/>
      </c>
      <c r="G238" s="23">
        <f t="shared" ca="1" si="26"/>
        <v>53304</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#DIV/0!</v>
      </c>
      <c r="M238" s="25" t="e">
        <f ca="1">IF(G238="Всього:",SUM($M$5:M237),IF($E$5="UAH",J238+L238+K238,J238+K238))</f>
        <v>#VALUE!</v>
      </c>
      <c r="N238" s="27" t="str">
        <f ca="1">IF(G238="Всього:",SUM($N$4:N237),IF($E$5="UAH","",L238))</f>
        <v/>
      </c>
      <c r="O238" s="25" t="e">
        <f t="shared" ca="1" si="21"/>
        <v>#DIV/0!</v>
      </c>
      <c r="P238" s="33">
        <f t="shared" ca="1" si="22"/>
        <v>53304</v>
      </c>
      <c r="Q238" s="8" t="e">
        <f t="shared" ca="1" si="25"/>
        <v>#VALUE!</v>
      </c>
    </row>
    <row r="239" spans="6:17" s="8" customFormat="1" ht="13.2" x14ac:dyDescent="0.25">
      <c r="F239" s="34" t="str">
        <f t="shared" ca="1" si="23"/>
        <v/>
      </c>
      <c r="G239" s="23">
        <f t="shared" ca="1" si="26"/>
        <v>53335</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#DIV/0!</v>
      </c>
      <c r="M239" s="25" t="e">
        <f ca="1">IF(G239="Всього:",SUM($M$5:M238),IF($E$5="UAH",J239+L239+K239,J239+K239))</f>
        <v>#VALUE!</v>
      </c>
      <c r="N239" s="27" t="str">
        <f ca="1">IF(G239="Всього:",SUM($N$4:N238),IF($E$5="UAH","",L239))</f>
        <v/>
      </c>
      <c r="O239" s="25" t="e">
        <f t="shared" ca="1" si="21"/>
        <v>#DIV/0!</v>
      </c>
      <c r="P239" s="33">
        <f t="shared" ca="1" si="22"/>
        <v>53335</v>
      </c>
      <c r="Q239" s="8" t="e">
        <f t="shared" ca="1" si="25"/>
        <v>#VALUE!</v>
      </c>
    </row>
    <row r="240" spans="6:17" s="8" customFormat="1" ht="13.2" x14ac:dyDescent="0.25">
      <c r="F240" s="34" t="str">
        <f t="shared" ca="1" si="23"/>
        <v/>
      </c>
      <c r="G240" s="23">
        <f t="shared" ca="1" si="26"/>
        <v>53366</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#DIV/0!</v>
      </c>
      <c r="M240" s="25" t="e">
        <f ca="1">IF(G240="Всього:",SUM($M$5:M239),IF($E$5="UAH",J240+L240+K240,J240+K240))</f>
        <v>#VALUE!</v>
      </c>
      <c r="N240" s="27" t="str">
        <f ca="1">IF(G240="Всього:",SUM($N$4:N239),IF($E$5="UAH","",L240))</f>
        <v/>
      </c>
      <c r="O240" s="25" t="e">
        <f t="shared" ca="1" si="21"/>
        <v>#DIV/0!</v>
      </c>
      <c r="P240" s="33">
        <f t="shared" ca="1" si="22"/>
        <v>53366</v>
      </c>
      <c r="Q240" s="8" t="e">
        <f t="shared" ca="1" si="25"/>
        <v>#VALUE!</v>
      </c>
    </row>
    <row r="241" spans="6:17" s="8" customFormat="1" ht="13.2" x14ac:dyDescent="0.25">
      <c r="F241" s="34" t="str">
        <f t="shared" ca="1" si="23"/>
        <v/>
      </c>
      <c r="G241" s="23">
        <f t="shared" ca="1" si="26"/>
        <v>53394</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#DIV/0!</v>
      </c>
      <c r="M241" s="25" t="e">
        <f ca="1">IF(G241="Всього:",SUM($M$5:M240),IF($E$5="UAH",J241+L241+K241,J241+K241))</f>
        <v>#VALUE!</v>
      </c>
      <c r="N241" s="27" t="str">
        <f ca="1">IF(G241="Всього:",SUM($N$4:N240),IF($E$5="UAH","",L241))</f>
        <v/>
      </c>
      <c r="O241" s="25" t="e">
        <f t="shared" ca="1" si="21"/>
        <v>#DIV/0!</v>
      </c>
      <c r="P241" s="33">
        <f t="shared" ca="1" si="22"/>
        <v>53394</v>
      </c>
      <c r="Q241" s="8" t="e">
        <f t="shared" ca="1" si="25"/>
        <v>#VALUE!</v>
      </c>
    </row>
    <row r="242" spans="6:17" s="8" customFormat="1" ht="13.2" x14ac:dyDescent="0.25">
      <c r="F242" s="34" t="str">
        <f t="shared" ca="1" si="23"/>
        <v/>
      </c>
      <c r="G242" s="23">
        <f t="shared" ca="1" si="26"/>
        <v>53425</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#DIV/0!</v>
      </c>
      <c r="M242" s="25" t="e">
        <f ca="1">IF(G242="Всього:",SUM($M$5:M241),IF($E$5="UAH",J242+L242+K242,J242+K242))</f>
        <v>#VALUE!</v>
      </c>
      <c r="N242" s="27" t="str">
        <f ca="1">IF(G242="Всього:",SUM($N$4:N241),IF($E$5="UAH","",L242))</f>
        <v/>
      </c>
      <c r="O242" s="25" t="e">
        <f t="shared" ca="1" si="21"/>
        <v>#DIV/0!</v>
      </c>
      <c r="P242" s="33">
        <f t="shared" ca="1" si="22"/>
        <v>53425</v>
      </c>
      <c r="Q242" s="8" t="e">
        <f t="shared" ca="1" si="25"/>
        <v>#VALUE!</v>
      </c>
    </row>
    <row r="243" spans="6:17" s="8" customFormat="1" ht="13.2" x14ac:dyDescent="0.25">
      <c r="F243" s="34" t="str">
        <f t="shared" ca="1" si="23"/>
        <v/>
      </c>
      <c r="G243" s="23">
        <f t="shared" ca="1" si="26"/>
        <v>53455</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#DIV/0!</v>
      </c>
      <c r="M243" s="25" t="e">
        <f ca="1">IF(G243="Всього:",SUM($M$5:M242),IF($E$5="UAH",J243+L243+K243,J243+K243))</f>
        <v>#VALUE!</v>
      </c>
      <c r="N243" s="27" t="str">
        <f ca="1">IF(G243="Всього:",SUM($N$4:N242),IF($E$5="UAH","",L243))</f>
        <v/>
      </c>
      <c r="O243" s="25" t="e">
        <f t="shared" ca="1" si="21"/>
        <v>#DIV/0!</v>
      </c>
      <c r="P243" s="33">
        <f t="shared" ca="1" si="22"/>
        <v>53455</v>
      </c>
      <c r="Q243" s="8" t="e">
        <f t="shared" ca="1" si="25"/>
        <v>#VALUE!</v>
      </c>
    </row>
    <row r="244" spans="6:17" s="8" customFormat="1" ht="13.2" x14ac:dyDescent="0.25">
      <c r="F244" s="34" t="str">
        <f t="shared" ca="1" si="23"/>
        <v/>
      </c>
      <c r="G244" s="23">
        <f t="shared" ca="1" si="26"/>
        <v>53486</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#DIV/0!</v>
      </c>
      <c r="M244" s="25" t="e">
        <f ca="1">IF(G244="Всього:",SUM($M$5:M243),IF($E$5="UAH",J244+L244+K244,J244+K244))</f>
        <v>#VALUE!</v>
      </c>
      <c r="N244" s="27" t="str">
        <f ca="1">IF(G244="Всього:",SUM($N$4:N243),IF($E$5="UAH","",L244))</f>
        <v/>
      </c>
      <c r="O244" s="25" t="e">
        <f t="shared" ca="1" si="21"/>
        <v>#DIV/0!</v>
      </c>
      <c r="P244" s="33">
        <f t="shared" ca="1" si="22"/>
        <v>53486</v>
      </c>
      <c r="Q244" s="8" t="e">
        <f t="shared" ca="1" si="25"/>
        <v>#VALUE!</v>
      </c>
    </row>
    <row r="245" spans="6:17" s="8" customFormat="1" ht="13.2" x14ac:dyDescent="0.25">
      <c r="F245" s="34" t="str">
        <f t="shared" ca="1" si="23"/>
        <v/>
      </c>
      <c r="G245" s="23">
        <f t="shared" ca="1" si="26"/>
        <v>53516</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#DIV/0!</v>
      </c>
      <c r="M245" s="25" t="e">
        <f ca="1">IF(G245="Всього:",SUM($M$5:M244),IF($E$5="UAH",J245+L245+K245,J245+K245))</f>
        <v>#VALUE!</v>
      </c>
      <c r="N245" s="27" t="str">
        <f ca="1">IF(G245="Всього:",SUM($N$4:N244),IF($E$5="UAH","",L245))</f>
        <v/>
      </c>
      <c r="O245" s="25" t="e">
        <f t="shared" ca="1" si="21"/>
        <v>#DIV/0!</v>
      </c>
      <c r="P245" s="33">
        <f t="shared" ca="1" si="22"/>
        <v>53516</v>
      </c>
      <c r="Q245" s="8" t="e">
        <f t="shared" ca="1" si="25"/>
        <v>#VALUE!</v>
      </c>
    </row>
    <row r="246" spans="6:17" s="8" customFormat="1" ht="13.2" x14ac:dyDescent="0.25">
      <c r="F246" s="34" t="str">
        <f t="shared" ca="1" si="23"/>
        <v/>
      </c>
      <c r="G246" s="23">
        <f t="shared" ca="1" si="26"/>
        <v>53547</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#DIV/0!</v>
      </c>
      <c r="M246" s="25" t="e">
        <f ca="1">IF(G246="Всього:",SUM($M$5:M245),IF($E$5="UAH",J246+L246+K246,J246+K246))</f>
        <v>#VALUE!</v>
      </c>
      <c r="N246" s="27" t="str">
        <f ca="1">IF(G246="Всього:",SUM($N$4:N245),IF($E$5="UAH","",L246))</f>
        <v/>
      </c>
      <c r="O246" s="25" t="e">
        <f t="shared" ca="1" si="21"/>
        <v>#DIV/0!</v>
      </c>
      <c r="P246" s="33">
        <f t="shared" ca="1" si="22"/>
        <v>53547</v>
      </c>
      <c r="Q246" s="8" t="e">
        <f t="shared" ca="1" si="25"/>
        <v>#VALUE!</v>
      </c>
    </row>
    <row r="247" spans="6:17" s="8" customFormat="1" ht="13.2" x14ac:dyDescent="0.25">
      <c r="F247" s="34" t="str">
        <f t="shared" ca="1" si="23"/>
        <v/>
      </c>
      <c r="G247" s="23">
        <f t="shared" ca="1" si="26"/>
        <v>53578</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#DIV/0!</v>
      </c>
      <c r="M247" s="25" t="e">
        <f ca="1">IF(G247="Всього:",SUM($M$5:M246),IF($E$5="UAH",J247+L247+K247,J247+K247))</f>
        <v>#VALUE!</v>
      </c>
      <c r="N247" s="27" t="str">
        <f ca="1">IF(G247="Всього:",SUM($N$4:N246),IF($E$5="UAH","",L247))</f>
        <v/>
      </c>
      <c r="O247" s="25" t="e">
        <f t="shared" ca="1" si="21"/>
        <v>#DIV/0!</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conditionalFormatting sqref="B16:E16">
    <cfRule type="containsBlanks" dxfId="60" priority="8">
      <formula>LEN(TRIM(B16))=0</formula>
    </cfRule>
  </conditionalFormatting>
  <conditionalFormatting sqref="F5:F248 G6:G248">
    <cfRule type="expression" dxfId="59" priority="19" stopIfTrue="1">
      <formula>IF($G5="Всього:",TRUE,FALSE)</formula>
    </cfRule>
    <cfRule type="expression" dxfId="58" priority="20" stopIfTrue="1">
      <formula>IF($G4="Всього:",TRUE,FALSE)</formula>
    </cfRule>
    <cfRule type="expression" dxfId="57" priority="21" stopIfTrue="1">
      <formula>IF(IF($I$5=0,$H5&gt;$E$3+2,$H5&gt;$E$3+1),TRUE,FALSE)</formula>
    </cfRule>
  </conditionalFormatting>
  <conditionalFormatting sqref="H5:H248">
    <cfRule type="expression" dxfId="56" priority="22" stopIfTrue="1">
      <formula>IF($G5="Всього:",TRUE,FALSE)</formula>
    </cfRule>
    <cfRule type="expression" dxfId="55" priority="23" stopIfTrue="1">
      <formula>IF($G4="Всього:",TRUE,FALSE)</formula>
    </cfRule>
    <cfRule type="expression" dxfId="54" priority="24" stopIfTrue="1">
      <formula>IF(IF($I$5=0,$H5&gt;$E$3+2,$H5&gt;$E$3+1),TRUE,FALSE)</formula>
    </cfRule>
  </conditionalFormatting>
  <conditionalFormatting sqref="I5:I248">
    <cfRule type="expression" dxfId="53" priority="16" stopIfTrue="1">
      <formula>IF($G5="Всього:",TRUE,FALSE)</formula>
    </cfRule>
    <cfRule type="expression" dxfId="52" priority="17" stopIfTrue="1">
      <formula>IF($G4="Всього:",TRUE,FALSE)</formula>
    </cfRule>
    <cfRule type="expression" dxfId="51" priority="18" stopIfTrue="1">
      <formula>IF(IF($J$5=0,$H5&gt;$E$3+2,$H5&gt;$E$3+1),TRUE,FALSE)</formula>
    </cfRule>
  </conditionalFormatting>
  <conditionalFormatting sqref="J5:K5 N5:N248 J6:M248">
    <cfRule type="expression" dxfId="50" priority="10" stopIfTrue="1">
      <formula>IF($G5="Всього:",TRUE,FALSE)</formula>
    </cfRule>
    <cfRule type="expression" dxfId="49" priority="11" stopIfTrue="1">
      <formula>IF($G4="Всього:",TRUE,FALSE)</formula>
    </cfRule>
    <cfRule type="expression" dxfId="48" priority="12" stopIfTrue="1">
      <formula>IF(IF($J$5=0,$H5&gt;$E$3+2,$H5&gt;$E$3+1),TRUE,FALSE)</formula>
    </cfRule>
  </conditionalFormatting>
  <conditionalFormatting sqref="L5">
    <cfRule type="expression" dxfId="47" priority="9" stopIfTrue="1">
      <formula>IF($G4="Всього:",TRUE,FALSE)</formula>
    </cfRule>
  </conditionalFormatting>
  <conditionalFormatting sqref="O6:O248">
    <cfRule type="expression" dxfId="46" priority="13" stopIfTrue="1">
      <formula>IF($G6="Всього:",TRUE,FALSE)</formula>
    </cfRule>
    <cfRule type="expression" dxfId="45" priority="14" stopIfTrue="1">
      <formula>IF($G5="Всього:",TRUE,FALSE)</formula>
    </cfRule>
    <cfRule type="expression" dxfId="44"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H1548"/>
  <sheetViews>
    <sheetView tabSelected="1" view="pageBreakPreview" topLeftCell="A2" zoomScale="70" zoomScaleNormal="80" zoomScaleSheetLayoutView="70" zoomScalePageLayoutView="70" workbookViewId="0">
      <selection activeCell="E12" sqref="E12:F12"/>
    </sheetView>
  </sheetViews>
  <sheetFormatPr defaultColWidth="9.33203125" defaultRowHeight="14.4" x14ac:dyDescent="0.3"/>
  <cols>
    <col min="1" max="1" width="0.5546875" style="46" customWidth="1"/>
    <col min="2" max="2" width="3.33203125" style="41" customWidth="1"/>
    <col min="3" max="3" width="6.5546875" style="41" customWidth="1"/>
    <col min="4" max="4" width="22.5546875" style="41" customWidth="1"/>
    <col min="5" max="5" width="8.6640625" style="41" customWidth="1"/>
    <col min="6" max="6" width="16.44140625" style="41" customWidth="1"/>
    <col min="7" max="7" width="6.44140625" style="41" customWidth="1"/>
    <col min="8" max="8" width="12.5546875" style="47" customWidth="1"/>
    <col min="9" max="9" width="2.44140625" style="48" hidden="1" customWidth="1"/>
    <col min="10" max="10" width="4" style="3" hidden="1" customWidth="1"/>
    <col min="11" max="11" width="2" style="41" hidden="1" customWidth="1"/>
    <col min="12" max="12" width="22.6640625"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5546875" style="62" hidden="1" customWidth="1"/>
    <col min="29" max="30" width="9.33203125" style="62" hidden="1" customWidth="1"/>
    <col min="31" max="31" width="13.44140625" style="62" hidden="1" customWidth="1"/>
    <col min="32" max="36" width="9.33203125" style="62" hidden="1" customWidth="1"/>
    <col min="37" max="37" width="14.5546875" style="62" hidden="1" customWidth="1"/>
    <col min="38" max="39" width="9.33203125" style="62" hidden="1" customWidth="1"/>
    <col min="40" max="40" width="12.554687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60" width="9.33203125" style="41" hidden="1" customWidth="1"/>
    <col min="61" max="77" width="9.33203125" style="41" customWidth="1"/>
    <col min="78" max="16384" width="9.33203125" style="41"/>
  </cols>
  <sheetData>
    <row r="1" spans="1:52" ht="141" customHeight="1" thickBot="1" x14ac:dyDescent="0.35">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c r="AZ1" s="41">
        <v>0</v>
      </c>
    </row>
    <row r="2" spans="1:52" ht="46.35" customHeight="1" thickBot="1" x14ac:dyDescent="0.4">
      <c r="A2" s="43"/>
      <c r="B2" s="304" t="s">
        <v>224</v>
      </c>
      <c r="C2" s="305"/>
      <c r="D2" s="305"/>
      <c r="E2" s="306" t="s">
        <v>526</v>
      </c>
      <c r="F2" s="307"/>
      <c r="G2" s="170"/>
      <c r="H2" s="170"/>
      <c r="I2" s="170"/>
      <c r="J2" s="171"/>
      <c r="K2" s="172"/>
      <c r="L2" s="308" t="s">
        <v>226</v>
      </c>
      <c r="M2" s="309"/>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213" t="s">
        <v>227</v>
      </c>
      <c r="P2" s="63" t="e">
        <f>IF(N7="ні",N6,0)</f>
        <v>#VALUE!</v>
      </c>
      <c r="R2" s="70">
        <v>12</v>
      </c>
      <c r="S2" s="67"/>
      <c r="T2" s="71"/>
      <c r="U2" s="72" t="s">
        <v>228</v>
      </c>
      <c r="V2" s="71"/>
      <c r="W2" s="73">
        <f>IF(AND(V3=1,W3=1),2,0)</f>
        <v>0</v>
      </c>
      <c r="X2" s="169">
        <f>IF(OR(E4=0,AND(F8=0,F10=0),E12=0),1,0)</f>
        <v>1</v>
      </c>
      <c r="Y2" s="67"/>
      <c r="Z2" s="199" t="s">
        <v>229</v>
      </c>
      <c r="AA2" s="198" t="s">
        <v>230</v>
      </c>
      <c r="AC2" s="310" t="s">
        <v>231</v>
      </c>
      <c r="AD2" s="311"/>
      <c r="AE2" s="311"/>
      <c r="AF2" s="311"/>
      <c r="AG2" s="311"/>
      <c r="AH2" s="311"/>
      <c r="AI2" s="311"/>
      <c r="AJ2" s="312"/>
      <c r="AL2" s="290" t="s">
        <v>231</v>
      </c>
      <c r="AM2" s="291"/>
      <c r="AN2" s="291"/>
      <c r="AO2" s="291"/>
      <c r="AP2" s="291"/>
      <c r="AQ2" s="291"/>
      <c r="AR2" s="291"/>
      <c r="AS2" s="291"/>
      <c r="AT2" s="292"/>
      <c r="AV2" s="75"/>
      <c r="AW2" s="63" t="b">
        <f>IF(E12=R8,N8+AW16+AW28+AW40+AW52+AW64+AW76,IF(E12=R7,N8+AW16+AW28+AW40+AW52+AW64,IF(E12=R6,N8+AW16+AW28+AW40+AW52,IF(E12=R5,N8+AW16+AW28+AW40,IF(E12=R4,N8+AW16+AW28,IF(E12=R3,N8+AW16,IF(E12=R2,N8)))))))</f>
        <v>0</v>
      </c>
      <c r="AX2" s="63" t="b">
        <f>IF(E12=R8,#REF!+AX16+AX28+AX40+AX52+AX64+AX76,IF(E12=R7,#REF!+AX16+AX28+AX40+AX52+AX64,IF(E12=R6,#REF!+AX16+AX28+AX40+AX52,IF(E12=R5,#REF!+AX16+AX28+AX40,IF(E12=R4,#REF!+AX16+AX28,IF(E12=R3,#REF!+AX16,IF(E12=R2,#REF!)))))))</f>
        <v>0</v>
      </c>
      <c r="AZ2" s="216">
        <v>1E-4</v>
      </c>
    </row>
    <row r="3" spans="1:52" ht="41.4" customHeight="1" thickBot="1" x14ac:dyDescent="0.4">
      <c r="A3" s="50"/>
      <c r="B3" s="173"/>
      <c r="C3" s="173"/>
      <c r="D3" s="173"/>
      <c r="E3" s="173"/>
      <c r="F3" s="173"/>
      <c r="G3" s="170"/>
      <c r="H3" s="173"/>
      <c r="I3" s="173"/>
      <c r="J3" s="173"/>
      <c r="K3" s="173"/>
      <c r="L3" s="303"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грн",""))))),IF(X4=3,0,IF(R16&gt;60000000,"Сума кредиту не може перевищувати 6 000 000 грн",IF(R16&lt;100000,"Сума кредиту не може бути менше 100 000 грн","")))))</f>
        <v>#DIV/0!</v>
      </c>
      <c r="M3" s="303"/>
      <c r="N3" s="303"/>
      <c r="R3" s="70">
        <v>24</v>
      </c>
      <c r="S3" s="76"/>
      <c r="T3" s="73" t="b">
        <v>0</v>
      </c>
      <c r="U3" s="77" t="s">
        <v>232</v>
      </c>
      <c r="V3" s="73">
        <f>IF(E2="",0,1)</f>
        <v>1</v>
      </c>
      <c r="W3" s="73">
        <f>IF(E4="",0,1)</f>
        <v>0</v>
      </c>
      <c r="X3" s="73">
        <f>IF(AND(F8=0,F10=0),0,IF(AND(F8&gt;0,F10=""),1,IF(AND(F8=0,F10&gt;0),2,3)))</f>
        <v>0</v>
      </c>
      <c r="Y3" s="67"/>
      <c r="Z3" s="133">
        <f>Z16+Z28+Z40+Z52+Z64+Z76</f>
        <v>0</v>
      </c>
      <c r="AA3" s="196" t="e">
        <f>-N2+R36+R37+R38+R39+R40</f>
        <v>#DIV/0!</v>
      </c>
      <c r="AB3" s="195">
        <f ca="1">V19</f>
        <v>46181</v>
      </c>
      <c r="AC3" s="293" t="s">
        <v>182</v>
      </c>
      <c r="AD3" s="294"/>
      <c r="AE3" s="79" t="s">
        <v>233</v>
      </c>
      <c r="AF3" s="79" t="s">
        <v>234</v>
      </c>
      <c r="AG3" s="295" t="s">
        <v>235</v>
      </c>
      <c r="AH3" s="296"/>
      <c r="AI3" s="295" t="s">
        <v>236</v>
      </c>
      <c r="AJ3" s="296"/>
      <c r="AK3" s="80" t="s">
        <v>237</v>
      </c>
      <c r="AL3" s="293" t="s">
        <v>182</v>
      </c>
      <c r="AM3" s="294"/>
      <c r="AN3" s="79" t="s">
        <v>233</v>
      </c>
      <c r="AO3" s="79" t="s">
        <v>234</v>
      </c>
      <c r="AP3" s="295" t="s">
        <v>235</v>
      </c>
      <c r="AQ3" s="296"/>
      <c r="AR3" s="295" t="s">
        <v>236</v>
      </c>
      <c r="AS3" s="296"/>
      <c r="AT3" s="79" t="s">
        <v>188</v>
      </c>
      <c r="AU3" s="81" t="e">
        <f>-N2+N8+#REF!+N12+N6+#REF!</f>
        <v>#DIV/0!</v>
      </c>
      <c r="AZ3" s="216">
        <v>2.0000000000000001E-4</v>
      </c>
    </row>
    <row r="4" spans="1:52" ht="30" customHeight="1" thickBot="1" x14ac:dyDescent="0.4">
      <c r="A4" s="42"/>
      <c r="B4" s="304" t="s">
        <v>238</v>
      </c>
      <c r="C4" s="305"/>
      <c r="D4" s="321"/>
      <c r="E4" s="315"/>
      <c r="F4" s="316"/>
      <c r="G4" s="170"/>
      <c r="H4" s="174"/>
      <c r="I4" s="174"/>
      <c r="K4" s="207"/>
      <c r="L4" s="253" t="s">
        <v>239</v>
      </c>
      <c r="M4" s="265"/>
      <c r="N4" s="176" t="str">
        <f>IF(X4=1,F8/E4,IF(X4=2,E4/100*F10,""))</f>
        <v/>
      </c>
      <c r="O4" s="213" t="s">
        <v>240</v>
      </c>
      <c r="P4" s="63">
        <f>IF(N9="ні",N8,0)</f>
        <v>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#VALUE!</v>
      </c>
      <c r="AB4" s="185">
        <f ca="1">IF(AND(DAY(V19)&lt;=15,$V$20&gt;DAY(V19)),DATE(YEAR(V19),MONTH(V19),IF($V$20&lt;&gt;"",DAY(IF($V$20&gt;DAY(EOMONTH(V19,0)),EOMONTH(V19,0),$V$20)),DAY(1))),DATE(YEAR(V19),MONTH(V19)+1,IF($V$20&lt;&gt;"",DAY(IF($V$20&gt;DAY(EOMONTH(V19,1)),EOMONTH(V19,1),$V$20)),DAY(1))))</f>
        <v>46211</v>
      </c>
      <c r="AC4" s="297">
        <v>1</v>
      </c>
      <c r="AD4" s="298"/>
      <c r="AE4" s="83" t="e">
        <f>IF($U$2=$X$17,PPMT($E$14/1200,AC4,$E$12,-$N$2))</f>
        <v>#VALUE!</v>
      </c>
      <c r="AF4" s="84"/>
      <c r="AG4" s="319" t="e">
        <f>IF($AE$4=0,$N$2*($E$14/100)*(AB4-$V$19+1)/360,IPMT($E$14/1200,AC4,$E$12,-$N$2))</f>
        <v>#VALUE!</v>
      </c>
      <c r="AH4" s="320"/>
      <c r="AI4" s="313" t="e">
        <f>AG4+AE4</f>
        <v>#VALUE!</v>
      </c>
      <c r="AJ4" s="314"/>
      <c r="AK4" s="85">
        <f ca="1">DATE(YEAR($V$19),MONTH($V$19)+1,DAY(1)-1)</f>
        <v>46203</v>
      </c>
      <c r="AL4" s="297">
        <v>1</v>
      </c>
      <c r="AM4" s="298"/>
      <c r="AN4" s="86" t="e">
        <f ca="1">IF($V$20&gt;15,0,$N$2/$E$12)</f>
        <v>#DIV/0!</v>
      </c>
      <c r="AO4" s="87"/>
      <c r="AP4" s="299" t="e">
        <f ca="1">IF(AN4=0,$N$2*($E$14/100)*(AK4-$V$19+1)/360,$N$2*$E$14/100*31/360)</f>
        <v>#DIV/0!</v>
      </c>
      <c r="AQ4" s="300"/>
      <c r="AR4" s="301" t="e">
        <f ca="1">AP4</f>
        <v>#DIV/0!</v>
      </c>
      <c r="AS4" s="302"/>
      <c r="AT4" s="87"/>
      <c r="AU4" s="75" t="e">
        <f>AI4</f>
        <v>#VALUE!</v>
      </c>
      <c r="AZ4" s="216">
        <v>2.9999999999999997E-4</v>
      </c>
    </row>
    <row r="5" spans="1:52" ht="7.35" customHeight="1" thickBot="1" x14ac:dyDescent="0.4">
      <c r="A5" s="48"/>
      <c r="B5" s="174"/>
      <c r="C5" s="174"/>
      <c r="D5" s="174"/>
      <c r="E5" s="174"/>
      <c r="F5" s="174"/>
      <c r="G5" s="170"/>
      <c r="H5" s="174"/>
      <c r="I5" s="174"/>
      <c r="J5" s="174"/>
      <c r="K5" s="174"/>
      <c r="L5" s="174"/>
      <c r="M5" s="174"/>
      <c r="N5" s="174"/>
      <c r="R5" s="88">
        <v>48</v>
      </c>
      <c r="T5" s="71"/>
      <c r="V5" s="71"/>
      <c r="W5" s="78"/>
      <c r="X5" s="71"/>
      <c r="Y5" s="67"/>
      <c r="AA5" s="196" t="str">
        <f t="shared" ref="AA5:AA68" si="0">AI5</f>
        <v>-</v>
      </c>
      <c r="AB5" s="185" t="str">
        <f>IF(AC5&gt;$V$26,"-",IF($V$26=AC5,$V$25,DATE(YEAR(AB4),MONTH(AB4)+1,IF($V$20&lt;&gt;"",DAY(IF($V$20&gt;DAY(EOMONTH(AB4,1)),EOMONTH(AB4,1),$V$20)),DAY(1)))))</f>
        <v>-</v>
      </c>
      <c r="AC5" s="278">
        <v>2</v>
      </c>
      <c r="AD5" s="279"/>
      <c r="AE5" s="83" t="str">
        <f>IF(AC5&gt;$V$26,"-",IF($AE$4=0,PPMT($E$14/1200,AC4,$E$12,-$N$2),PPMT($E$14/1200,AC5,$E$12,-$N$2)))</f>
        <v>-</v>
      </c>
      <c r="AF5" s="84"/>
      <c r="AG5" s="280" t="str">
        <f>IF(AC5&gt;$V$26,"-",IF($AE$4=0,IPMT($E$14/1200,AC4,$E$12,-$N$2),IPMT($E$14/1200,AC5,$E$12,-$N$2)))</f>
        <v>-</v>
      </c>
      <c r="AH5" s="281"/>
      <c r="AI5" s="282" t="str">
        <f>IF(AC5&gt;$V$26,"-",AG5+AE5)</f>
        <v>-</v>
      </c>
      <c r="AJ5" s="283"/>
      <c r="AK5" s="85">
        <f t="shared" ref="AK5:AK68" ca="1" si="1">IF(AL5="","",DATE(YEAR(AK4),MONTH(AK4)+2,DAY(1)-1))</f>
        <v>46234</v>
      </c>
      <c r="AL5" s="278">
        <v>2</v>
      </c>
      <c r="AM5" s="279"/>
      <c r="AN5" s="86" t="e">
        <f t="shared" ref="AN5:AN68" si="2">$N$2/$E$12</f>
        <v>#DIV/0!</v>
      </c>
      <c r="AO5" s="87"/>
      <c r="AP5" s="284" t="e">
        <f t="shared" ref="AP5:AP68" ca="1" si="3">AT5*$E$14/100*(AK5-AK4)/360</f>
        <v>#DIV/0!</v>
      </c>
      <c r="AQ5" s="285"/>
      <c r="AR5" s="286" t="e">
        <f t="shared" ref="AR5:AR68" ca="1" si="4">AN5+AP5</f>
        <v>#DIV/0!</v>
      </c>
      <c r="AS5" s="287"/>
      <c r="AT5" s="87" t="e">
        <f ca="1">$N$2-AN4</f>
        <v>#DIV/0!</v>
      </c>
      <c r="AU5" s="75" t="str">
        <f t="shared" ref="AU5:AU68" si="5">AI5</f>
        <v>-</v>
      </c>
      <c r="AZ5" s="216">
        <v>4.0000000000000002E-4</v>
      </c>
    </row>
    <row r="6" spans="1:52" ht="23.1" customHeight="1" thickBot="1" x14ac:dyDescent="0.4">
      <c r="A6" s="48"/>
      <c r="B6" s="304" t="s">
        <v>241</v>
      </c>
      <c r="C6" s="305"/>
      <c r="D6" s="321"/>
      <c r="E6" s="322"/>
      <c r="F6" s="323"/>
      <c r="G6" s="170"/>
      <c r="H6" s="174"/>
      <c r="I6" s="170"/>
      <c r="J6" s="171"/>
      <c r="K6" s="172"/>
      <c r="L6" s="317" t="s">
        <v>213</v>
      </c>
      <c r="M6" s="318"/>
      <c r="N6" s="211" t="e">
        <f>R37</f>
        <v>#VALUE!</v>
      </c>
      <c r="O6" s="213" t="s">
        <v>227</v>
      </c>
      <c r="R6" s="89">
        <v>60</v>
      </c>
      <c r="T6" s="71"/>
      <c r="W6" s="78"/>
      <c r="X6" s="71"/>
      <c r="Y6" s="67"/>
      <c r="AA6" s="196" t="str">
        <f t="shared" si="0"/>
        <v>-</v>
      </c>
      <c r="AB6" s="185" t="str">
        <f t="shared" ref="AB6:AB69" si="6">IF(AC6&gt;$V$26,"-",IF($V$26=AC6,$V$25,DATE(YEAR(AB5),MONTH(AB5)+1,IF($V$20&lt;&gt;"",DAY(IF($V$20&gt;DAY(EOMONTH(AB5,1)),EOMONTH(AB5,1),$V$20)),DAY(1)))))</f>
        <v>-</v>
      </c>
      <c r="AC6" s="278">
        <v>3</v>
      </c>
      <c r="AD6" s="279"/>
      <c r="AE6" s="83" t="str">
        <f t="shared" ref="AE6:AE69" si="7">IF(AC6&gt;$V$26,"-",IF($AE$4=0,PPMT($E$14/1200,AC5,$E$12,-$N$2),PPMT($E$14/1200,AC6,$E$12,-$N$2)))</f>
        <v>-</v>
      </c>
      <c r="AF6" s="84"/>
      <c r="AG6" s="280" t="str">
        <f t="shared" ref="AG6:AG69" si="8">IF(AC6&gt;$V$26,"-",IF($AE$4=0,IPMT($E$14/1200,AC5,$E$12,-$N$2),IPMT($E$14/1200,AC6,$E$12,-$N$2)))</f>
        <v>-</v>
      </c>
      <c r="AH6" s="281"/>
      <c r="AI6" s="282" t="str">
        <f t="shared" ref="AI6:AI69" si="9">IF(AC6&gt;$V$26,"-",AG6+AE6)</f>
        <v>-</v>
      </c>
      <c r="AJ6" s="283"/>
      <c r="AK6" s="85">
        <f t="shared" ca="1" si="1"/>
        <v>46265</v>
      </c>
      <c r="AL6" s="278">
        <v>3</v>
      </c>
      <c r="AM6" s="279"/>
      <c r="AN6" s="86" t="e">
        <f t="shared" si="2"/>
        <v>#DIV/0!</v>
      </c>
      <c r="AO6" s="87"/>
      <c r="AP6" s="284" t="e">
        <f t="shared" ca="1" si="3"/>
        <v>#DIV/0!</v>
      </c>
      <c r="AQ6" s="285"/>
      <c r="AR6" s="286" t="e">
        <f t="shared" ca="1" si="4"/>
        <v>#DIV/0!</v>
      </c>
      <c r="AS6" s="287"/>
      <c r="AT6" s="87" t="e">
        <f t="shared" ref="AT6:AT69" ca="1" si="10">AT5-AN5</f>
        <v>#DIV/0!</v>
      </c>
      <c r="AU6" s="75" t="str">
        <f t="shared" si="5"/>
        <v>-</v>
      </c>
      <c r="AZ6" s="216">
        <v>5.0000000000000001E-4</v>
      </c>
    </row>
    <row r="7" spans="1:52" ht="21.6" customHeight="1" thickBot="1" x14ac:dyDescent="0.4">
      <c r="A7" s="48"/>
      <c r="B7" s="174"/>
      <c r="C7" s="174"/>
      <c r="D7" s="174"/>
      <c r="E7" s="174"/>
      <c r="F7" s="174"/>
      <c r="G7" s="170"/>
      <c r="H7" s="170"/>
      <c r="I7" s="170"/>
      <c r="J7" s="170"/>
      <c r="K7" s="170"/>
      <c r="L7" s="288" t="s">
        <v>242</v>
      </c>
      <c r="M7" s="289"/>
      <c r="N7" s="212" t="s">
        <v>243</v>
      </c>
      <c r="R7" s="70">
        <v>72</v>
      </c>
      <c r="T7" s="90"/>
      <c r="U7" s="90"/>
      <c r="V7" s="90"/>
      <c r="X7" s="71"/>
      <c r="Y7" s="67"/>
      <c r="AA7" s="196" t="str">
        <f t="shared" si="0"/>
        <v>-</v>
      </c>
      <c r="AB7" s="185" t="str">
        <f t="shared" si="6"/>
        <v>-</v>
      </c>
      <c r="AC7" s="278">
        <v>4</v>
      </c>
      <c r="AD7" s="279"/>
      <c r="AE7" s="83" t="str">
        <f t="shared" si="7"/>
        <v>-</v>
      </c>
      <c r="AF7" s="84"/>
      <c r="AG7" s="280" t="str">
        <f t="shared" si="8"/>
        <v>-</v>
      </c>
      <c r="AH7" s="281"/>
      <c r="AI7" s="282" t="str">
        <f t="shared" si="9"/>
        <v>-</v>
      </c>
      <c r="AJ7" s="283"/>
      <c r="AK7" s="85">
        <f t="shared" ca="1" si="1"/>
        <v>46295</v>
      </c>
      <c r="AL7" s="278">
        <v>4</v>
      </c>
      <c r="AM7" s="279"/>
      <c r="AN7" s="86" t="e">
        <f t="shared" si="2"/>
        <v>#DIV/0!</v>
      </c>
      <c r="AO7" s="87"/>
      <c r="AP7" s="284" t="e">
        <f t="shared" ca="1" si="3"/>
        <v>#DIV/0!</v>
      </c>
      <c r="AQ7" s="285"/>
      <c r="AR7" s="286" t="e">
        <f t="shared" ca="1" si="4"/>
        <v>#DIV/0!</v>
      </c>
      <c r="AS7" s="287"/>
      <c r="AT7" s="87" t="e">
        <f t="shared" ca="1" si="10"/>
        <v>#DIV/0!</v>
      </c>
      <c r="AU7" s="75" t="str">
        <f t="shared" si="5"/>
        <v>-</v>
      </c>
      <c r="AZ7" s="216">
        <v>5.9999999999999995E-4</v>
      </c>
    </row>
    <row r="8" spans="1:52" ht="34.200000000000003" customHeight="1" thickBot="1" x14ac:dyDescent="0.4">
      <c r="A8" s="48"/>
      <c r="B8" s="227" t="s">
        <v>244</v>
      </c>
      <c r="C8" s="228"/>
      <c r="D8" s="229"/>
      <c r="E8" s="175" t="s">
        <v>245</v>
      </c>
      <c r="F8" s="214"/>
      <c r="G8" s="170"/>
      <c r="H8" s="170"/>
      <c r="I8" s="170"/>
      <c r="J8" s="171"/>
      <c r="K8" s="172"/>
      <c r="L8" s="215" t="s">
        <v>246</v>
      </c>
      <c r="M8" s="217">
        <v>6.7900000000000002E-2</v>
      </c>
      <c r="N8" s="211">
        <f>R38</f>
        <v>0</v>
      </c>
      <c r="R8" s="91">
        <v>84</v>
      </c>
      <c r="AA8" s="196" t="str">
        <f t="shared" si="0"/>
        <v>-</v>
      </c>
      <c r="AB8" s="185" t="str">
        <f t="shared" si="6"/>
        <v>-</v>
      </c>
      <c r="AC8" s="278">
        <v>5</v>
      </c>
      <c r="AD8" s="279"/>
      <c r="AE8" s="83" t="str">
        <f t="shared" si="7"/>
        <v>-</v>
      </c>
      <c r="AF8" s="84"/>
      <c r="AG8" s="280" t="str">
        <f t="shared" si="8"/>
        <v>-</v>
      </c>
      <c r="AH8" s="281"/>
      <c r="AI8" s="282" t="str">
        <f t="shared" si="9"/>
        <v>-</v>
      </c>
      <c r="AJ8" s="283"/>
      <c r="AK8" s="85">
        <f t="shared" ca="1" si="1"/>
        <v>46326</v>
      </c>
      <c r="AL8" s="278">
        <v>5</v>
      </c>
      <c r="AM8" s="279"/>
      <c r="AN8" s="86" t="e">
        <f t="shared" si="2"/>
        <v>#DIV/0!</v>
      </c>
      <c r="AO8" s="87"/>
      <c r="AP8" s="284" t="e">
        <f t="shared" ca="1" si="3"/>
        <v>#DIV/0!</v>
      </c>
      <c r="AQ8" s="285"/>
      <c r="AR8" s="286" t="e">
        <f t="shared" ca="1" si="4"/>
        <v>#DIV/0!</v>
      </c>
      <c r="AS8" s="287"/>
      <c r="AT8" s="87" t="e">
        <f t="shared" ca="1" si="10"/>
        <v>#DIV/0!</v>
      </c>
      <c r="AU8" s="75" t="str">
        <f t="shared" si="5"/>
        <v>-</v>
      </c>
      <c r="AZ8" s="216">
        <v>6.9999999999999999E-4</v>
      </c>
    </row>
    <row r="9" spans="1:52" ht="40.5" customHeight="1" thickBot="1" x14ac:dyDescent="0.4">
      <c r="A9" s="48"/>
      <c r="B9" s="230"/>
      <c r="C9" s="231"/>
      <c r="D9" s="232"/>
      <c r="E9" s="225" t="s">
        <v>247</v>
      </c>
      <c r="F9" s="226"/>
      <c r="G9" s="174"/>
      <c r="H9" s="174"/>
      <c r="I9" s="174"/>
      <c r="J9" s="174"/>
      <c r="K9" s="174"/>
      <c r="L9" s="223" t="s">
        <v>248</v>
      </c>
      <c r="M9" s="224"/>
      <c r="N9" s="212" t="s">
        <v>243</v>
      </c>
      <c r="O9" s="62"/>
      <c r="Q9" s="62" t="s">
        <v>103</v>
      </c>
      <c r="R9" s="62" t="e">
        <f>R16/E4</f>
        <v>#DIV/0!</v>
      </c>
      <c r="U9" s="209" t="s">
        <v>514</v>
      </c>
      <c r="V9" s="148" t="e">
        <f>E4-V14+V10+V12</f>
        <v>#VALUE!</v>
      </c>
      <c r="AA9" s="196" t="str">
        <f t="shared" si="0"/>
        <v>-</v>
      </c>
      <c r="AB9" s="185" t="str">
        <f t="shared" si="6"/>
        <v>-</v>
      </c>
      <c r="AC9" s="278">
        <v>6</v>
      </c>
      <c r="AD9" s="279"/>
      <c r="AE9" s="83" t="str">
        <f t="shared" si="7"/>
        <v>-</v>
      </c>
      <c r="AF9" s="84"/>
      <c r="AG9" s="280" t="str">
        <f t="shared" si="8"/>
        <v>-</v>
      </c>
      <c r="AH9" s="281"/>
      <c r="AI9" s="282" t="str">
        <f t="shared" si="9"/>
        <v>-</v>
      </c>
      <c r="AJ9" s="283"/>
      <c r="AK9" s="85">
        <f t="shared" ca="1" si="1"/>
        <v>46356</v>
      </c>
      <c r="AL9" s="278">
        <v>6</v>
      </c>
      <c r="AM9" s="279"/>
      <c r="AN9" s="86" t="e">
        <f t="shared" si="2"/>
        <v>#DIV/0!</v>
      </c>
      <c r="AO9" s="87"/>
      <c r="AP9" s="284" t="e">
        <f t="shared" ca="1" si="3"/>
        <v>#DIV/0!</v>
      </c>
      <c r="AQ9" s="285"/>
      <c r="AR9" s="286" t="e">
        <f t="shared" ca="1" si="4"/>
        <v>#DIV/0!</v>
      </c>
      <c r="AS9" s="287"/>
      <c r="AT9" s="87" t="e">
        <f t="shared" ca="1" si="10"/>
        <v>#DIV/0!</v>
      </c>
      <c r="AU9" s="75" t="str">
        <f t="shared" si="5"/>
        <v>-</v>
      </c>
      <c r="AZ9" s="216">
        <v>8.0000000000000004E-4</v>
      </c>
    </row>
    <row r="10" spans="1:52" ht="22.35" customHeight="1" thickBot="1" x14ac:dyDescent="0.4">
      <c r="A10" s="48"/>
      <c r="B10" s="233"/>
      <c r="C10" s="234"/>
      <c r="D10" s="235"/>
      <c r="E10" s="175" t="s">
        <v>191</v>
      </c>
      <c r="F10" s="177"/>
      <c r="G10" s="170"/>
      <c r="H10" s="174"/>
      <c r="I10" s="174"/>
      <c r="J10" s="174"/>
      <c r="K10" s="174"/>
      <c r="L10" s="237" t="s">
        <v>250</v>
      </c>
      <c r="M10" s="238"/>
      <c r="N10" s="241">
        <f>Z3</f>
        <v>0</v>
      </c>
      <c r="O10" s="62"/>
      <c r="U10" s="62" t="s">
        <v>229</v>
      </c>
      <c r="V10" s="62">
        <f>IF(N9="так",N8,0)</f>
        <v>0</v>
      </c>
      <c r="AA10" s="196" t="str">
        <f t="shared" si="0"/>
        <v>-</v>
      </c>
      <c r="AB10" s="185" t="str">
        <f t="shared" si="6"/>
        <v>-</v>
      </c>
      <c r="AC10" s="278">
        <v>7</v>
      </c>
      <c r="AD10" s="279"/>
      <c r="AE10" s="83" t="str">
        <f t="shared" si="7"/>
        <v>-</v>
      </c>
      <c r="AF10" s="84"/>
      <c r="AG10" s="280" t="str">
        <f t="shared" si="8"/>
        <v>-</v>
      </c>
      <c r="AH10" s="281"/>
      <c r="AI10" s="282" t="str">
        <f t="shared" si="9"/>
        <v>-</v>
      </c>
      <c r="AJ10" s="283"/>
      <c r="AK10" s="85">
        <f t="shared" ca="1" si="1"/>
        <v>46387</v>
      </c>
      <c r="AL10" s="278">
        <v>7</v>
      </c>
      <c r="AM10" s="279"/>
      <c r="AN10" s="86" t="e">
        <f t="shared" si="2"/>
        <v>#DIV/0!</v>
      </c>
      <c r="AO10" s="87"/>
      <c r="AP10" s="284" t="e">
        <f t="shared" ca="1" si="3"/>
        <v>#DIV/0!</v>
      </c>
      <c r="AQ10" s="285"/>
      <c r="AR10" s="286" t="e">
        <f t="shared" ca="1" si="4"/>
        <v>#DIV/0!</v>
      </c>
      <c r="AS10" s="287"/>
      <c r="AT10" s="87" t="e">
        <f t="shared" ca="1" si="10"/>
        <v>#DIV/0!</v>
      </c>
      <c r="AU10" s="75" t="str">
        <f t="shared" si="5"/>
        <v>-</v>
      </c>
      <c r="AZ10" s="216">
        <v>8.9999999999999998E-4</v>
      </c>
    </row>
    <row r="11" spans="1:52" ht="9" customHeight="1" thickBot="1" x14ac:dyDescent="0.4">
      <c r="A11" s="48"/>
      <c r="B11" s="173"/>
      <c r="C11" s="173"/>
      <c r="D11" s="173"/>
      <c r="E11" s="170"/>
      <c r="F11" s="170"/>
      <c r="G11" s="170"/>
      <c r="H11" s="174"/>
      <c r="I11" s="174"/>
      <c r="J11" s="174"/>
      <c r="K11" s="174"/>
      <c r="L11" s="239"/>
      <c r="M11" s="240"/>
      <c r="N11" s="242"/>
      <c r="O11" s="62"/>
      <c r="R11" s="92" t="s">
        <v>251</v>
      </c>
      <c r="S11" s="93"/>
      <c r="AA11" s="196" t="str">
        <f t="shared" si="0"/>
        <v>-</v>
      </c>
      <c r="AB11" s="185" t="str">
        <f t="shared" si="6"/>
        <v>-</v>
      </c>
      <c r="AC11" s="278">
        <v>8</v>
      </c>
      <c r="AD11" s="279"/>
      <c r="AE11" s="83" t="str">
        <f t="shared" si="7"/>
        <v>-</v>
      </c>
      <c r="AF11" s="84"/>
      <c r="AG11" s="280" t="str">
        <f t="shared" si="8"/>
        <v>-</v>
      </c>
      <c r="AH11" s="281"/>
      <c r="AI11" s="282" t="str">
        <f t="shared" si="9"/>
        <v>-</v>
      </c>
      <c r="AJ11" s="283"/>
      <c r="AK11" s="85">
        <f t="shared" ca="1" si="1"/>
        <v>46418</v>
      </c>
      <c r="AL11" s="278">
        <v>8</v>
      </c>
      <c r="AM11" s="279"/>
      <c r="AN11" s="86" t="e">
        <f t="shared" si="2"/>
        <v>#DIV/0!</v>
      </c>
      <c r="AO11" s="87"/>
      <c r="AP11" s="284" t="e">
        <f t="shared" ca="1" si="3"/>
        <v>#DIV/0!</v>
      </c>
      <c r="AQ11" s="285"/>
      <c r="AR11" s="286" t="e">
        <f t="shared" ca="1" si="4"/>
        <v>#DIV/0!</v>
      </c>
      <c r="AS11" s="287"/>
      <c r="AT11" s="87" t="e">
        <f t="shared" ca="1" si="10"/>
        <v>#DIV/0!</v>
      </c>
      <c r="AU11" s="75" t="str">
        <f t="shared" si="5"/>
        <v>-</v>
      </c>
      <c r="AZ11" s="216">
        <v>1E-3</v>
      </c>
    </row>
    <row r="12" spans="1:52" ht="18" thickBot="1" x14ac:dyDescent="0.4">
      <c r="A12" s="48"/>
      <c r="B12" s="253" t="s">
        <v>252</v>
      </c>
      <c r="C12" s="254"/>
      <c r="D12" s="254"/>
      <c r="E12" s="275"/>
      <c r="F12" s="276"/>
      <c r="G12" s="173"/>
      <c r="H12" s="173"/>
      <c r="I12" s="173"/>
      <c r="J12" s="173"/>
      <c r="K12" s="173"/>
      <c r="L12" s="173"/>
      <c r="M12" s="173"/>
      <c r="N12" s="173"/>
      <c r="O12" s="62"/>
      <c r="Q12" s="94"/>
      <c r="R12" s="95">
        <v>0</v>
      </c>
      <c r="S12" s="94"/>
      <c r="T12" s="94"/>
      <c r="U12" s="94" t="s">
        <v>515</v>
      </c>
      <c r="V12" s="62">
        <v>0</v>
      </c>
      <c r="AA12" s="196" t="str">
        <f t="shared" si="0"/>
        <v>-</v>
      </c>
      <c r="AB12" s="185" t="str">
        <f t="shared" si="6"/>
        <v>-</v>
      </c>
      <c r="AC12" s="278">
        <v>9</v>
      </c>
      <c r="AD12" s="279"/>
      <c r="AE12" s="83" t="str">
        <f t="shared" si="7"/>
        <v>-</v>
      </c>
      <c r="AF12" s="84"/>
      <c r="AG12" s="280" t="str">
        <f t="shared" si="8"/>
        <v>-</v>
      </c>
      <c r="AH12" s="281"/>
      <c r="AI12" s="282" t="str">
        <f t="shared" si="9"/>
        <v>-</v>
      </c>
      <c r="AJ12" s="283"/>
      <c r="AK12" s="85">
        <f t="shared" ca="1" si="1"/>
        <v>46446</v>
      </c>
      <c r="AL12" s="278">
        <v>9</v>
      </c>
      <c r="AM12" s="279"/>
      <c r="AN12" s="86" t="e">
        <f t="shared" si="2"/>
        <v>#DIV/0!</v>
      </c>
      <c r="AO12" s="87"/>
      <c r="AP12" s="284" t="e">
        <f t="shared" ca="1" si="3"/>
        <v>#DIV/0!</v>
      </c>
      <c r="AQ12" s="285"/>
      <c r="AR12" s="286" t="e">
        <f t="shared" ca="1" si="4"/>
        <v>#DIV/0!</v>
      </c>
      <c r="AS12" s="287"/>
      <c r="AT12" s="87" t="e">
        <f t="shared" ca="1" si="10"/>
        <v>#DIV/0!</v>
      </c>
      <c r="AU12" s="75" t="str">
        <f t="shared" si="5"/>
        <v>-</v>
      </c>
      <c r="AZ12" s="216">
        <v>1.1000000000000001E-3</v>
      </c>
    </row>
    <row r="13" spans="1:52" ht="11.1" customHeight="1" thickBot="1" x14ac:dyDescent="0.4">
      <c r="A13" s="48"/>
      <c r="B13" s="173"/>
      <c r="C13" s="173"/>
      <c r="D13" s="173"/>
      <c r="E13" s="170"/>
      <c r="F13" s="170"/>
      <c r="G13" s="170"/>
      <c r="H13" s="170"/>
      <c r="I13" s="170"/>
      <c r="J13" s="170"/>
      <c r="K13" s="170"/>
      <c r="L13" s="245" t="s">
        <v>253</v>
      </c>
      <c r="M13" s="246"/>
      <c r="N13" s="324" t="b">
        <f>AG88</f>
        <v>0</v>
      </c>
      <c r="O13" s="148" t="e">
        <f>N18-N21</f>
        <v>#VALUE!</v>
      </c>
      <c r="Q13" s="96"/>
      <c r="R13" s="97">
        <f>IF(R12=0,0%,5.99%)</f>
        <v>0</v>
      </c>
      <c r="S13" s="96"/>
      <c r="T13" s="96"/>
      <c r="U13" s="96"/>
      <c r="AA13" s="196" t="str">
        <f t="shared" si="0"/>
        <v>-</v>
      </c>
      <c r="AB13" s="185" t="str">
        <f t="shared" si="6"/>
        <v>-</v>
      </c>
      <c r="AC13" s="278">
        <v>10</v>
      </c>
      <c r="AD13" s="279"/>
      <c r="AE13" s="83" t="str">
        <f t="shared" si="7"/>
        <v>-</v>
      </c>
      <c r="AF13" s="84"/>
      <c r="AG13" s="280" t="str">
        <f t="shared" si="8"/>
        <v>-</v>
      </c>
      <c r="AH13" s="281"/>
      <c r="AI13" s="282" t="str">
        <f t="shared" si="9"/>
        <v>-</v>
      </c>
      <c r="AJ13" s="283"/>
      <c r="AK13" s="85">
        <f t="shared" ca="1" si="1"/>
        <v>46477</v>
      </c>
      <c r="AL13" s="278">
        <v>10</v>
      </c>
      <c r="AM13" s="279"/>
      <c r="AN13" s="86" t="e">
        <f t="shared" si="2"/>
        <v>#DIV/0!</v>
      </c>
      <c r="AO13" s="87"/>
      <c r="AP13" s="284" t="e">
        <f t="shared" ca="1" si="3"/>
        <v>#DIV/0!</v>
      </c>
      <c r="AQ13" s="285"/>
      <c r="AR13" s="286" t="e">
        <f t="shared" ca="1" si="4"/>
        <v>#DIV/0!</v>
      </c>
      <c r="AS13" s="287"/>
      <c r="AT13" s="87" t="e">
        <f t="shared" ca="1" si="10"/>
        <v>#DIV/0!</v>
      </c>
      <c r="AU13" s="75" t="str">
        <f t="shared" si="5"/>
        <v>-</v>
      </c>
      <c r="AZ13" s="216">
        <v>1.1999999999999999E-3</v>
      </c>
    </row>
    <row r="14" spans="1:52" ht="19.5" customHeight="1" thickBot="1" x14ac:dyDescent="0.4">
      <c r="A14" s="48"/>
      <c r="B14" s="253" t="s">
        <v>254</v>
      </c>
      <c r="C14" s="254"/>
      <c r="D14" s="265"/>
      <c r="E14" s="266" t="str">
        <f>IF(R33=0,"",R33)</f>
        <v/>
      </c>
      <c r="F14" s="267"/>
      <c r="G14" s="170"/>
      <c r="H14" s="170"/>
      <c r="I14" s="170"/>
      <c r="J14" s="170"/>
      <c r="K14" s="170"/>
      <c r="L14" s="247"/>
      <c r="M14" s="248"/>
      <c r="N14" s="242"/>
      <c r="O14" s="98"/>
      <c r="R14" s="62" t="s">
        <v>172</v>
      </c>
      <c r="U14" s="62" t="s">
        <v>244</v>
      </c>
      <c r="V14" s="62" t="str">
        <f>IF(F8&gt;0,F8,N4)</f>
        <v/>
      </c>
      <c r="X14" s="99" t="s">
        <v>255</v>
      </c>
      <c r="AA14" s="196" t="str">
        <f t="shared" si="0"/>
        <v>-</v>
      </c>
      <c r="AB14" s="185" t="str">
        <f t="shared" si="6"/>
        <v>-</v>
      </c>
      <c r="AC14" s="278">
        <v>11</v>
      </c>
      <c r="AD14" s="279"/>
      <c r="AE14" s="83" t="str">
        <f t="shared" si="7"/>
        <v>-</v>
      </c>
      <c r="AF14" s="84"/>
      <c r="AG14" s="280" t="str">
        <f t="shared" si="8"/>
        <v>-</v>
      </c>
      <c r="AH14" s="281"/>
      <c r="AI14" s="282" t="str">
        <f t="shared" si="9"/>
        <v>-</v>
      </c>
      <c r="AJ14" s="283"/>
      <c r="AK14" s="85">
        <f t="shared" ca="1" si="1"/>
        <v>46507</v>
      </c>
      <c r="AL14" s="278">
        <v>11</v>
      </c>
      <c r="AM14" s="279"/>
      <c r="AN14" s="86" t="e">
        <f t="shared" si="2"/>
        <v>#DIV/0!</v>
      </c>
      <c r="AO14" s="87"/>
      <c r="AP14" s="284" t="e">
        <f t="shared" ca="1" si="3"/>
        <v>#DIV/0!</v>
      </c>
      <c r="AQ14" s="285"/>
      <c r="AR14" s="286" t="e">
        <f t="shared" ca="1" si="4"/>
        <v>#DIV/0!</v>
      </c>
      <c r="AS14" s="287"/>
      <c r="AT14" s="87" t="e">
        <f t="shared" ca="1" si="10"/>
        <v>#DIV/0!</v>
      </c>
      <c r="AU14" s="75" t="str">
        <f t="shared" si="5"/>
        <v>-</v>
      </c>
      <c r="AZ14" s="216">
        <v>1.2999999999999999E-3</v>
      </c>
    </row>
    <row r="15" spans="1:52" ht="6.6" customHeight="1" thickBot="1" x14ac:dyDescent="0.4">
      <c r="A15" s="48"/>
      <c r="B15" s="173"/>
      <c r="C15" s="173"/>
      <c r="D15" s="173"/>
      <c r="E15" s="170"/>
      <c r="F15" s="170"/>
      <c r="G15" s="170"/>
      <c r="H15" s="170"/>
      <c r="I15" s="170"/>
      <c r="J15" s="171"/>
      <c r="K15" s="172"/>
      <c r="L15" s="173"/>
      <c r="M15" s="173"/>
      <c r="O15" s="62"/>
      <c r="Q15" s="62" t="s">
        <v>256</v>
      </c>
      <c r="R15" s="100">
        <f>$E$4-IF($X$4=1,$F$8,IF($X$4=2,$E$4/100*$F$10,0))+$N$8</f>
        <v>0</v>
      </c>
      <c r="S15" s="62" t="s">
        <v>257</v>
      </c>
      <c r="X15" s="101" t="s">
        <v>16</v>
      </c>
      <c r="AA15" s="196" t="str">
        <f>IFERROR(AI15+Z16,"-")</f>
        <v>-</v>
      </c>
      <c r="AB15" s="185" t="str">
        <f t="shared" si="6"/>
        <v>-</v>
      </c>
      <c r="AC15" s="278">
        <v>12</v>
      </c>
      <c r="AD15" s="279"/>
      <c r="AE15" s="83" t="str">
        <f t="shared" si="7"/>
        <v>-</v>
      </c>
      <c r="AF15" s="84"/>
      <c r="AG15" s="280" t="str">
        <f t="shared" si="8"/>
        <v>-</v>
      </c>
      <c r="AH15" s="281"/>
      <c r="AI15" s="282" t="str">
        <f t="shared" si="9"/>
        <v>-</v>
      </c>
      <c r="AJ15" s="283"/>
      <c r="AK15" s="85">
        <f t="shared" ca="1" si="1"/>
        <v>46538</v>
      </c>
      <c r="AL15" s="278">
        <v>12</v>
      </c>
      <c r="AM15" s="279"/>
      <c r="AN15" s="86" t="e">
        <f t="shared" si="2"/>
        <v>#DIV/0!</v>
      </c>
      <c r="AO15" s="87"/>
      <c r="AP15" s="284" t="e">
        <f t="shared" ca="1" si="3"/>
        <v>#DIV/0!</v>
      </c>
      <c r="AQ15" s="285"/>
      <c r="AR15" s="286" t="e">
        <f t="shared" ca="1" si="4"/>
        <v>#DIV/0!</v>
      </c>
      <c r="AS15" s="287"/>
      <c r="AT15" s="87" t="e">
        <f t="shared" ca="1" si="10"/>
        <v>#DIV/0!</v>
      </c>
      <c r="AU15" s="75" t="str">
        <f t="shared" si="5"/>
        <v>-</v>
      </c>
      <c r="AZ15" s="216">
        <v>1.4E-3</v>
      </c>
    </row>
    <row r="16" spans="1:52" ht="48" customHeight="1" thickBot="1" x14ac:dyDescent="0.4">
      <c r="A16" s="42"/>
      <c r="B16" s="257" t="s">
        <v>258</v>
      </c>
      <c r="C16" s="258"/>
      <c r="D16" s="259"/>
      <c r="E16" s="261" t="e">
        <f>R35</f>
        <v>#VALUE!</v>
      </c>
      <c r="F16" s="262"/>
      <c r="G16" s="170"/>
      <c r="H16" s="170"/>
      <c r="I16" s="170"/>
      <c r="J16" s="170"/>
      <c r="K16" s="170"/>
      <c r="L16" s="253" t="s">
        <v>259</v>
      </c>
      <c r="M16" s="254"/>
      <c r="N16" s="176">
        <f>R39</f>
        <v>0</v>
      </c>
      <c r="Q16" s="209" t="s">
        <v>260</v>
      </c>
      <c r="R16" s="102">
        <f>$E$4-IF($X$4=1,$F$8,IF($X$4=2,$E$4/100*$F$10,0))+IF(N7="так",N6,0)+IF(N9="так",N8,0)</f>
        <v>0</v>
      </c>
      <c r="S16" s="210">
        <f>$E$4-IF($X$4=1,$F$8,IF($X$4=2,$E$4/100*$F$10,0))+T16</f>
        <v>0</v>
      </c>
      <c r="T16" s="62">
        <f>IF(N9="так",N8,0)</f>
        <v>0</v>
      </c>
      <c r="Z16" s="116">
        <f>IF($V$26&gt;AC16,$E$4*0.9*T33,0)</f>
        <v>0</v>
      </c>
      <c r="AA16" s="196" t="str">
        <f t="shared" si="0"/>
        <v>-</v>
      </c>
      <c r="AB16" s="185" t="str">
        <f t="shared" si="6"/>
        <v>-</v>
      </c>
      <c r="AC16" s="278">
        <v>13</v>
      </c>
      <c r="AD16" s="279"/>
      <c r="AE16" s="83" t="str">
        <f t="shared" si="7"/>
        <v>-</v>
      </c>
      <c r="AF16" s="84"/>
      <c r="AG16" s="280" t="str">
        <f t="shared" si="8"/>
        <v>-</v>
      </c>
      <c r="AH16" s="281"/>
      <c r="AI16" s="282" t="str">
        <f t="shared" si="9"/>
        <v>-</v>
      </c>
      <c r="AJ16" s="283"/>
      <c r="AK16" s="85">
        <f t="shared" ca="1" si="1"/>
        <v>46568</v>
      </c>
      <c r="AL16" s="278">
        <v>13</v>
      </c>
      <c r="AM16" s="279"/>
      <c r="AN16" s="86" t="e">
        <f t="shared" si="2"/>
        <v>#DIV/0!</v>
      </c>
      <c r="AO16" s="87"/>
      <c r="AP16" s="284" t="e">
        <f t="shared" ca="1" si="3"/>
        <v>#DIV/0!</v>
      </c>
      <c r="AQ16" s="285"/>
      <c r="AR16" s="286" t="e">
        <f t="shared" ca="1" si="4"/>
        <v>#DIV/0!</v>
      </c>
      <c r="AS16" s="287"/>
      <c r="AT16" s="87" t="e">
        <f t="shared" ca="1" si="10"/>
        <v>#DIV/0!</v>
      </c>
      <c r="AU16" s="75" t="e">
        <f>AI16+AW16+AX16</f>
        <v>#VALUE!</v>
      </c>
      <c r="AW16" s="63" t="str">
        <f>IF($E$12&gt;$R$2,$E$4*0.9*5.5%,"")</f>
        <v/>
      </c>
      <c r="AX16" s="103" t="e">
        <f>IF(#REF!=0,0,IF($E$12&gt;$R$2,(AE90-SUM(AE4:AE15))*0.0299,""))</f>
        <v>#REF!</v>
      </c>
      <c r="AZ16" s="216">
        <v>1.5E-3</v>
      </c>
    </row>
    <row r="17" spans="1:52" ht="6" customHeight="1" thickBot="1" x14ac:dyDescent="0.4">
      <c r="A17" s="42"/>
      <c r="B17" s="239"/>
      <c r="C17" s="260"/>
      <c r="D17" s="240"/>
      <c r="E17" s="263"/>
      <c r="F17" s="264"/>
      <c r="G17" s="170"/>
      <c r="H17" s="170"/>
      <c r="I17" s="170"/>
      <c r="J17" s="170"/>
      <c r="K17" s="170"/>
      <c r="L17" s="170"/>
      <c r="M17" s="170"/>
      <c r="N17" s="170"/>
      <c r="O17" s="62"/>
      <c r="X17" s="104" t="s">
        <v>228</v>
      </c>
      <c r="AA17" s="196" t="str">
        <f t="shared" si="0"/>
        <v>-</v>
      </c>
      <c r="AB17" s="185" t="str">
        <f t="shared" si="6"/>
        <v>-</v>
      </c>
      <c r="AC17" s="278">
        <v>14</v>
      </c>
      <c r="AD17" s="279"/>
      <c r="AE17" s="83" t="str">
        <f t="shared" si="7"/>
        <v>-</v>
      </c>
      <c r="AF17" s="84"/>
      <c r="AG17" s="280" t="str">
        <f t="shared" si="8"/>
        <v>-</v>
      </c>
      <c r="AH17" s="281"/>
      <c r="AI17" s="282" t="str">
        <f t="shared" si="9"/>
        <v>-</v>
      </c>
      <c r="AJ17" s="283"/>
      <c r="AK17" s="85">
        <f t="shared" ca="1" si="1"/>
        <v>46599</v>
      </c>
      <c r="AL17" s="278">
        <v>14</v>
      </c>
      <c r="AM17" s="279"/>
      <c r="AN17" s="86" t="e">
        <f t="shared" si="2"/>
        <v>#DIV/0!</v>
      </c>
      <c r="AO17" s="87"/>
      <c r="AP17" s="284" t="e">
        <f t="shared" ca="1" si="3"/>
        <v>#DIV/0!</v>
      </c>
      <c r="AQ17" s="285"/>
      <c r="AR17" s="286" t="e">
        <f t="shared" ca="1" si="4"/>
        <v>#DIV/0!</v>
      </c>
      <c r="AS17" s="287"/>
      <c r="AT17" s="87" t="e">
        <f t="shared" ca="1" si="10"/>
        <v>#DIV/0!</v>
      </c>
      <c r="AU17" s="75" t="str">
        <f t="shared" si="5"/>
        <v>-</v>
      </c>
      <c r="AZ17" s="216">
        <v>1.6000000000000001E-3</v>
      </c>
    </row>
    <row r="18" spans="1:52" ht="8.25" customHeight="1" thickBot="1" x14ac:dyDescent="0.4">
      <c r="A18" s="48"/>
      <c r="B18" s="173"/>
      <c r="C18" s="173"/>
      <c r="D18" s="173"/>
      <c r="E18" s="170"/>
      <c r="F18" s="170"/>
      <c r="G18" s="170"/>
      <c r="H18" s="170"/>
      <c r="I18" s="170"/>
      <c r="J18" s="170"/>
      <c r="K18" s="170"/>
      <c r="L18" s="249" t="s">
        <v>261</v>
      </c>
      <c r="M18" s="250"/>
      <c r="N18" s="327" t="e">
        <f>AE88+N21</f>
        <v>#VALUE!</v>
      </c>
      <c r="O18" s="62"/>
      <c r="U18" s="105"/>
      <c r="V18" s="105"/>
      <c r="X18" s="106" t="e">
        <f>IF(OR(#REF!=S28,#REF!=S31),"Класична","")</f>
        <v>#REF!</v>
      </c>
      <c r="AA18" s="196" t="str">
        <f t="shared" si="0"/>
        <v>-</v>
      </c>
      <c r="AB18" s="185" t="str">
        <f t="shared" si="6"/>
        <v>-</v>
      </c>
      <c r="AC18" s="278">
        <v>15</v>
      </c>
      <c r="AD18" s="279"/>
      <c r="AE18" s="83" t="str">
        <f t="shared" si="7"/>
        <v>-</v>
      </c>
      <c r="AF18" s="84"/>
      <c r="AG18" s="280" t="str">
        <f t="shared" si="8"/>
        <v>-</v>
      </c>
      <c r="AH18" s="281"/>
      <c r="AI18" s="282" t="str">
        <f t="shared" si="9"/>
        <v>-</v>
      </c>
      <c r="AJ18" s="283"/>
      <c r="AK18" s="85">
        <f t="shared" ca="1" si="1"/>
        <v>46630</v>
      </c>
      <c r="AL18" s="278">
        <v>15</v>
      </c>
      <c r="AM18" s="279"/>
      <c r="AN18" s="86" t="e">
        <f t="shared" si="2"/>
        <v>#DIV/0!</v>
      </c>
      <c r="AO18" s="87"/>
      <c r="AP18" s="284" t="e">
        <f t="shared" ca="1" si="3"/>
        <v>#DIV/0!</v>
      </c>
      <c r="AQ18" s="285"/>
      <c r="AR18" s="286" t="e">
        <f t="shared" ca="1" si="4"/>
        <v>#DIV/0!</v>
      </c>
      <c r="AS18" s="287"/>
      <c r="AT18" s="87" t="e">
        <f t="shared" ca="1" si="10"/>
        <v>#DIV/0!</v>
      </c>
      <c r="AU18" s="75" t="str">
        <f t="shared" si="5"/>
        <v>-</v>
      </c>
      <c r="AZ18" s="216">
        <v>1.6999999999999999E-3</v>
      </c>
    </row>
    <row r="19" spans="1:52" ht="52.35" customHeight="1" thickBot="1" x14ac:dyDescent="0.4">
      <c r="A19" s="45"/>
      <c r="B19" s="270" t="s">
        <v>262</v>
      </c>
      <c r="C19" s="271"/>
      <c r="D19" s="272"/>
      <c r="E19" s="325" t="b">
        <f>IF(OR(F10&gt;80,AND(F8&gt;0,N4&gt;80%,X4&lt;&gt;3)),"Для уточнення інформації звертайтесь на відділення",R41)</f>
        <v>0</v>
      </c>
      <c r="F19" s="326"/>
      <c r="G19" s="170"/>
      <c r="H19" s="170"/>
      <c r="I19" s="170"/>
      <c r="J19" s="170"/>
      <c r="K19" s="170"/>
      <c r="L19" s="251"/>
      <c r="M19" s="252"/>
      <c r="N19" s="328"/>
      <c r="O19" s="62"/>
      <c r="R19" s="67" t="s">
        <v>263</v>
      </c>
      <c r="T19" s="107"/>
      <c r="U19" s="62" t="s">
        <v>264</v>
      </c>
      <c r="V19" s="108">
        <f ca="1">TODAY()</f>
        <v>46181</v>
      </c>
      <c r="X19" s="109">
        <v>1</v>
      </c>
      <c r="Y19" s="92">
        <v>31</v>
      </c>
      <c r="AA19" s="196" t="str">
        <f t="shared" si="0"/>
        <v>-</v>
      </c>
      <c r="AB19" s="185" t="str">
        <f t="shared" si="6"/>
        <v>-</v>
      </c>
      <c r="AC19" s="278">
        <v>16</v>
      </c>
      <c r="AD19" s="279"/>
      <c r="AE19" s="83" t="str">
        <f t="shared" si="7"/>
        <v>-</v>
      </c>
      <c r="AF19" s="84"/>
      <c r="AG19" s="280" t="str">
        <f t="shared" si="8"/>
        <v>-</v>
      </c>
      <c r="AH19" s="281"/>
      <c r="AI19" s="282" t="str">
        <f t="shared" si="9"/>
        <v>-</v>
      </c>
      <c r="AJ19" s="283"/>
      <c r="AK19" s="85">
        <f t="shared" ca="1" si="1"/>
        <v>46660</v>
      </c>
      <c r="AL19" s="278">
        <v>16</v>
      </c>
      <c r="AM19" s="279"/>
      <c r="AN19" s="86" t="e">
        <f t="shared" si="2"/>
        <v>#DIV/0!</v>
      </c>
      <c r="AO19" s="87"/>
      <c r="AP19" s="284" t="e">
        <f t="shared" ca="1" si="3"/>
        <v>#DIV/0!</v>
      </c>
      <c r="AQ19" s="285"/>
      <c r="AR19" s="286" t="e">
        <f t="shared" ca="1" si="4"/>
        <v>#DIV/0!</v>
      </c>
      <c r="AS19" s="287"/>
      <c r="AT19" s="87" t="e">
        <f t="shared" ca="1" si="10"/>
        <v>#DIV/0!</v>
      </c>
      <c r="AU19" s="75" t="str">
        <f t="shared" si="5"/>
        <v>-</v>
      </c>
      <c r="AZ19" s="216">
        <v>1.8E-3</v>
      </c>
    </row>
    <row r="20" spans="1:52" ht="10.35"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8</v>
      </c>
      <c r="X20" s="92">
        <v>2</v>
      </c>
      <c r="Y20" s="92">
        <v>28</v>
      </c>
      <c r="AA20" s="196" t="str">
        <f t="shared" si="0"/>
        <v>-</v>
      </c>
      <c r="AB20" s="185" t="str">
        <f t="shared" si="6"/>
        <v>-</v>
      </c>
      <c r="AC20" s="278">
        <v>17</v>
      </c>
      <c r="AD20" s="279"/>
      <c r="AE20" s="83" t="str">
        <f t="shared" si="7"/>
        <v>-</v>
      </c>
      <c r="AF20" s="84"/>
      <c r="AG20" s="280" t="str">
        <f t="shared" si="8"/>
        <v>-</v>
      </c>
      <c r="AH20" s="281"/>
      <c r="AI20" s="282" t="str">
        <f t="shared" si="9"/>
        <v>-</v>
      </c>
      <c r="AJ20" s="283"/>
      <c r="AK20" s="85">
        <f t="shared" ca="1" si="1"/>
        <v>46691</v>
      </c>
      <c r="AL20" s="278">
        <v>17</v>
      </c>
      <c r="AM20" s="279"/>
      <c r="AN20" s="86" t="e">
        <f t="shared" si="2"/>
        <v>#DIV/0!</v>
      </c>
      <c r="AO20" s="87"/>
      <c r="AP20" s="284" t="e">
        <f t="shared" ca="1" si="3"/>
        <v>#DIV/0!</v>
      </c>
      <c r="AQ20" s="285"/>
      <c r="AR20" s="286" t="e">
        <f t="shared" ca="1" si="4"/>
        <v>#DIV/0!</v>
      </c>
      <c r="AS20" s="287"/>
      <c r="AT20" s="87" t="e">
        <f t="shared" ca="1" si="10"/>
        <v>#DIV/0!</v>
      </c>
      <c r="AU20" s="75" t="str">
        <f t="shared" si="5"/>
        <v>-</v>
      </c>
      <c r="AZ20" s="216">
        <v>1.9E-3</v>
      </c>
    </row>
    <row r="21" spans="1:52" ht="33" customHeight="1" thickBot="1" x14ac:dyDescent="0.35">
      <c r="A21" s="147"/>
      <c r="B21" s="270" t="s">
        <v>266</v>
      </c>
      <c r="C21" s="271"/>
      <c r="D21" s="272"/>
      <c r="E21" s="273" t="e">
        <f>IF(X4=2,N4,F8)+P2+P4+N16</f>
        <v>#VALUE!</v>
      </c>
      <c r="F21" s="274"/>
      <c r="G21" s="118"/>
      <c r="H21" s="118"/>
      <c r="I21" s="118"/>
      <c r="J21" s="118"/>
      <c r="K21" s="118"/>
      <c r="L21" s="255" t="s">
        <v>267</v>
      </c>
      <c r="M21" s="256"/>
      <c r="N21" s="203" t="e">
        <f>N13+SUM(R36:R40)+Z3</f>
        <v>#VALUE!</v>
      </c>
      <c r="O21" s="62"/>
      <c r="U21" s="114" t="s">
        <v>237</v>
      </c>
      <c r="V21" s="115">
        <f ca="1">MONTH(V19)</f>
        <v>6</v>
      </c>
      <c r="X21" s="92">
        <v>3</v>
      </c>
      <c r="Y21" s="92">
        <v>31</v>
      </c>
      <c r="AA21" s="196" t="str">
        <f t="shared" si="0"/>
        <v>-</v>
      </c>
      <c r="AB21" s="185" t="str">
        <f t="shared" si="6"/>
        <v>-</v>
      </c>
      <c r="AC21" s="278">
        <v>18</v>
      </c>
      <c r="AD21" s="279"/>
      <c r="AE21" s="83" t="str">
        <f t="shared" si="7"/>
        <v>-</v>
      </c>
      <c r="AF21" s="84"/>
      <c r="AG21" s="280" t="str">
        <f t="shared" si="8"/>
        <v>-</v>
      </c>
      <c r="AH21" s="281"/>
      <c r="AI21" s="282" t="str">
        <f t="shared" si="9"/>
        <v>-</v>
      </c>
      <c r="AJ21" s="283"/>
      <c r="AK21" s="85">
        <f t="shared" ca="1" si="1"/>
        <v>46721</v>
      </c>
      <c r="AL21" s="278">
        <v>18</v>
      </c>
      <c r="AM21" s="279"/>
      <c r="AN21" s="86" t="e">
        <f t="shared" si="2"/>
        <v>#DIV/0!</v>
      </c>
      <c r="AO21" s="87"/>
      <c r="AP21" s="284" t="e">
        <f t="shared" ca="1" si="3"/>
        <v>#DIV/0!</v>
      </c>
      <c r="AQ21" s="285"/>
      <c r="AR21" s="286" t="e">
        <f t="shared" ca="1" si="4"/>
        <v>#DIV/0!</v>
      </c>
      <c r="AS21" s="287"/>
      <c r="AT21" s="87" t="e">
        <f t="shared" ca="1" si="10"/>
        <v>#DIV/0!</v>
      </c>
      <c r="AU21" s="75" t="str">
        <f t="shared" si="5"/>
        <v>-</v>
      </c>
      <c r="AZ21" s="216">
        <v>2E-3</v>
      </c>
    </row>
    <row r="22" spans="1:52" ht="50.25" customHeight="1" thickBot="1" x14ac:dyDescent="0.35">
      <c r="A22" s="61"/>
      <c r="B22" s="236" t="s">
        <v>523</v>
      </c>
      <c r="C22" s="236"/>
      <c r="D22" s="236"/>
      <c r="E22" s="236"/>
      <c r="F22" s="236"/>
      <c r="G22" s="236"/>
      <c r="H22" s="236"/>
      <c r="I22" s="236"/>
      <c r="J22" s="236"/>
      <c r="K22" s="236"/>
      <c r="L22" s="236"/>
      <c r="M22" s="236"/>
      <c r="N22" s="236"/>
      <c r="O22" s="62"/>
      <c r="U22" s="116" t="s">
        <v>268</v>
      </c>
      <c r="V22" s="117">
        <v>1200000</v>
      </c>
      <c r="X22" s="92">
        <v>4</v>
      </c>
      <c r="Y22" s="92">
        <v>30</v>
      </c>
      <c r="AA22" s="196" t="str">
        <f t="shared" si="0"/>
        <v>-</v>
      </c>
      <c r="AB22" s="185" t="str">
        <f t="shared" si="6"/>
        <v>-</v>
      </c>
      <c r="AC22" s="278">
        <v>19</v>
      </c>
      <c r="AD22" s="279"/>
      <c r="AE22" s="83" t="str">
        <f t="shared" si="7"/>
        <v>-</v>
      </c>
      <c r="AF22" s="84"/>
      <c r="AG22" s="280" t="str">
        <f t="shared" si="8"/>
        <v>-</v>
      </c>
      <c r="AH22" s="281"/>
      <c r="AI22" s="282" t="str">
        <f t="shared" si="9"/>
        <v>-</v>
      </c>
      <c r="AJ22" s="283"/>
      <c r="AK22" s="85">
        <f t="shared" ca="1" si="1"/>
        <v>46752</v>
      </c>
      <c r="AL22" s="278">
        <v>19</v>
      </c>
      <c r="AM22" s="279"/>
      <c r="AN22" s="86" t="e">
        <f t="shared" si="2"/>
        <v>#DIV/0!</v>
      </c>
      <c r="AO22" s="87"/>
      <c r="AP22" s="284" t="e">
        <f t="shared" ca="1" si="3"/>
        <v>#DIV/0!</v>
      </c>
      <c r="AQ22" s="285"/>
      <c r="AR22" s="286" t="e">
        <f t="shared" ca="1" si="4"/>
        <v>#DIV/0!</v>
      </c>
      <c r="AS22" s="287"/>
      <c r="AT22" s="87" t="e">
        <f t="shared" ca="1" si="10"/>
        <v>#DIV/0!</v>
      </c>
      <c r="AU22" s="75" t="str">
        <f t="shared" si="5"/>
        <v>-</v>
      </c>
      <c r="AZ22" s="216">
        <v>2.0999999999999999E-3</v>
      </c>
    </row>
    <row r="23" spans="1:52" ht="14.1" customHeight="1" thickBot="1" x14ac:dyDescent="0.35">
      <c r="A23" s="43"/>
      <c r="B23" s="269" t="s">
        <v>182</v>
      </c>
      <c r="C23" s="269"/>
      <c r="D23" s="204" t="s">
        <v>184</v>
      </c>
      <c r="E23" s="268" t="s">
        <v>185</v>
      </c>
      <c r="F23" s="268"/>
      <c r="G23" s="277" t="s">
        <v>269</v>
      </c>
      <c r="H23" s="277"/>
      <c r="I23" s="202"/>
      <c r="J23" s="61"/>
      <c r="K23" s="61"/>
      <c r="L23" s="61"/>
      <c r="M23" s="61"/>
      <c r="N23" s="61"/>
      <c r="O23" s="62"/>
      <c r="U23" s="119" t="s">
        <v>270</v>
      </c>
      <c r="V23" s="120">
        <f>IF(X4=1,F8/E4*100,IF(X4=2,F10,0))</f>
        <v>0</v>
      </c>
      <c r="X23" s="92">
        <v>5</v>
      </c>
      <c r="Y23" s="92">
        <v>31</v>
      </c>
      <c r="AA23" s="196" t="str">
        <f t="shared" si="0"/>
        <v>-</v>
      </c>
      <c r="AB23" s="185" t="str">
        <f t="shared" si="6"/>
        <v>-</v>
      </c>
      <c r="AC23" s="278">
        <v>20</v>
      </c>
      <c r="AD23" s="279"/>
      <c r="AE23" s="83" t="str">
        <f t="shared" si="7"/>
        <v>-</v>
      </c>
      <c r="AF23" s="84"/>
      <c r="AG23" s="280" t="str">
        <f t="shared" si="8"/>
        <v>-</v>
      </c>
      <c r="AH23" s="281"/>
      <c r="AI23" s="282" t="str">
        <f t="shared" si="9"/>
        <v>-</v>
      </c>
      <c r="AJ23" s="283"/>
      <c r="AK23" s="85">
        <f t="shared" ca="1" si="1"/>
        <v>46783</v>
      </c>
      <c r="AL23" s="278">
        <v>20</v>
      </c>
      <c r="AM23" s="279"/>
      <c r="AN23" s="86" t="e">
        <f t="shared" si="2"/>
        <v>#DIV/0!</v>
      </c>
      <c r="AO23" s="87"/>
      <c r="AP23" s="284" t="e">
        <f t="shared" ca="1" si="3"/>
        <v>#DIV/0!</v>
      </c>
      <c r="AQ23" s="285"/>
      <c r="AR23" s="286" t="e">
        <f t="shared" ca="1" si="4"/>
        <v>#DIV/0!</v>
      </c>
      <c r="AS23" s="287"/>
      <c r="AT23" s="87" t="e">
        <f t="shared" ca="1" si="10"/>
        <v>#DIV/0!</v>
      </c>
      <c r="AU23" s="75" t="str">
        <f t="shared" si="5"/>
        <v>-</v>
      </c>
      <c r="AZ23" s="216">
        <v>2.2000000000000001E-3</v>
      </c>
    </row>
    <row r="24" spans="1:52" ht="14.1" customHeight="1" thickBot="1" x14ac:dyDescent="0.35">
      <c r="A24" s="43"/>
      <c r="B24" s="244">
        <v>1</v>
      </c>
      <c r="C24" s="244"/>
      <c r="D24" s="205" t="e">
        <f t="shared" ref="D24:D35" si="11">AE4</f>
        <v>#VALUE!</v>
      </c>
      <c r="E24" s="243" t="e">
        <f t="shared" ref="E24:E35" si="12">AG4</f>
        <v>#VALUE!</v>
      </c>
      <c r="F24" s="243"/>
      <c r="G24" s="243" t="e">
        <f t="shared" ref="G24:G35" si="13">AI4</f>
        <v>#VALUE!</v>
      </c>
      <c r="H24" s="243"/>
      <c r="I24" s="202"/>
      <c r="J24" s="61"/>
      <c r="K24" s="61"/>
      <c r="L24" s="61"/>
      <c r="M24" s="61"/>
      <c r="N24" s="61"/>
      <c r="O24" s="62"/>
      <c r="Q24" s="121">
        <f ca="1">TODAY()</f>
        <v>46181</v>
      </c>
      <c r="R24" s="122" t="s">
        <v>264</v>
      </c>
      <c r="S24" s="122" t="s">
        <v>271</v>
      </c>
      <c r="X24" s="92"/>
      <c r="Y24" s="92"/>
      <c r="AA24" s="196" t="str">
        <f t="shared" si="0"/>
        <v>-</v>
      </c>
      <c r="AB24" s="185" t="str">
        <f t="shared" si="6"/>
        <v>-</v>
      </c>
      <c r="AC24" s="278">
        <v>21</v>
      </c>
      <c r="AD24" s="279"/>
      <c r="AE24" s="83" t="str">
        <f t="shared" si="7"/>
        <v>-</v>
      </c>
      <c r="AF24" s="84"/>
      <c r="AG24" s="280" t="str">
        <f t="shared" si="8"/>
        <v>-</v>
      </c>
      <c r="AH24" s="281"/>
      <c r="AI24" s="282" t="str">
        <f t="shared" si="9"/>
        <v>-</v>
      </c>
      <c r="AJ24" s="283"/>
      <c r="AK24" s="85">
        <f t="shared" ca="1" si="1"/>
        <v>46812</v>
      </c>
      <c r="AL24" s="278">
        <v>21</v>
      </c>
      <c r="AM24" s="279"/>
      <c r="AN24" s="86" t="e">
        <f t="shared" si="2"/>
        <v>#DIV/0!</v>
      </c>
      <c r="AO24" s="87"/>
      <c r="AP24" s="284" t="e">
        <f t="shared" ca="1" si="3"/>
        <v>#DIV/0!</v>
      </c>
      <c r="AQ24" s="285"/>
      <c r="AR24" s="286" t="e">
        <f t="shared" ca="1" si="4"/>
        <v>#DIV/0!</v>
      </c>
      <c r="AS24" s="287"/>
      <c r="AT24" s="87" t="e">
        <f t="shared" ca="1" si="10"/>
        <v>#DIV/0!</v>
      </c>
      <c r="AU24" s="75" t="str">
        <f t="shared" si="5"/>
        <v>-</v>
      </c>
      <c r="AZ24" s="216">
        <v>2.3E-3</v>
      </c>
    </row>
    <row r="25" spans="1:52" ht="14.1" customHeight="1" thickBot="1" x14ac:dyDescent="0.35">
      <c r="A25" s="43"/>
      <c r="B25" s="244">
        <v>2</v>
      </c>
      <c r="C25" s="244"/>
      <c r="D25" s="205" t="str">
        <f t="shared" si="11"/>
        <v>-</v>
      </c>
      <c r="E25" s="243" t="str">
        <f t="shared" si="12"/>
        <v>-</v>
      </c>
      <c r="F25" s="243"/>
      <c r="G25" s="243" t="str">
        <f t="shared" si="13"/>
        <v>-</v>
      </c>
      <c r="H25" s="243"/>
      <c r="I25" s="202"/>
      <c r="J25" s="61"/>
      <c r="K25" s="61"/>
      <c r="L25" s="61"/>
      <c r="M25" s="61"/>
      <c r="N25" s="61"/>
      <c r="O25" s="62"/>
      <c r="Q25" s="122">
        <f ca="1">IF(Q24&lt;R26,S25,IF(Q24&lt;R27,S26,S27))</f>
        <v>2270</v>
      </c>
      <c r="R25" s="121">
        <v>43831</v>
      </c>
      <c r="S25" s="122">
        <v>2102</v>
      </c>
      <c r="T25" s="123"/>
      <c r="U25" s="111" t="s">
        <v>272</v>
      </c>
      <c r="V25" s="108">
        <f ca="1">EDATE(V19,V26)-1</f>
        <v>46180</v>
      </c>
      <c r="W25" s="124"/>
      <c r="X25" s="92">
        <v>6</v>
      </c>
      <c r="Y25" s="92">
        <v>30</v>
      </c>
      <c r="AA25" s="196" t="str">
        <f t="shared" si="0"/>
        <v>-</v>
      </c>
      <c r="AB25" s="185" t="str">
        <f t="shared" si="6"/>
        <v>-</v>
      </c>
      <c r="AC25" s="278">
        <v>22</v>
      </c>
      <c r="AD25" s="279"/>
      <c r="AE25" s="83" t="str">
        <f t="shared" si="7"/>
        <v>-</v>
      </c>
      <c r="AF25" s="84"/>
      <c r="AG25" s="280" t="str">
        <f t="shared" si="8"/>
        <v>-</v>
      </c>
      <c r="AH25" s="281"/>
      <c r="AI25" s="282" t="str">
        <f t="shared" si="9"/>
        <v>-</v>
      </c>
      <c r="AJ25" s="283"/>
      <c r="AK25" s="85">
        <f t="shared" ca="1" si="1"/>
        <v>46843</v>
      </c>
      <c r="AL25" s="278">
        <v>22</v>
      </c>
      <c r="AM25" s="279"/>
      <c r="AN25" s="86" t="e">
        <f t="shared" si="2"/>
        <v>#DIV/0!</v>
      </c>
      <c r="AO25" s="87"/>
      <c r="AP25" s="284" t="e">
        <f t="shared" ca="1" si="3"/>
        <v>#DIV/0!</v>
      </c>
      <c r="AQ25" s="285"/>
      <c r="AR25" s="286" t="e">
        <f t="shared" ca="1" si="4"/>
        <v>#DIV/0!</v>
      </c>
      <c r="AS25" s="287"/>
      <c r="AT25" s="87" t="e">
        <f t="shared" ca="1" si="10"/>
        <v>#DIV/0!</v>
      </c>
      <c r="AU25" s="75" t="str">
        <f t="shared" si="5"/>
        <v>-</v>
      </c>
      <c r="AZ25" s="216">
        <v>2.3999999999999998E-3</v>
      </c>
    </row>
    <row r="26" spans="1:52" ht="14.1" customHeight="1" thickBot="1" x14ac:dyDescent="0.35">
      <c r="A26" s="43"/>
      <c r="B26" s="244">
        <v>3</v>
      </c>
      <c r="C26" s="244"/>
      <c r="D26" s="205" t="str">
        <f t="shared" si="11"/>
        <v>-</v>
      </c>
      <c r="E26" s="243" t="str">
        <f t="shared" si="12"/>
        <v>-</v>
      </c>
      <c r="F26" s="243"/>
      <c r="G26" s="243" t="str">
        <f t="shared" si="13"/>
        <v>-</v>
      </c>
      <c r="H26" s="243"/>
      <c r="I26" s="202"/>
      <c r="J26" s="53"/>
      <c r="K26" s="54"/>
      <c r="L26" s="54"/>
      <c r="M26" s="54"/>
      <c r="N26" s="54"/>
      <c r="O26" s="125"/>
      <c r="Q26" s="122"/>
      <c r="R26" s="121">
        <v>44013</v>
      </c>
      <c r="S26" s="122">
        <v>2197</v>
      </c>
      <c r="T26" s="123"/>
      <c r="U26" s="115" t="s">
        <v>273</v>
      </c>
      <c r="V26" s="115">
        <f>E12</f>
        <v>0</v>
      </c>
      <c r="W26" s="124"/>
      <c r="X26" s="92">
        <v>7</v>
      </c>
      <c r="Y26" s="92">
        <v>31</v>
      </c>
      <c r="AA26" s="196" t="str">
        <f t="shared" si="0"/>
        <v>-</v>
      </c>
      <c r="AB26" s="185" t="str">
        <f t="shared" si="6"/>
        <v>-</v>
      </c>
      <c r="AC26" s="278">
        <f>AC25+1</f>
        <v>23</v>
      </c>
      <c r="AD26" s="279"/>
      <c r="AE26" s="83" t="str">
        <f t="shared" si="7"/>
        <v>-</v>
      </c>
      <c r="AF26" s="84"/>
      <c r="AG26" s="280" t="str">
        <f t="shared" si="8"/>
        <v>-</v>
      </c>
      <c r="AH26" s="281"/>
      <c r="AI26" s="282" t="str">
        <f t="shared" si="9"/>
        <v>-</v>
      </c>
      <c r="AJ26" s="283"/>
      <c r="AK26" s="85">
        <f t="shared" ca="1" si="1"/>
        <v>46873</v>
      </c>
      <c r="AL26" s="278">
        <v>23</v>
      </c>
      <c r="AM26" s="279"/>
      <c r="AN26" s="86" t="e">
        <f t="shared" si="2"/>
        <v>#DIV/0!</v>
      </c>
      <c r="AO26" s="87"/>
      <c r="AP26" s="284" t="e">
        <f t="shared" ca="1" si="3"/>
        <v>#DIV/0!</v>
      </c>
      <c r="AQ26" s="285"/>
      <c r="AR26" s="286" t="e">
        <f t="shared" ca="1" si="4"/>
        <v>#DIV/0!</v>
      </c>
      <c r="AS26" s="287"/>
      <c r="AT26" s="87" t="e">
        <f t="shared" ca="1" si="10"/>
        <v>#DIV/0!</v>
      </c>
      <c r="AU26" s="75" t="str">
        <f t="shared" si="5"/>
        <v>-</v>
      </c>
      <c r="AZ26" s="216">
        <v>2.5000000000000001E-3</v>
      </c>
    </row>
    <row r="27" spans="1:52" ht="14.1" customHeight="1" x14ac:dyDescent="0.3">
      <c r="A27" s="43"/>
      <c r="B27" s="244">
        <v>4</v>
      </c>
      <c r="C27" s="244"/>
      <c r="D27" s="205" t="str">
        <f t="shared" si="11"/>
        <v>-</v>
      </c>
      <c r="E27" s="243" t="str">
        <f t="shared" si="12"/>
        <v>-</v>
      </c>
      <c r="F27" s="243"/>
      <c r="G27" s="243" t="str">
        <f t="shared" si="13"/>
        <v>-</v>
      </c>
      <c r="H27" s="243"/>
      <c r="I27" s="202"/>
      <c r="J27" s="53"/>
      <c r="K27" s="54"/>
      <c r="L27" s="54"/>
      <c r="M27" s="54"/>
      <c r="N27" s="54"/>
      <c r="O27" s="125"/>
      <c r="Q27" s="122"/>
      <c r="R27" s="121">
        <v>44166</v>
      </c>
      <c r="S27" s="122">
        <v>2270</v>
      </c>
      <c r="T27" s="123"/>
      <c r="U27" s="123"/>
      <c r="V27" s="123"/>
      <c r="W27" s="124"/>
      <c r="X27" s="92">
        <v>8</v>
      </c>
      <c r="Y27" s="92">
        <v>31</v>
      </c>
      <c r="AA27" s="196" t="str">
        <f>IFERROR(AI27+Z28,"-")</f>
        <v>-</v>
      </c>
      <c r="AB27" s="185" t="str">
        <f t="shared" si="6"/>
        <v>-</v>
      </c>
      <c r="AC27" s="278">
        <f>AC26+1</f>
        <v>24</v>
      </c>
      <c r="AD27" s="279"/>
      <c r="AE27" s="83" t="str">
        <f t="shared" si="7"/>
        <v>-</v>
      </c>
      <c r="AF27" s="84"/>
      <c r="AG27" s="280" t="str">
        <f t="shared" si="8"/>
        <v>-</v>
      </c>
      <c r="AH27" s="281"/>
      <c r="AI27" s="282" t="str">
        <f t="shared" si="9"/>
        <v>-</v>
      </c>
      <c r="AJ27" s="283"/>
      <c r="AK27" s="85">
        <f t="shared" ca="1" si="1"/>
        <v>46904</v>
      </c>
      <c r="AL27" s="278">
        <v>24</v>
      </c>
      <c r="AM27" s="279"/>
      <c r="AN27" s="86" t="e">
        <f t="shared" si="2"/>
        <v>#DIV/0!</v>
      </c>
      <c r="AO27" s="87"/>
      <c r="AP27" s="284" t="e">
        <f t="shared" ca="1" si="3"/>
        <v>#DIV/0!</v>
      </c>
      <c r="AQ27" s="285"/>
      <c r="AR27" s="286" t="e">
        <f t="shared" ca="1" si="4"/>
        <v>#DIV/0!</v>
      </c>
      <c r="AS27" s="287"/>
      <c r="AT27" s="87" t="e">
        <f t="shared" ca="1" si="10"/>
        <v>#DIV/0!</v>
      </c>
      <c r="AU27" s="75" t="str">
        <f t="shared" si="5"/>
        <v>-</v>
      </c>
      <c r="AZ27" s="216">
        <v>2.5999999999999999E-3</v>
      </c>
    </row>
    <row r="28" spans="1:52" ht="14.1" customHeight="1" x14ac:dyDescent="0.3">
      <c r="A28" s="43"/>
      <c r="B28" s="244">
        <v>5</v>
      </c>
      <c r="C28" s="244"/>
      <c r="D28" s="205" t="str">
        <f t="shared" si="11"/>
        <v>-</v>
      </c>
      <c r="E28" s="243" t="str">
        <f t="shared" si="12"/>
        <v>-</v>
      </c>
      <c r="F28" s="243"/>
      <c r="G28" s="243" t="str">
        <f t="shared" si="13"/>
        <v>-</v>
      </c>
      <c r="H28" s="243"/>
      <c r="I28" s="202"/>
      <c r="J28" s="53"/>
      <c r="K28" s="54"/>
      <c r="L28" s="54"/>
      <c r="M28" s="54"/>
      <c r="N28" s="54"/>
      <c r="O28" s="125"/>
      <c r="R28" s="191">
        <v>46023</v>
      </c>
      <c r="S28" s="92">
        <v>3328</v>
      </c>
      <c r="T28" s="123"/>
      <c r="U28" s="123"/>
      <c r="V28" s="123"/>
      <c r="W28" s="124"/>
      <c r="X28" s="92">
        <v>9</v>
      </c>
      <c r="Y28" s="92">
        <v>30</v>
      </c>
      <c r="Z28" s="116">
        <f>IF($V$26&gt;AC28,$E$4*0.9*0.9*T33,0)</f>
        <v>0</v>
      </c>
      <c r="AA28" s="196" t="str">
        <f t="shared" si="0"/>
        <v>-</v>
      </c>
      <c r="AB28" s="185" t="str">
        <f t="shared" si="6"/>
        <v>-</v>
      </c>
      <c r="AC28" s="278">
        <f t="shared" ref="AC28:AC78" si="14">AC27+1</f>
        <v>25</v>
      </c>
      <c r="AD28" s="279"/>
      <c r="AE28" s="83" t="str">
        <f t="shared" si="7"/>
        <v>-</v>
      </c>
      <c r="AF28" s="84"/>
      <c r="AG28" s="280" t="str">
        <f t="shared" si="8"/>
        <v>-</v>
      </c>
      <c r="AH28" s="281"/>
      <c r="AI28" s="282" t="str">
        <f t="shared" si="9"/>
        <v>-</v>
      </c>
      <c r="AJ28" s="283"/>
      <c r="AK28" s="85">
        <f t="shared" ca="1" si="1"/>
        <v>46934</v>
      </c>
      <c r="AL28" s="278">
        <v>25</v>
      </c>
      <c r="AM28" s="279"/>
      <c r="AN28" s="86" t="e">
        <f t="shared" si="2"/>
        <v>#DIV/0!</v>
      </c>
      <c r="AO28" s="87"/>
      <c r="AP28" s="284" t="e">
        <f t="shared" ca="1" si="3"/>
        <v>#DIV/0!</v>
      </c>
      <c r="AQ28" s="285"/>
      <c r="AR28" s="286" t="e">
        <f t="shared" ca="1" si="4"/>
        <v>#DIV/0!</v>
      </c>
      <c r="AS28" s="287"/>
      <c r="AT28" s="87" t="e">
        <f t="shared" ca="1" si="10"/>
        <v>#DIV/0!</v>
      </c>
      <c r="AU28" s="75" t="e">
        <f>AI28+AW28+AX28</f>
        <v>#VALUE!</v>
      </c>
      <c r="AW28" s="63" t="str">
        <f>IF($E$12&gt;$R$3,$E$4*0.9*0.9*5.5%,"")</f>
        <v/>
      </c>
      <c r="AX28" s="63" t="e">
        <f>IF(#REF!=0,0,IF($E$12&gt;$R$3,(AE90-SUM(AE4:AE27))*0.0299,""))</f>
        <v>#REF!</v>
      </c>
      <c r="AZ28" s="216">
        <v>2.7000000000000001E-3</v>
      </c>
    </row>
    <row r="29" spans="1:52" ht="14.1" customHeight="1" x14ac:dyDescent="0.3">
      <c r="A29" s="43"/>
      <c r="B29" s="244">
        <v>6</v>
      </c>
      <c r="C29" s="244"/>
      <c r="D29" s="205" t="str">
        <f t="shared" si="11"/>
        <v>-</v>
      </c>
      <c r="E29" s="243" t="str">
        <f t="shared" si="12"/>
        <v>-</v>
      </c>
      <c r="F29" s="243"/>
      <c r="G29" s="243" t="str">
        <f t="shared" si="13"/>
        <v>-</v>
      </c>
      <c r="H29" s="243"/>
      <c r="I29" s="202"/>
      <c r="J29" s="53"/>
      <c r="K29" s="54"/>
      <c r="L29" s="54"/>
      <c r="M29" s="54"/>
      <c r="N29" s="54"/>
      <c r="O29" s="125"/>
      <c r="T29" s="123"/>
      <c r="U29" s="123"/>
      <c r="V29" s="123"/>
      <c r="W29" s="124"/>
      <c r="X29" s="92">
        <v>10</v>
      </c>
      <c r="Y29" s="92">
        <v>31</v>
      </c>
      <c r="AA29" s="196" t="str">
        <f t="shared" si="0"/>
        <v>-</v>
      </c>
      <c r="AB29" s="185" t="str">
        <f t="shared" si="6"/>
        <v>-</v>
      </c>
      <c r="AC29" s="278">
        <f t="shared" si="14"/>
        <v>26</v>
      </c>
      <c r="AD29" s="279"/>
      <c r="AE29" s="83" t="str">
        <f t="shared" si="7"/>
        <v>-</v>
      </c>
      <c r="AF29" s="84"/>
      <c r="AG29" s="280" t="str">
        <f t="shared" si="8"/>
        <v>-</v>
      </c>
      <c r="AH29" s="281"/>
      <c r="AI29" s="282" t="str">
        <f t="shared" si="9"/>
        <v>-</v>
      </c>
      <c r="AJ29" s="283"/>
      <c r="AK29" s="85">
        <f t="shared" ca="1" si="1"/>
        <v>46965</v>
      </c>
      <c r="AL29" s="278">
        <v>26</v>
      </c>
      <c r="AM29" s="279"/>
      <c r="AN29" s="86" t="e">
        <f t="shared" si="2"/>
        <v>#DIV/0!</v>
      </c>
      <c r="AO29" s="87"/>
      <c r="AP29" s="284" t="e">
        <f t="shared" ca="1" si="3"/>
        <v>#DIV/0!</v>
      </c>
      <c r="AQ29" s="285"/>
      <c r="AR29" s="286" t="e">
        <f t="shared" ca="1" si="4"/>
        <v>#DIV/0!</v>
      </c>
      <c r="AS29" s="287"/>
      <c r="AT29" s="87" t="e">
        <f t="shared" ca="1" si="10"/>
        <v>#DIV/0!</v>
      </c>
      <c r="AU29" s="75" t="str">
        <f t="shared" si="5"/>
        <v>-</v>
      </c>
      <c r="AZ29" s="216">
        <v>2.8E-3</v>
      </c>
    </row>
    <row r="30" spans="1:52" ht="14.1" customHeight="1" x14ac:dyDescent="0.3">
      <c r="A30" s="43"/>
      <c r="B30" s="244">
        <v>7</v>
      </c>
      <c r="C30" s="244"/>
      <c r="D30" s="205" t="str">
        <f t="shared" si="11"/>
        <v>-</v>
      </c>
      <c r="E30" s="243" t="str">
        <f t="shared" si="12"/>
        <v>-</v>
      </c>
      <c r="F30" s="243"/>
      <c r="G30" s="243" t="str">
        <f t="shared" si="13"/>
        <v>-</v>
      </c>
      <c r="H30" s="243"/>
      <c r="I30" s="202"/>
      <c r="J30" s="53"/>
      <c r="K30" s="54"/>
      <c r="L30" s="54"/>
      <c r="M30" s="50"/>
      <c r="N30" s="54"/>
      <c r="O30" s="125"/>
      <c r="T30" s="123"/>
      <c r="U30" s="123"/>
      <c r="V30" s="123"/>
      <c r="W30" s="124"/>
      <c r="X30" s="92">
        <v>11</v>
      </c>
      <c r="Y30" s="92">
        <v>30</v>
      </c>
      <c r="AA30" s="196" t="str">
        <f t="shared" si="0"/>
        <v>-</v>
      </c>
      <c r="AB30" s="185" t="str">
        <f t="shared" si="6"/>
        <v>-</v>
      </c>
      <c r="AC30" s="278">
        <f t="shared" si="14"/>
        <v>27</v>
      </c>
      <c r="AD30" s="279"/>
      <c r="AE30" s="83" t="str">
        <f t="shared" si="7"/>
        <v>-</v>
      </c>
      <c r="AF30" s="84"/>
      <c r="AG30" s="280" t="str">
        <f t="shared" si="8"/>
        <v>-</v>
      </c>
      <c r="AH30" s="281"/>
      <c r="AI30" s="282" t="str">
        <f t="shared" si="9"/>
        <v>-</v>
      </c>
      <c r="AJ30" s="283"/>
      <c r="AK30" s="85">
        <f t="shared" ca="1" si="1"/>
        <v>46996</v>
      </c>
      <c r="AL30" s="278">
        <v>27</v>
      </c>
      <c r="AM30" s="279"/>
      <c r="AN30" s="86" t="e">
        <f t="shared" si="2"/>
        <v>#DIV/0!</v>
      </c>
      <c r="AO30" s="87"/>
      <c r="AP30" s="284" t="e">
        <f t="shared" ca="1" si="3"/>
        <v>#DIV/0!</v>
      </c>
      <c r="AQ30" s="285"/>
      <c r="AR30" s="286" t="e">
        <f t="shared" ca="1" si="4"/>
        <v>#DIV/0!</v>
      </c>
      <c r="AS30" s="287"/>
      <c r="AT30" s="87" t="e">
        <f t="shared" ca="1" si="10"/>
        <v>#DIV/0!</v>
      </c>
      <c r="AU30" s="75" t="str">
        <f t="shared" si="5"/>
        <v>-</v>
      </c>
      <c r="AZ30" s="216">
        <v>2.8999999999999998E-3</v>
      </c>
    </row>
    <row r="31" spans="1:52" ht="14.1" customHeight="1" x14ac:dyDescent="0.3">
      <c r="A31" s="43"/>
      <c r="B31" s="244">
        <v>8</v>
      </c>
      <c r="C31" s="244"/>
      <c r="D31" s="205" t="str">
        <f t="shared" si="11"/>
        <v>-</v>
      </c>
      <c r="E31" s="243" t="str">
        <f t="shared" si="12"/>
        <v>-</v>
      </c>
      <c r="F31" s="243"/>
      <c r="G31" s="243" t="str">
        <f t="shared" si="13"/>
        <v>-</v>
      </c>
      <c r="H31" s="243"/>
      <c r="I31" s="202"/>
      <c r="J31" s="53"/>
      <c r="K31" s="54"/>
      <c r="L31" s="54"/>
      <c r="M31" s="54"/>
      <c r="N31" s="54"/>
      <c r="O31" s="125"/>
      <c r="T31" s="123"/>
      <c r="U31" s="123"/>
      <c r="V31" s="123"/>
      <c r="W31" s="124"/>
      <c r="X31" s="92">
        <v>12</v>
      </c>
      <c r="Y31" s="92">
        <v>31</v>
      </c>
      <c r="AA31" s="196" t="str">
        <f t="shared" si="0"/>
        <v>-</v>
      </c>
      <c r="AB31" s="185" t="str">
        <f t="shared" si="6"/>
        <v>-</v>
      </c>
      <c r="AC31" s="278">
        <f t="shared" si="14"/>
        <v>28</v>
      </c>
      <c r="AD31" s="279"/>
      <c r="AE31" s="83" t="str">
        <f t="shared" si="7"/>
        <v>-</v>
      </c>
      <c r="AF31" s="84"/>
      <c r="AG31" s="280" t="str">
        <f t="shared" si="8"/>
        <v>-</v>
      </c>
      <c r="AH31" s="281"/>
      <c r="AI31" s="282" t="str">
        <f t="shared" si="9"/>
        <v>-</v>
      </c>
      <c r="AJ31" s="283"/>
      <c r="AK31" s="85">
        <f t="shared" ca="1" si="1"/>
        <v>47026</v>
      </c>
      <c r="AL31" s="278">
        <v>28</v>
      </c>
      <c r="AM31" s="279"/>
      <c r="AN31" s="86" t="e">
        <f t="shared" si="2"/>
        <v>#DIV/0!</v>
      </c>
      <c r="AO31" s="87"/>
      <c r="AP31" s="284" t="e">
        <f t="shared" ca="1" si="3"/>
        <v>#DIV/0!</v>
      </c>
      <c r="AQ31" s="285"/>
      <c r="AR31" s="286" t="e">
        <f t="shared" ca="1" si="4"/>
        <v>#DIV/0!</v>
      </c>
      <c r="AS31" s="287"/>
      <c r="AT31" s="87" t="e">
        <f t="shared" ca="1" si="10"/>
        <v>#DIV/0!</v>
      </c>
      <c r="AU31" s="75" t="str">
        <f t="shared" si="5"/>
        <v>-</v>
      </c>
      <c r="AZ31" s="216">
        <v>3.0000000000000001E-3</v>
      </c>
    </row>
    <row r="32" spans="1:52" ht="14.1" customHeight="1" x14ac:dyDescent="0.3">
      <c r="A32" s="43"/>
      <c r="B32" s="244">
        <v>9</v>
      </c>
      <c r="C32" s="244"/>
      <c r="D32" s="205" t="str">
        <f t="shared" si="11"/>
        <v>-</v>
      </c>
      <c r="E32" s="243" t="str">
        <f t="shared" si="12"/>
        <v>-</v>
      </c>
      <c r="F32" s="243"/>
      <c r="G32" s="243" t="str">
        <f t="shared" si="13"/>
        <v>-</v>
      </c>
      <c r="H32" s="243"/>
      <c r="I32" s="202"/>
      <c r="J32" s="53"/>
      <c r="K32" s="54"/>
      <c r="L32" s="54"/>
      <c r="M32" s="54"/>
      <c r="N32" s="54"/>
      <c r="O32" s="125"/>
      <c r="Q32" s="126" t="s">
        <v>249</v>
      </c>
      <c r="R32" s="127" t="s">
        <v>274</v>
      </c>
      <c r="S32" s="188" t="s">
        <v>275</v>
      </c>
      <c r="T32" s="188" t="s">
        <v>229</v>
      </c>
      <c r="U32" s="187" t="s">
        <v>276</v>
      </c>
      <c r="V32" s="123"/>
      <c r="W32" s="124"/>
      <c r="AA32" s="196" t="str">
        <f t="shared" si="0"/>
        <v>-</v>
      </c>
      <c r="AB32" s="185" t="str">
        <f t="shared" si="6"/>
        <v>-</v>
      </c>
      <c r="AC32" s="278">
        <f t="shared" si="14"/>
        <v>29</v>
      </c>
      <c r="AD32" s="279"/>
      <c r="AE32" s="83" t="str">
        <f t="shared" si="7"/>
        <v>-</v>
      </c>
      <c r="AF32" s="84"/>
      <c r="AG32" s="280" t="str">
        <f t="shared" si="8"/>
        <v>-</v>
      </c>
      <c r="AH32" s="281"/>
      <c r="AI32" s="282" t="str">
        <f t="shared" si="9"/>
        <v>-</v>
      </c>
      <c r="AJ32" s="283"/>
      <c r="AK32" s="85">
        <f t="shared" ca="1" si="1"/>
        <v>47057</v>
      </c>
      <c r="AL32" s="278">
        <v>29</v>
      </c>
      <c r="AM32" s="279"/>
      <c r="AN32" s="86" t="e">
        <f t="shared" si="2"/>
        <v>#DIV/0!</v>
      </c>
      <c r="AO32" s="87"/>
      <c r="AP32" s="284" t="e">
        <f t="shared" ca="1" si="3"/>
        <v>#DIV/0!</v>
      </c>
      <c r="AQ32" s="285"/>
      <c r="AR32" s="286" t="e">
        <f t="shared" ca="1" si="4"/>
        <v>#DIV/0!</v>
      </c>
      <c r="AS32" s="287"/>
      <c r="AT32" s="87" t="e">
        <f t="shared" ca="1" si="10"/>
        <v>#DIV/0!</v>
      </c>
      <c r="AU32" s="75" t="str">
        <f t="shared" si="5"/>
        <v>-</v>
      </c>
      <c r="AZ32" s="216">
        <v>3.0999999999999999E-3</v>
      </c>
    </row>
    <row r="33" spans="1:52" ht="14.1" customHeight="1" x14ac:dyDescent="0.3">
      <c r="A33" s="43"/>
      <c r="B33" s="244">
        <v>10</v>
      </c>
      <c r="C33" s="244"/>
      <c r="D33" s="205" t="str">
        <f t="shared" si="11"/>
        <v>-</v>
      </c>
      <c r="E33" s="243" t="str">
        <f t="shared" si="12"/>
        <v>-</v>
      </c>
      <c r="F33" s="243"/>
      <c r="G33" s="243" t="str">
        <f t="shared" si="13"/>
        <v>-</v>
      </c>
      <c r="H33" s="243"/>
      <c r="I33" s="202"/>
      <c r="J33" s="53"/>
      <c r="K33" s="54"/>
      <c r="L33" s="54"/>
      <c r="M33" s="57"/>
      <c r="N33" s="54"/>
      <c r="O33" s="125"/>
      <c r="Q33" s="126" t="s">
        <v>243</v>
      </c>
      <c r="R33" s="146">
        <f>Калькулятор!N6</f>
        <v>0</v>
      </c>
      <c r="S33" s="189">
        <f>Калькулятор!G9/100</f>
        <v>0</v>
      </c>
      <c r="T33" s="190">
        <f>M8</f>
        <v>6.7900000000000002E-2</v>
      </c>
      <c r="U33" s="128">
        <v>750</v>
      </c>
      <c r="V33" s="123"/>
      <c r="W33" s="124"/>
      <c r="AA33" s="196" t="str">
        <f t="shared" si="0"/>
        <v>-</v>
      </c>
      <c r="AB33" s="185" t="str">
        <f t="shared" si="6"/>
        <v>-</v>
      </c>
      <c r="AC33" s="278">
        <f t="shared" si="14"/>
        <v>30</v>
      </c>
      <c r="AD33" s="279"/>
      <c r="AE33" s="83" t="str">
        <f t="shared" si="7"/>
        <v>-</v>
      </c>
      <c r="AF33" s="84"/>
      <c r="AG33" s="280" t="str">
        <f t="shared" si="8"/>
        <v>-</v>
      </c>
      <c r="AH33" s="281"/>
      <c r="AI33" s="282" t="str">
        <f t="shared" si="9"/>
        <v>-</v>
      </c>
      <c r="AJ33" s="283"/>
      <c r="AK33" s="85">
        <f t="shared" ca="1" si="1"/>
        <v>47087</v>
      </c>
      <c r="AL33" s="278">
        <v>30</v>
      </c>
      <c r="AM33" s="279"/>
      <c r="AN33" s="86" t="e">
        <f t="shared" si="2"/>
        <v>#DIV/0!</v>
      </c>
      <c r="AO33" s="87"/>
      <c r="AP33" s="284" t="e">
        <f t="shared" ca="1" si="3"/>
        <v>#DIV/0!</v>
      </c>
      <c r="AQ33" s="285"/>
      <c r="AR33" s="286" t="e">
        <f t="shared" ca="1" si="4"/>
        <v>#DIV/0!</v>
      </c>
      <c r="AS33" s="287"/>
      <c r="AT33" s="87" t="e">
        <f t="shared" ca="1" si="10"/>
        <v>#DIV/0!</v>
      </c>
      <c r="AU33" s="75" t="str">
        <f t="shared" si="5"/>
        <v>-</v>
      </c>
      <c r="AZ33" s="216">
        <v>3.2000000000000002E-3</v>
      </c>
    </row>
    <row r="34" spans="1:52" ht="14.1" customHeight="1" x14ac:dyDescent="0.3">
      <c r="A34" s="43"/>
      <c r="B34" s="244">
        <v>11</v>
      </c>
      <c r="C34" s="244"/>
      <c r="D34" s="205" t="str">
        <f t="shared" si="11"/>
        <v>-</v>
      </c>
      <c r="E34" s="243" t="str">
        <f t="shared" si="12"/>
        <v>-</v>
      </c>
      <c r="F34" s="243"/>
      <c r="G34" s="243" t="str">
        <f t="shared" si="13"/>
        <v>-</v>
      </c>
      <c r="H34" s="243"/>
      <c r="I34" s="202"/>
      <c r="J34" s="53"/>
      <c r="K34" s="54"/>
      <c r="L34" s="54"/>
      <c r="M34" s="54"/>
      <c r="N34" s="54"/>
      <c r="O34" s="125"/>
      <c r="R34" s="129"/>
      <c r="T34" s="123"/>
      <c r="U34" s="123"/>
      <c r="V34" s="123"/>
      <c r="W34" s="124"/>
      <c r="AA34" s="196" t="str">
        <f t="shared" si="0"/>
        <v>-</v>
      </c>
      <c r="AB34" s="185" t="str">
        <f t="shared" si="6"/>
        <v>-</v>
      </c>
      <c r="AC34" s="278">
        <f t="shared" si="14"/>
        <v>31</v>
      </c>
      <c r="AD34" s="279"/>
      <c r="AE34" s="83" t="str">
        <f t="shared" si="7"/>
        <v>-</v>
      </c>
      <c r="AF34" s="84"/>
      <c r="AG34" s="280" t="str">
        <f t="shared" si="8"/>
        <v>-</v>
      </c>
      <c r="AH34" s="281"/>
      <c r="AI34" s="282" t="str">
        <f t="shared" si="9"/>
        <v>-</v>
      </c>
      <c r="AJ34" s="283"/>
      <c r="AK34" s="85">
        <f t="shared" ca="1" si="1"/>
        <v>47118</v>
      </c>
      <c r="AL34" s="278">
        <v>31</v>
      </c>
      <c r="AM34" s="279"/>
      <c r="AN34" s="86" t="e">
        <f t="shared" si="2"/>
        <v>#DIV/0!</v>
      </c>
      <c r="AO34" s="87"/>
      <c r="AP34" s="284" t="e">
        <f t="shared" ca="1" si="3"/>
        <v>#DIV/0!</v>
      </c>
      <c r="AQ34" s="285"/>
      <c r="AR34" s="286" t="e">
        <f t="shared" ca="1" si="4"/>
        <v>#DIV/0!</v>
      </c>
      <c r="AS34" s="287"/>
      <c r="AT34" s="87" t="e">
        <f t="shared" ca="1" si="10"/>
        <v>#DIV/0!</v>
      </c>
      <c r="AU34" s="75" t="str">
        <f t="shared" si="5"/>
        <v>-</v>
      </c>
      <c r="AZ34" s="216">
        <v>3.3E-3</v>
      </c>
    </row>
    <row r="35" spans="1:52" ht="14.1" customHeight="1" x14ac:dyDescent="0.3">
      <c r="A35" s="43"/>
      <c r="B35" s="244">
        <v>12</v>
      </c>
      <c r="C35" s="244"/>
      <c r="D35" s="205" t="str">
        <f t="shared" si="11"/>
        <v>-</v>
      </c>
      <c r="E35" s="243" t="str">
        <f t="shared" si="12"/>
        <v>-</v>
      </c>
      <c r="F35" s="243"/>
      <c r="G35" s="243" t="str">
        <f t="shared" si="13"/>
        <v>-</v>
      </c>
      <c r="H35" s="243"/>
      <c r="I35" s="202"/>
      <c r="J35" s="53"/>
      <c r="K35" s="56"/>
      <c r="L35" s="56"/>
      <c r="M35" s="54"/>
      <c r="N35" s="54"/>
      <c r="O35" s="125"/>
      <c r="Q35" s="192" t="s">
        <v>277</v>
      </c>
      <c r="R35" s="193" t="e">
        <f>MAX(AI4:AJ87)</f>
        <v>#VALUE!</v>
      </c>
      <c r="S35" s="63"/>
      <c r="T35" s="123"/>
      <c r="V35" s="123"/>
      <c r="W35" s="124"/>
      <c r="AA35" s="196" t="str">
        <f t="shared" si="0"/>
        <v>-</v>
      </c>
      <c r="AB35" s="185" t="str">
        <f t="shared" si="6"/>
        <v>-</v>
      </c>
      <c r="AC35" s="278">
        <f t="shared" si="14"/>
        <v>32</v>
      </c>
      <c r="AD35" s="279"/>
      <c r="AE35" s="83" t="str">
        <f t="shared" si="7"/>
        <v>-</v>
      </c>
      <c r="AF35" s="84"/>
      <c r="AG35" s="280" t="str">
        <f t="shared" si="8"/>
        <v>-</v>
      </c>
      <c r="AH35" s="281"/>
      <c r="AI35" s="282" t="str">
        <f t="shared" si="9"/>
        <v>-</v>
      </c>
      <c r="AJ35" s="283"/>
      <c r="AK35" s="85">
        <f t="shared" ca="1" si="1"/>
        <v>47149</v>
      </c>
      <c r="AL35" s="278">
        <v>32</v>
      </c>
      <c r="AM35" s="279"/>
      <c r="AN35" s="86" t="e">
        <f t="shared" si="2"/>
        <v>#DIV/0!</v>
      </c>
      <c r="AO35" s="87"/>
      <c r="AP35" s="284" t="e">
        <f t="shared" ca="1" si="3"/>
        <v>#DIV/0!</v>
      </c>
      <c r="AQ35" s="285"/>
      <c r="AR35" s="286" t="e">
        <f t="shared" ca="1" si="4"/>
        <v>#DIV/0!</v>
      </c>
      <c r="AS35" s="287"/>
      <c r="AT35" s="87" t="e">
        <f t="shared" ca="1" si="10"/>
        <v>#DIV/0!</v>
      </c>
      <c r="AU35" s="75" t="str">
        <f t="shared" si="5"/>
        <v>-</v>
      </c>
      <c r="AZ35" s="216">
        <v>3.3999999999999998E-3</v>
      </c>
    </row>
    <row r="36" spans="1:52" ht="14.1" customHeight="1" x14ac:dyDescent="0.3">
      <c r="A36" s="43"/>
      <c r="B36" s="244" t="str">
        <f>IF(E12=12,"Всього:",IF(B35&lt;$E$12,B35+1,""))</f>
        <v/>
      </c>
      <c r="C36" s="244"/>
      <c r="D36" s="205" t="str">
        <f>IF(E12=12,SUM(D24:D35),IF(B35&lt;$E$12,AE16,""))</f>
        <v/>
      </c>
      <c r="E36" s="243" t="str">
        <f>IF(E12=12,SUM(E24:F35),IF(B35&lt;$E$12,AG16,""))</f>
        <v/>
      </c>
      <c r="F36" s="243"/>
      <c r="G36" s="243" t="str">
        <f>IF(E12=12,SUM(G24:H35),IF(B35&lt;$E$12,AI16,""))</f>
        <v/>
      </c>
      <c r="H36" s="243"/>
      <c r="I36" s="202"/>
      <c r="J36" s="53"/>
      <c r="K36" s="56"/>
      <c r="L36" s="56"/>
      <c r="M36" s="54"/>
      <c r="N36" s="54"/>
      <c r="O36" s="125"/>
      <c r="Q36" s="12" t="s">
        <v>212</v>
      </c>
      <c r="R36" s="92">
        <f>Калькулятор!N40</f>
        <v>0</v>
      </c>
      <c r="S36" s="63"/>
      <c r="T36" s="123"/>
      <c r="U36" s="123"/>
      <c r="V36" s="123"/>
      <c r="W36" s="124"/>
      <c r="AA36" s="196" t="str">
        <f t="shared" si="0"/>
        <v>-</v>
      </c>
      <c r="AB36" s="185" t="str">
        <f t="shared" si="6"/>
        <v>-</v>
      </c>
      <c r="AC36" s="278">
        <f t="shared" si="14"/>
        <v>33</v>
      </c>
      <c r="AD36" s="279"/>
      <c r="AE36" s="83" t="str">
        <f t="shared" si="7"/>
        <v>-</v>
      </c>
      <c r="AF36" s="84"/>
      <c r="AG36" s="280" t="str">
        <f t="shared" si="8"/>
        <v>-</v>
      </c>
      <c r="AH36" s="281"/>
      <c r="AI36" s="282" t="str">
        <f t="shared" si="9"/>
        <v>-</v>
      </c>
      <c r="AJ36" s="283"/>
      <c r="AK36" s="85">
        <f t="shared" ca="1" si="1"/>
        <v>47177</v>
      </c>
      <c r="AL36" s="278">
        <v>33</v>
      </c>
      <c r="AM36" s="279"/>
      <c r="AN36" s="86" t="e">
        <f t="shared" si="2"/>
        <v>#DIV/0!</v>
      </c>
      <c r="AO36" s="87"/>
      <c r="AP36" s="284" t="e">
        <f t="shared" ca="1" si="3"/>
        <v>#DIV/0!</v>
      </c>
      <c r="AQ36" s="285"/>
      <c r="AR36" s="286" t="e">
        <f t="shared" ca="1" si="4"/>
        <v>#DIV/0!</v>
      </c>
      <c r="AS36" s="287"/>
      <c r="AT36" s="87" t="e">
        <f t="shared" ca="1" si="10"/>
        <v>#DIV/0!</v>
      </c>
      <c r="AU36" s="75" t="str">
        <f t="shared" si="5"/>
        <v>-</v>
      </c>
      <c r="AZ36" s="216">
        <v>3.5000000000000001E-3</v>
      </c>
    </row>
    <row r="37" spans="1:52" ht="14.1" customHeight="1" x14ac:dyDescent="0.3">
      <c r="A37" s="43"/>
      <c r="B37" s="244" t="str">
        <f t="shared" ref="B37:B100" si="15">IF(B36&lt;$E$12,B36+1,"")</f>
        <v/>
      </c>
      <c r="C37" s="244"/>
      <c r="D37" s="205" t="str">
        <f t="shared" ref="D37:D47" si="16">IF(B36&lt;$E$12,AE17,"")</f>
        <v/>
      </c>
      <c r="E37" s="243" t="str">
        <f t="shared" ref="E37:E47" si="17">IF(B36&lt;$E$12,AG17,"")</f>
        <v/>
      </c>
      <c r="F37" s="243"/>
      <c r="G37" s="243" t="str">
        <f t="shared" ref="G37:G47" si="18">IF(B36&lt;$E$12,AI17,"")</f>
        <v/>
      </c>
      <c r="H37" s="243"/>
      <c r="I37" s="202"/>
      <c r="J37" s="53"/>
      <c r="K37" s="56"/>
      <c r="L37" s="56"/>
      <c r="M37" s="54"/>
      <c r="N37" s="54"/>
      <c r="O37" s="125"/>
      <c r="Q37" s="192" t="s">
        <v>278</v>
      </c>
      <c r="R37" s="192" t="e">
        <f>V9*S33</f>
        <v>#VALUE!</v>
      </c>
      <c r="S37" s="63"/>
      <c r="AA37" s="196" t="str">
        <f t="shared" si="0"/>
        <v>-</v>
      </c>
      <c r="AB37" s="185" t="str">
        <f t="shared" si="6"/>
        <v>-</v>
      </c>
      <c r="AC37" s="278">
        <f t="shared" si="14"/>
        <v>34</v>
      </c>
      <c r="AD37" s="279"/>
      <c r="AE37" s="83" t="str">
        <f t="shared" si="7"/>
        <v>-</v>
      </c>
      <c r="AF37" s="84"/>
      <c r="AG37" s="280" t="str">
        <f t="shared" si="8"/>
        <v>-</v>
      </c>
      <c r="AH37" s="281"/>
      <c r="AI37" s="282" t="str">
        <f t="shared" si="9"/>
        <v>-</v>
      </c>
      <c r="AJ37" s="283"/>
      <c r="AK37" s="85">
        <f t="shared" ca="1" si="1"/>
        <v>47208</v>
      </c>
      <c r="AL37" s="278">
        <v>34</v>
      </c>
      <c r="AM37" s="279"/>
      <c r="AN37" s="86" t="e">
        <f t="shared" si="2"/>
        <v>#DIV/0!</v>
      </c>
      <c r="AO37" s="87"/>
      <c r="AP37" s="284" t="e">
        <f t="shared" ca="1" si="3"/>
        <v>#DIV/0!</v>
      </c>
      <c r="AQ37" s="285"/>
      <c r="AR37" s="286" t="e">
        <f t="shared" ca="1" si="4"/>
        <v>#DIV/0!</v>
      </c>
      <c r="AS37" s="287"/>
      <c r="AT37" s="87" t="e">
        <f t="shared" ca="1" si="10"/>
        <v>#DIV/0!</v>
      </c>
      <c r="AU37" s="75" t="str">
        <f t="shared" si="5"/>
        <v>-</v>
      </c>
      <c r="AZ37" s="216">
        <v>3.5999999999999999E-3</v>
      </c>
    </row>
    <row r="38" spans="1:52" ht="14.1" customHeight="1" x14ac:dyDescent="0.3">
      <c r="A38" s="43"/>
      <c r="B38" s="244" t="str">
        <f t="shared" si="15"/>
        <v/>
      </c>
      <c r="C38" s="244"/>
      <c r="D38" s="205" t="str">
        <f t="shared" si="16"/>
        <v/>
      </c>
      <c r="E38" s="243" t="str">
        <f t="shared" si="17"/>
        <v/>
      </c>
      <c r="F38" s="243"/>
      <c r="G38" s="243" t="str">
        <f t="shared" si="18"/>
        <v/>
      </c>
      <c r="H38" s="243"/>
      <c r="I38" s="202"/>
      <c r="J38" s="53"/>
      <c r="K38" s="56"/>
      <c r="L38" s="56"/>
      <c r="M38" s="54"/>
      <c r="N38" s="54"/>
      <c r="O38" s="125"/>
      <c r="Q38" s="192" t="s">
        <v>214</v>
      </c>
      <c r="R38" s="192">
        <f>E4*T33</f>
        <v>0</v>
      </c>
      <c r="S38" s="63"/>
      <c r="T38" s="131"/>
      <c r="U38" s="132"/>
      <c r="V38" s="133"/>
      <c r="W38" s="133"/>
      <c r="X38" s="133"/>
      <c r="Y38" s="133"/>
      <c r="AA38" s="196" t="str">
        <f t="shared" si="0"/>
        <v>-</v>
      </c>
      <c r="AB38" s="185" t="str">
        <f t="shared" si="6"/>
        <v>-</v>
      </c>
      <c r="AC38" s="278">
        <f t="shared" si="14"/>
        <v>35</v>
      </c>
      <c r="AD38" s="279"/>
      <c r="AE38" s="83" t="str">
        <f t="shared" si="7"/>
        <v>-</v>
      </c>
      <c r="AF38" s="84"/>
      <c r="AG38" s="280" t="str">
        <f t="shared" si="8"/>
        <v>-</v>
      </c>
      <c r="AH38" s="281"/>
      <c r="AI38" s="282" t="str">
        <f t="shared" si="9"/>
        <v>-</v>
      </c>
      <c r="AJ38" s="283"/>
      <c r="AK38" s="85">
        <f t="shared" ca="1" si="1"/>
        <v>47238</v>
      </c>
      <c r="AL38" s="278">
        <v>35</v>
      </c>
      <c r="AM38" s="279"/>
      <c r="AN38" s="86" t="e">
        <f t="shared" si="2"/>
        <v>#DIV/0!</v>
      </c>
      <c r="AO38" s="87"/>
      <c r="AP38" s="284" t="e">
        <f t="shared" ca="1" si="3"/>
        <v>#DIV/0!</v>
      </c>
      <c r="AQ38" s="285"/>
      <c r="AR38" s="286" t="e">
        <f t="shared" ca="1" si="4"/>
        <v>#DIV/0!</v>
      </c>
      <c r="AS38" s="287"/>
      <c r="AT38" s="87" t="e">
        <f t="shared" ca="1" si="10"/>
        <v>#DIV/0!</v>
      </c>
      <c r="AU38" s="75" t="str">
        <f t="shared" si="5"/>
        <v>-</v>
      </c>
      <c r="AZ38" s="216">
        <v>3.7000000000000002E-3</v>
      </c>
    </row>
    <row r="39" spans="1:52" ht="14.1" customHeight="1" thickBot="1" x14ac:dyDescent="0.35">
      <c r="A39" s="43"/>
      <c r="B39" s="244" t="str">
        <f t="shared" si="15"/>
        <v/>
      </c>
      <c r="C39" s="244"/>
      <c r="D39" s="205" t="str">
        <f t="shared" si="16"/>
        <v/>
      </c>
      <c r="E39" s="243" t="str">
        <f t="shared" si="17"/>
        <v/>
      </c>
      <c r="F39" s="243"/>
      <c r="G39" s="243" t="str">
        <f t="shared" si="18"/>
        <v/>
      </c>
      <c r="H39" s="243"/>
      <c r="I39" s="202"/>
      <c r="J39" s="53"/>
      <c r="K39" s="55"/>
      <c r="L39" s="56"/>
      <c r="M39" s="54"/>
      <c r="N39" s="54"/>
      <c r="O39" s="125"/>
      <c r="Q39" s="92" t="s">
        <v>215</v>
      </c>
      <c r="R39" s="194">
        <f>IF(E6="Ні",IF(E4/1.2&lt;=165*$S$28,E4/1.2*3%,IF(E4/1.2&lt;=290*$S$28,E4/1.2*4%,E4/1.2*5%)),0)</f>
        <v>0</v>
      </c>
      <c r="T39" s="131"/>
      <c r="U39" s="132"/>
      <c r="V39" s="132"/>
      <c r="W39" s="132"/>
      <c r="X39" s="132"/>
      <c r="Y39" s="132"/>
      <c r="AA39" s="196" t="str">
        <f>IFERROR(AI39+Z40,"-")</f>
        <v>-</v>
      </c>
      <c r="AB39" s="185" t="str">
        <f t="shared" si="6"/>
        <v>-</v>
      </c>
      <c r="AC39" s="278">
        <f t="shared" si="14"/>
        <v>36</v>
      </c>
      <c r="AD39" s="279"/>
      <c r="AE39" s="83" t="str">
        <f t="shared" si="7"/>
        <v>-</v>
      </c>
      <c r="AF39" s="84"/>
      <c r="AG39" s="280" t="str">
        <f t="shared" si="8"/>
        <v>-</v>
      </c>
      <c r="AH39" s="281"/>
      <c r="AI39" s="282" t="str">
        <f t="shared" si="9"/>
        <v>-</v>
      </c>
      <c r="AJ39" s="283"/>
      <c r="AK39" s="85">
        <f t="shared" ca="1" si="1"/>
        <v>47269</v>
      </c>
      <c r="AL39" s="278">
        <v>36</v>
      </c>
      <c r="AM39" s="279"/>
      <c r="AN39" s="86" t="e">
        <f t="shared" si="2"/>
        <v>#DIV/0!</v>
      </c>
      <c r="AO39" s="87"/>
      <c r="AP39" s="284" t="e">
        <f t="shared" ca="1" si="3"/>
        <v>#DIV/0!</v>
      </c>
      <c r="AQ39" s="285"/>
      <c r="AR39" s="286" t="e">
        <f t="shared" ca="1" si="4"/>
        <v>#DIV/0!</v>
      </c>
      <c r="AS39" s="287"/>
      <c r="AT39" s="87" t="e">
        <f t="shared" ca="1" si="10"/>
        <v>#DIV/0!</v>
      </c>
      <c r="AU39" s="75" t="str">
        <f t="shared" si="5"/>
        <v>-</v>
      </c>
      <c r="AZ39" s="216">
        <v>3.8E-3</v>
      </c>
    </row>
    <row r="40" spans="1:52" ht="14.1" customHeight="1" x14ac:dyDescent="0.3">
      <c r="A40" s="43"/>
      <c r="B40" s="244" t="str">
        <f t="shared" si="15"/>
        <v/>
      </c>
      <c r="C40" s="244"/>
      <c r="D40" s="205" t="str">
        <f t="shared" si="16"/>
        <v/>
      </c>
      <c r="E40" s="243" t="str">
        <f t="shared" si="17"/>
        <v/>
      </c>
      <c r="F40" s="243"/>
      <c r="G40" s="243" t="str">
        <f t="shared" si="18"/>
        <v/>
      </c>
      <c r="H40" s="243"/>
      <c r="I40" s="202"/>
      <c r="J40" s="53"/>
      <c r="K40" s="134" t="s">
        <v>279</v>
      </c>
      <c r="L40" s="56"/>
      <c r="M40" s="54"/>
      <c r="N40" s="54"/>
      <c r="O40" s="125"/>
      <c r="Q40" s="92" t="s">
        <v>219</v>
      </c>
      <c r="R40" s="92">
        <f>Калькулятор!N43+Калькулятор!N37</f>
        <v>0</v>
      </c>
      <c r="T40" s="135"/>
      <c r="U40" s="135"/>
      <c r="V40" s="135"/>
      <c r="W40" s="135"/>
      <c r="X40" s="135"/>
      <c r="Y40" s="135"/>
      <c r="Z40" s="116">
        <f>IF($V$26&gt;AC40,$E$4*0.9*0.9*0.9*T33,0)</f>
        <v>0</v>
      </c>
      <c r="AA40" s="196" t="str">
        <f t="shared" si="0"/>
        <v>-</v>
      </c>
      <c r="AB40" s="185" t="str">
        <f t="shared" si="6"/>
        <v>-</v>
      </c>
      <c r="AC40" s="278">
        <f t="shared" si="14"/>
        <v>37</v>
      </c>
      <c r="AD40" s="279"/>
      <c r="AE40" s="83" t="str">
        <f t="shared" si="7"/>
        <v>-</v>
      </c>
      <c r="AF40" s="84"/>
      <c r="AG40" s="280" t="str">
        <f t="shared" si="8"/>
        <v>-</v>
      </c>
      <c r="AH40" s="281"/>
      <c r="AI40" s="282" t="str">
        <f t="shared" si="9"/>
        <v>-</v>
      </c>
      <c r="AJ40" s="283"/>
      <c r="AK40" s="85">
        <f t="shared" ca="1" si="1"/>
        <v>47299</v>
      </c>
      <c r="AL40" s="278">
        <v>37</v>
      </c>
      <c r="AM40" s="279"/>
      <c r="AN40" s="86" t="e">
        <f t="shared" si="2"/>
        <v>#DIV/0!</v>
      </c>
      <c r="AO40" s="87"/>
      <c r="AP40" s="284" t="e">
        <f t="shared" ca="1" si="3"/>
        <v>#DIV/0!</v>
      </c>
      <c r="AQ40" s="285"/>
      <c r="AR40" s="286" t="e">
        <f t="shared" ca="1" si="4"/>
        <v>#DIV/0!</v>
      </c>
      <c r="AS40" s="287"/>
      <c r="AT40" s="87" t="e">
        <f t="shared" ca="1" si="10"/>
        <v>#DIV/0!</v>
      </c>
      <c r="AU40" s="75" t="e">
        <f>AI40+AW40+AX40</f>
        <v>#VALUE!</v>
      </c>
      <c r="AW40" s="63" t="str">
        <f>IF($E$12&gt;$R$4,$E$4*0.9*0.9*0.9*5.5%,"")</f>
        <v/>
      </c>
      <c r="AX40" s="63" t="e">
        <f>IF(#REF!=0,0,IF($E$12&gt;$R$4,(AE90-SUM(AE4:AE39))*0.0299,""))</f>
        <v>#REF!</v>
      </c>
      <c r="AZ40" s="216">
        <v>3.8999999999999998E-3</v>
      </c>
    </row>
    <row r="41" spans="1:52" ht="14.1" customHeight="1" thickBot="1" x14ac:dyDescent="0.35">
      <c r="A41" s="43"/>
      <c r="B41" s="244" t="str">
        <f t="shared" si="15"/>
        <v/>
      </c>
      <c r="C41" s="244"/>
      <c r="D41" s="205" t="str">
        <f t="shared" si="16"/>
        <v/>
      </c>
      <c r="E41" s="243" t="str">
        <f t="shared" si="17"/>
        <v/>
      </c>
      <c r="F41" s="243"/>
      <c r="G41" s="243" t="str">
        <f t="shared" si="18"/>
        <v/>
      </c>
      <c r="H41" s="243"/>
      <c r="I41" s="202"/>
      <c r="J41" s="53"/>
      <c r="K41" s="136"/>
      <c r="L41" s="56"/>
      <c r="M41" s="54"/>
      <c r="N41" s="54"/>
      <c r="O41" s="125"/>
      <c r="Q41" s="192" t="s">
        <v>280</v>
      </c>
      <c r="R41" s="197" t="b">
        <f>IF(V26=12,XIRR(AA3:AA15,AB3:AB15),IF(V26=24,XIRR(AA3:AA27,AB3:AB27),IF(V26=36,XIRR(AA3:AA39,AB3:AB39),IF(V26=48,XIRR(AA3:AA51,AB3:AB51),IF(V26=60,XIRR(AA3:AA63,AB3:AB63),IF(V26=72,XIRR(AA3:AA75,AB3:AB75),IF(V26=84,XIRR(AA3:AA87,AB3:AB87))))))))</f>
        <v>0</v>
      </c>
      <c r="S41" s="74"/>
      <c r="T41" s="74"/>
      <c r="U41" s="74"/>
      <c r="V41" s="74"/>
      <c r="W41" s="74"/>
      <c r="X41" s="74"/>
      <c r="Y41" s="74"/>
      <c r="AA41" s="196" t="str">
        <f t="shared" si="0"/>
        <v>-</v>
      </c>
      <c r="AB41" s="185" t="str">
        <f t="shared" si="6"/>
        <v>-</v>
      </c>
      <c r="AC41" s="278">
        <f t="shared" si="14"/>
        <v>38</v>
      </c>
      <c r="AD41" s="279"/>
      <c r="AE41" s="83" t="str">
        <f t="shared" si="7"/>
        <v>-</v>
      </c>
      <c r="AF41" s="84"/>
      <c r="AG41" s="280" t="str">
        <f t="shared" si="8"/>
        <v>-</v>
      </c>
      <c r="AH41" s="281"/>
      <c r="AI41" s="282" t="str">
        <f t="shared" si="9"/>
        <v>-</v>
      </c>
      <c r="AJ41" s="283"/>
      <c r="AK41" s="85">
        <f t="shared" ca="1" si="1"/>
        <v>47330</v>
      </c>
      <c r="AL41" s="278">
        <v>38</v>
      </c>
      <c r="AM41" s="279"/>
      <c r="AN41" s="86" t="e">
        <f t="shared" si="2"/>
        <v>#DIV/0!</v>
      </c>
      <c r="AO41" s="87"/>
      <c r="AP41" s="284" t="e">
        <f t="shared" ca="1" si="3"/>
        <v>#DIV/0!</v>
      </c>
      <c r="AQ41" s="285"/>
      <c r="AR41" s="286" t="e">
        <f t="shared" ca="1" si="4"/>
        <v>#DIV/0!</v>
      </c>
      <c r="AS41" s="287"/>
      <c r="AT41" s="87" t="e">
        <f t="shared" ca="1" si="10"/>
        <v>#DIV/0!</v>
      </c>
      <c r="AU41" s="75" t="str">
        <f t="shared" si="5"/>
        <v>-</v>
      </c>
      <c r="AZ41" s="216">
        <v>4.0000000000000001E-3</v>
      </c>
    </row>
    <row r="42" spans="1:52" ht="14.1" customHeight="1" x14ac:dyDescent="0.3">
      <c r="A42" s="43"/>
      <c r="B42" s="244" t="str">
        <f t="shared" si="15"/>
        <v/>
      </c>
      <c r="C42" s="244"/>
      <c r="D42" s="205" t="str">
        <f t="shared" si="16"/>
        <v/>
      </c>
      <c r="E42" s="243" t="str">
        <f t="shared" si="17"/>
        <v/>
      </c>
      <c r="F42" s="243"/>
      <c r="G42" s="243" t="str">
        <f t="shared" si="18"/>
        <v/>
      </c>
      <c r="H42" s="243"/>
      <c r="I42" s="202"/>
      <c r="J42" s="53"/>
      <c r="K42" s="55"/>
      <c r="L42" s="56"/>
      <c r="M42" s="54"/>
      <c r="N42" s="54"/>
      <c r="O42" s="125"/>
      <c r="R42" s="63"/>
      <c r="S42" s="74"/>
      <c r="T42" s="74"/>
      <c r="U42" s="74"/>
      <c r="V42" s="74"/>
      <c r="W42" s="74"/>
      <c r="X42" s="74"/>
      <c r="Y42" s="74"/>
      <c r="AA42" s="196" t="str">
        <f t="shared" si="0"/>
        <v>-</v>
      </c>
      <c r="AB42" s="185" t="str">
        <f t="shared" si="6"/>
        <v>-</v>
      </c>
      <c r="AC42" s="278">
        <f t="shared" si="14"/>
        <v>39</v>
      </c>
      <c r="AD42" s="279"/>
      <c r="AE42" s="83" t="str">
        <f t="shared" si="7"/>
        <v>-</v>
      </c>
      <c r="AF42" s="84"/>
      <c r="AG42" s="280" t="str">
        <f t="shared" si="8"/>
        <v>-</v>
      </c>
      <c r="AH42" s="281"/>
      <c r="AI42" s="282" t="str">
        <f t="shared" si="9"/>
        <v>-</v>
      </c>
      <c r="AJ42" s="283"/>
      <c r="AK42" s="85">
        <f t="shared" ca="1" si="1"/>
        <v>47361</v>
      </c>
      <c r="AL42" s="278">
        <v>39</v>
      </c>
      <c r="AM42" s="279"/>
      <c r="AN42" s="86" t="e">
        <f t="shared" si="2"/>
        <v>#DIV/0!</v>
      </c>
      <c r="AO42" s="87"/>
      <c r="AP42" s="284" t="e">
        <f t="shared" ca="1" si="3"/>
        <v>#DIV/0!</v>
      </c>
      <c r="AQ42" s="285"/>
      <c r="AR42" s="286" t="e">
        <f t="shared" ca="1" si="4"/>
        <v>#DIV/0!</v>
      </c>
      <c r="AS42" s="287"/>
      <c r="AT42" s="87" t="e">
        <f t="shared" ca="1" si="10"/>
        <v>#DIV/0!</v>
      </c>
      <c r="AU42" s="75" t="str">
        <f t="shared" si="5"/>
        <v>-</v>
      </c>
      <c r="AZ42" s="216">
        <v>4.1000000000000003E-3</v>
      </c>
    </row>
    <row r="43" spans="1:52" ht="14.1" customHeight="1" x14ac:dyDescent="0.3">
      <c r="A43" s="43"/>
      <c r="B43" s="244" t="str">
        <f t="shared" si="15"/>
        <v/>
      </c>
      <c r="C43" s="244"/>
      <c r="D43" s="205" t="str">
        <f t="shared" si="16"/>
        <v/>
      </c>
      <c r="E43" s="243" t="str">
        <f t="shared" si="17"/>
        <v/>
      </c>
      <c r="F43" s="243"/>
      <c r="G43" s="243" t="str">
        <f t="shared" si="18"/>
        <v/>
      </c>
      <c r="H43" s="243"/>
      <c r="I43" s="202"/>
      <c r="J43" s="53"/>
      <c r="K43" s="55"/>
      <c r="L43" s="56"/>
      <c r="M43" s="54"/>
      <c r="N43" s="54"/>
      <c r="O43" s="137"/>
      <c r="S43" s="74"/>
      <c r="T43" s="74"/>
      <c r="U43" s="74"/>
      <c r="V43" s="74"/>
      <c r="W43" s="74"/>
      <c r="X43" s="74"/>
      <c r="Y43" s="74"/>
      <c r="AA43" s="196" t="str">
        <f t="shared" si="0"/>
        <v>-</v>
      </c>
      <c r="AB43" s="185" t="str">
        <f t="shared" si="6"/>
        <v>-</v>
      </c>
      <c r="AC43" s="278">
        <f>AC42+1</f>
        <v>40</v>
      </c>
      <c r="AD43" s="279"/>
      <c r="AE43" s="83" t="str">
        <f t="shared" si="7"/>
        <v>-</v>
      </c>
      <c r="AF43" s="84"/>
      <c r="AG43" s="280" t="str">
        <f t="shared" si="8"/>
        <v>-</v>
      </c>
      <c r="AH43" s="281"/>
      <c r="AI43" s="282" t="str">
        <f t="shared" si="9"/>
        <v>-</v>
      </c>
      <c r="AJ43" s="283"/>
      <c r="AK43" s="85">
        <f t="shared" ca="1" si="1"/>
        <v>47391</v>
      </c>
      <c r="AL43" s="278">
        <v>40</v>
      </c>
      <c r="AM43" s="279"/>
      <c r="AN43" s="86" t="e">
        <f t="shared" si="2"/>
        <v>#DIV/0!</v>
      </c>
      <c r="AO43" s="87"/>
      <c r="AP43" s="284" t="e">
        <f t="shared" ca="1" si="3"/>
        <v>#DIV/0!</v>
      </c>
      <c r="AQ43" s="285"/>
      <c r="AR43" s="286" t="e">
        <f t="shared" ca="1" si="4"/>
        <v>#DIV/0!</v>
      </c>
      <c r="AS43" s="287"/>
      <c r="AT43" s="87" t="e">
        <f t="shared" ca="1" si="10"/>
        <v>#DIV/0!</v>
      </c>
      <c r="AU43" s="75" t="str">
        <f t="shared" si="5"/>
        <v>-</v>
      </c>
      <c r="AZ43" s="216">
        <v>4.1999999999999997E-3</v>
      </c>
    </row>
    <row r="44" spans="1:52" ht="14.1" customHeight="1" x14ac:dyDescent="0.3">
      <c r="A44" s="43"/>
      <c r="B44" s="244" t="str">
        <f t="shared" si="15"/>
        <v/>
      </c>
      <c r="C44" s="244"/>
      <c r="D44" s="205" t="str">
        <f t="shared" si="16"/>
        <v/>
      </c>
      <c r="E44" s="243" t="str">
        <f t="shared" si="17"/>
        <v/>
      </c>
      <c r="F44" s="243"/>
      <c r="G44" s="243" t="str">
        <f t="shared" si="18"/>
        <v/>
      </c>
      <c r="H44" s="243"/>
      <c r="I44" s="202"/>
      <c r="J44" s="53"/>
      <c r="K44" s="55"/>
      <c r="L44" s="56"/>
      <c r="M44" s="54"/>
      <c r="N44" s="54"/>
      <c r="O44" s="137"/>
      <c r="S44" s="74"/>
      <c r="T44" s="74"/>
      <c r="U44" s="74"/>
      <c r="V44" s="74"/>
      <c r="W44" s="74"/>
      <c r="X44" s="74"/>
      <c r="Y44" s="74"/>
      <c r="AA44" s="196" t="str">
        <f t="shared" si="0"/>
        <v>-</v>
      </c>
      <c r="AB44" s="185" t="str">
        <f t="shared" si="6"/>
        <v>-</v>
      </c>
      <c r="AC44" s="278">
        <f t="shared" si="14"/>
        <v>41</v>
      </c>
      <c r="AD44" s="279"/>
      <c r="AE44" s="83" t="str">
        <f t="shared" si="7"/>
        <v>-</v>
      </c>
      <c r="AF44" s="84"/>
      <c r="AG44" s="280" t="str">
        <f t="shared" si="8"/>
        <v>-</v>
      </c>
      <c r="AH44" s="281"/>
      <c r="AI44" s="282" t="str">
        <f t="shared" si="9"/>
        <v>-</v>
      </c>
      <c r="AJ44" s="283"/>
      <c r="AK44" s="85">
        <f t="shared" ca="1" si="1"/>
        <v>47422</v>
      </c>
      <c r="AL44" s="278">
        <v>41</v>
      </c>
      <c r="AM44" s="279"/>
      <c r="AN44" s="86" t="e">
        <f t="shared" si="2"/>
        <v>#DIV/0!</v>
      </c>
      <c r="AO44" s="87"/>
      <c r="AP44" s="284" t="e">
        <f t="shared" ca="1" si="3"/>
        <v>#DIV/0!</v>
      </c>
      <c r="AQ44" s="285"/>
      <c r="AR44" s="286" t="e">
        <f t="shared" ca="1" si="4"/>
        <v>#DIV/0!</v>
      </c>
      <c r="AS44" s="287"/>
      <c r="AT44" s="87" t="e">
        <f t="shared" ca="1" si="10"/>
        <v>#DIV/0!</v>
      </c>
      <c r="AU44" s="75" t="str">
        <f t="shared" si="5"/>
        <v>-</v>
      </c>
      <c r="AZ44" s="216">
        <v>4.3E-3</v>
      </c>
    </row>
    <row r="45" spans="1:52" ht="14.1" customHeight="1" x14ac:dyDescent="0.3">
      <c r="A45" s="43"/>
      <c r="B45" s="244" t="str">
        <f t="shared" si="15"/>
        <v/>
      </c>
      <c r="C45" s="244"/>
      <c r="D45" s="205" t="str">
        <f t="shared" si="16"/>
        <v/>
      </c>
      <c r="E45" s="243" t="str">
        <f t="shared" si="17"/>
        <v/>
      </c>
      <c r="F45" s="243"/>
      <c r="G45" s="243" t="str">
        <f t="shared" si="18"/>
        <v/>
      </c>
      <c r="H45" s="243"/>
      <c r="I45" s="202"/>
      <c r="J45" s="53"/>
      <c r="K45" s="55"/>
      <c r="L45" s="56"/>
      <c r="M45" s="54"/>
      <c r="N45" s="54"/>
      <c r="O45" s="137"/>
      <c r="S45" s="74"/>
      <c r="T45" s="74"/>
      <c r="U45" s="74"/>
      <c r="V45" s="74"/>
      <c r="W45" s="74"/>
      <c r="X45" s="74"/>
      <c r="Y45" s="74"/>
      <c r="AA45" s="196" t="str">
        <f t="shared" si="0"/>
        <v>-</v>
      </c>
      <c r="AB45" s="185" t="str">
        <f t="shared" si="6"/>
        <v>-</v>
      </c>
      <c r="AC45" s="278">
        <f t="shared" si="14"/>
        <v>42</v>
      </c>
      <c r="AD45" s="279"/>
      <c r="AE45" s="83" t="str">
        <f t="shared" si="7"/>
        <v>-</v>
      </c>
      <c r="AF45" s="84"/>
      <c r="AG45" s="280" t="str">
        <f t="shared" si="8"/>
        <v>-</v>
      </c>
      <c r="AH45" s="281"/>
      <c r="AI45" s="282" t="str">
        <f t="shared" si="9"/>
        <v>-</v>
      </c>
      <c r="AJ45" s="283"/>
      <c r="AK45" s="85">
        <f t="shared" ca="1" si="1"/>
        <v>47452</v>
      </c>
      <c r="AL45" s="278">
        <v>42</v>
      </c>
      <c r="AM45" s="279"/>
      <c r="AN45" s="86" t="e">
        <f t="shared" si="2"/>
        <v>#DIV/0!</v>
      </c>
      <c r="AO45" s="87"/>
      <c r="AP45" s="284" t="e">
        <f t="shared" ca="1" si="3"/>
        <v>#DIV/0!</v>
      </c>
      <c r="AQ45" s="285"/>
      <c r="AR45" s="286" t="e">
        <f t="shared" ca="1" si="4"/>
        <v>#DIV/0!</v>
      </c>
      <c r="AS45" s="287"/>
      <c r="AT45" s="87" t="e">
        <f t="shared" ca="1" si="10"/>
        <v>#DIV/0!</v>
      </c>
      <c r="AU45" s="75" t="str">
        <f t="shared" si="5"/>
        <v>-</v>
      </c>
      <c r="AZ45" s="216">
        <v>4.4000000000000003E-3</v>
      </c>
    </row>
    <row r="46" spans="1:52" ht="14.1" customHeight="1" x14ac:dyDescent="0.3">
      <c r="A46" s="43"/>
      <c r="B46" s="244" t="str">
        <f t="shared" si="15"/>
        <v/>
      </c>
      <c r="C46" s="244"/>
      <c r="D46" s="205" t="str">
        <f t="shared" si="16"/>
        <v/>
      </c>
      <c r="E46" s="243" t="str">
        <f t="shared" si="17"/>
        <v/>
      </c>
      <c r="F46" s="243"/>
      <c r="G46" s="243" t="str">
        <f t="shared" si="18"/>
        <v/>
      </c>
      <c r="H46" s="243"/>
      <c r="I46" s="202"/>
      <c r="J46" s="113"/>
      <c r="K46" s="55"/>
      <c r="L46" s="55"/>
      <c r="M46" s="50"/>
      <c r="N46" s="138"/>
      <c r="O46" s="137"/>
      <c r="P46" s="139"/>
      <c r="S46" s="74"/>
      <c r="T46" s="74"/>
      <c r="U46" s="74"/>
      <c r="V46" s="74"/>
      <c r="W46" s="74"/>
      <c r="X46" s="74"/>
      <c r="Y46" s="74"/>
      <c r="AA46" s="196" t="str">
        <f t="shared" si="0"/>
        <v>-</v>
      </c>
      <c r="AB46" s="185" t="str">
        <f t="shared" si="6"/>
        <v>-</v>
      </c>
      <c r="AC46" s="278">
        <f t="shared" si="14"/>
        <v>43</v>
      </c>
      <c r="AD46" s="279"/>
      <c r="AE46" s="83" t="str">
        <f t="shared" si="7"/>
        <v>-</v>
      </c>
      <c r="AF46" s="84"/>
      <c r="AG46" s="280" t="str">
        <f t="shared" si="8"/>
        <v>-</v>
      </c>
      <c r="AH46" s="281"/>
      <c r="AI46" s="282" t="str">
        <f t="shared" si="9"/>
        <v>-</v>
      </c>
      <c r="AJ46" s="283"/>
      <c r="AK46" s="85">
        <f t="shared" ca="1" si="1"/>
        <v>47483</v>
      </c>
      <c r="AL46" s="278">
        <v>43</v>
      </c>
      <c r="AM46" s="279"/>
      <c r="AN46" s="86" t="e">
        <f t="shared" si="2"/>
        <v>#DIV/0!</v>
      </c>
      <c r="AO46" s="87"/>
      <c r="AP46" s="284" t="e">
        <f t="shared" ca="1" si="3"/>
        <v>#DIV/0!</v>
      </c>
      <c r="AQ46" s="285"/>
      <c r="AR46" s="286" t="e">
        <f t="shared" ca="1" si="4"/>
        <v>#DIV/0!</v>
      </c>
      <c r="AS46" s="287"/>
      <c r="AT46" s="87" t="e">
        <f t="shared" ca="1" si="10"/>
        <v>#DIV/0!</v>
      </c>
      <c r="AU46" s="75" t="str">
        <f t="shared" si="5"/>
        <v>-</v>
      </c>
      <c r="AZ46" s="216">
        <v>4.4999999999999997E-3</v>
      </c>
    </row>
    <row r="47" spans="1:52" ht="14.1" customHeight="1" x14ac:dyDescent="0.3">
      <c r="A47" s="43"/>
      <c r="B47" s="244" t="str">
        <f t="shared" si="15"/>
        <v/>
      </c>
      <c r="C47" s="244"/>
      <c r="D47" s="205" t="str">
        <f t="shared" si="16"/>
        <v/>
      </c>
      <c r="E47" s="243" t="str">
        <f t="shared" si="17"/>
        <v/>
      </c>
      <c r="F47" s="243"/>
      <c r="G47" s="243" t="str">
        <f t="shared" si="18"/>
        <v/>
      </c>
      <c r="H47" s="243"/>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6"/>
        <v>-</v>
      </c>
      <c r="AC47" s="278">
        <f t="shared" si="14"/>
        <v>44</v>
      </c>
      <c r="AD47" s="279"/>
      <c r="AE47" s="83" t="str">
        <f t="shared" si="7"/>
        <v>-</v>
      </c>
      <c r="AF47" s="84"/>
      <c r="AG47" s="280" t="str">
        <f t="shared" si="8"/>
        <v>-</v>
      </c>
      <c r="AH47" s="281"/>
      <c r="AI47" s="282" t="str">
        <f t="shared" si="9"/>
        <v>-</v>
      </c>
      <c r="AJ47" s="283"/>
      <c r="AK47" s="85">
        <f t="shared" ca="1" si="1"/>
        <v>47514</v>
      </c>
      <c r="AL47" s="278">
        <v>44</v>
      </c>
      <c r="AM47" s="279"/>
      <c r="AN47" s="86" t="e">
        <f t="shared" si="2"/>
        <v>#DIV/0!</v>
      </c>
      <c r="AO47" s="87"/>
      <c r="AP47" s="284" t="e">
        <f t="shared" ca="1" si="3"/>
        <v>#DIV/0!</v>
      </c>
      <c r="AQ47" s="285"/>
      <c r="AR47" s="286" t="e">
        <f t="shared" ca="1" si="4"/>
        <v>#DIV/0!</v>
      </c>
      <c r="AS47" s="287"/>
      <c r="AT47" s="87" t="e">
        <f t="shared" ca="1" si="10"/>
        <v>#DIV/0!</v>
      </c>
      <c r="AU47" s="75" t="str">
        <f t="shared" si="5"/>
        <v>-</v>
      </c>
      <c r="AZ47" s="216">
        <v>4.5999999999999999E-3</v>
      </c>
    </row>
    <row r="48" spans="1:52" ht="14.1" customHeight="1" x14ac:dyDescent="0.3">
      <c r="A48" s="43"/>
      <c r="B48" s="244" t="str">
        <f>IF(E12=24,"Всього:",IF(B47&lt;$E$12,B47+1,""))</f>
        <v/>
      </c>
      <c r="C48" s="244"/>
      <c r="D48" s="205" t="str">
        <f>IF(E12=24,SUM(D24:D47),IF(B47&lt;$E$12,AE28,""))</f>
        <v/>
      </c>
      <c r="E48" s="243" t="str">
        <f>IF(E12=24,SUM(E24:F47),IF(B47&lt;$E$12,AG28,""))</f>
        <v/>
      </c>
      <c r="F48" s="243"/>
      <c r="G48" s="243" t="str">
        <f>IF(E12=24,SUM(G24:H47),IF(B47&lt;$E$12,AI28,""))</f>
        <v/>
      </c>
      <c r="H48" s="243"/>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6"/>
        <v>-</v>
      </c>
      <c r="AC48" s="278">
        <f t="shared" si="14"/>
        <v>45</v>
      </c>
      <c r="AD48" s="279"/>
      <c r="AE48" s="83" t="str">
        <f t="shared" si="7"/>
        <v>-</v>
      </c>
      <c r="AF48" s="84"/>
      <c r="AG48" s="280" t="str">
        <f t="shared" si="8"/>
        <v>-</v>
      </c>
      <c r="AH48" s="281"/>
      <c r="AI48" s="282" t="str">
        <f t="shared" si="9"/>
        <v>-</v>
      </c>
      <c r="AJ48" s="283"/>
      <c r="AK48" s="85">
        <f t="shared" ca="1" si="1"/>
        <v>47542</v>
      </c>
      <c r="AL48" s="278">
        <v>45</v>
      </c>
      <c r="AM48" s="279"/>
      <c r="AN48" s="86" t="e">
        <f t="shared" si="2"/>
        <v>#DIV/0!</v>
      </c>
      <c r="AO48" s="87"/>
      <c r="AP48" s="284" t="e">
        <f t="shared" ca="1" si="3"/>
        <v>#DIV/0!</v>
      </c>
      <c r="AQ48" s="285"/>
      <c r="AR48" s="286" t="e">
        <f t="shared" ca="1" si="4"/>
        <v>#DIV/0!</v>
      </c>
      <c r="AS48" s="287"/>
      <c r="AT48" s="87" t="e">
        <f t="shared" ca="1" si="10"/>
        <v>#DIV/0!</v>
      </c>
      <c r="AU48" s="75" t="str">
        <f t="shared" si="5"/>
        <v>-</v>
      </c>
      <c r="AZ48" s="216">
        <v>4.7000000000000002E-3</v>
      </c>
    </row>
    <row r="49" spans="1:52" ht="14.1" customHeight="1" x14ac:dyDescent="0.3">
      <c r="A49" s="43"/>
      <c r="B49" s="244" t="str">
        <f t="shared" si="15"/>
        <v/>
      </c>
      <c r="C49" s="244"/>
      <c r="D49" s="205" t="str">
        <f t="shared" ref="D49:D59" si="19">IF(B48&lt;$E$12,AE29,"")</f>
        <v/>
      </c>
      <c r="E49" s="243" t="str">
        <f t="shared" ref="E49:E59" si="20">IF(B48&lt;$E$12,AG29,"")</f>
        <v/>
      </c>
      <c r="F49" s="243"/>
      <c r="G49" s="243" t="str">
        <f t="shared" ref="G49:G59" si="21">IF(B48&lt;$E$12,AI29,"")</f>
        <v/>
      </c>
      <c r="H49" s="243"/>
      <c r="I49" s="202"/>
      <c r="J49" s="5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6"/>
        <v>-</v>
      </c>
      <c r="AC49" s="278">
        <f t="shared" si="14"/>
        <v>46</v>
      </c>
      <c r="AD49" s="279"/>
      <c r="AE49" s="83" t="str">
        <f t="shared" si="7"/>
        <v>-</v>
      </c>
      <c r="AF49" s="84"/>
      <c r="AG49" s="280" t="str">
        <f t="shared" si="8"/>
        <v>-</v>
      </c>
      <c r="AH49" s="281"/>
      <c r="AI49" s="282" t="str">
        <f t="shared" si="9"/>
        <v>-</v>
      </c>
      <c r="AJ49" s="283"/>
      <c r="AK49" s="85">
        <f t="shared" ca="1" si="1"/>
        <v>47573</v>
      </c>
      <c r="AL49" s="278">
        <v>46</v>
      </c>
      <c r="AM49" s="279"/>
      <c r="AN49" s="86" t="e">
        <f t="shared" si="2"/>
        <v>#DIV/0!</v>
      </c>
      <c r="AO49" s="87"/>
      <c r="AP49" s="284" t="e">
        <f t="shared" ca="1" si="3"/>
        <v>#DIV/0!</v>
      </c>
      <c r="AQ49" s="285"/>
      <c r="AR49" s="286" t="e">
        <f t="shared" ca="1" si="4"/>
        <v>#DIV/0!</v>
      </c>
      <c r="AS49" s="287"/>
      <c r="AT49" s="87" t="e">
        <f t="shared" ca="1" si="10"/>
        <v>#DIV/0!</v>
      </c>
      <c r="AU49" s="75" t="str">
        <f t="shared" si="5"/>
        <v>-</v>
      </c>
      <c r="AZ49" s="216">
        <v>4.7999999999999996E-3</v>
      </c>
    </row>
    <row r="50" spans="1:52" ht="14.1" customHeight="1" thickBot="1" x14ac:dyDescent="0.35">
      <c r="A50" s="43"/>
      <c r="B50" s="244" t="str">
        <f t="shared" si="15"/>
        <v/>
      </c>
      <c r="C50" s="244"/>
      <c r="D50" s="205" t="str">
        <f t="shared" si="19"/>
        <v/>
      </c>
      <c r="E50" s="243" t="str">
        <f t="shared" si="20"/>
        <v/>
      </c>
      <c r="F50" s="243"/>
      <c r="G50" s="243" t="str">
        <f t="shared" si="21"/>
        <v/>
      </c>
      <c r="H50" s="243"/>
      <c r="I50" s="202"/>
      <c r="J50" s="53"/>
      <c r="K50" s="55"/>
      <c r="L50" s="55"/>
      <c r="M50" s="50"/>
      <c r="N50" s="138"/>
      <c r="O50" s="137"/>
      <c r="Q50" s="62" t="e">
        <f>IF(R9&gt;0.6,"Не достатня сума авансу",Q53)</f>
        <v>#DIV/0!</v>
      </c>
      <c r="S50" s="74"/>
      <c r="AA50" s="196" t="str">
        <f t="shared" si="0"/>
        <v>-</v>
      </c>
      <c r="AB50" s="185" t="str">
        <f t="shared" si="6"/>
        <v>-</v>
      </c>
      <c r="AC50" s="278">
        <f t="shared" si="14"/>
        <v>47</v>
      </c>
      <c r="AD50" s="279"/>
      <c r="AE50" s="83" t="str">
        <f t="shared" si="7"/>
        <v>-</v>
      </c>
      <c r="AF50" s="84"/>
      <c r="AG50" s="280" t="str">
        <f t="shared" si="8"/>
        <v>-</v>
      </c>
      <c r="AH50" s="281"/>
      <c r="AI50" s="282" t="str">
        <f t="shared" si="9"/>
        <v>-</v>
      </c>
      <c r="AJ50" s="283"/>
      <c r="AK50" s="85">
        <f t="shared" ca="1" si="1"/>
        <v>47603</v>
      </c>
      <c r="AL50" s="278">
        <v>47</v>
      </c>
      <c r="AM50" s="279"/>
      <c r="AN50" s="86" t="e">
        <f t="shared" si="2"/>
        <v>#DIV/0!</v>
      </c>
      <c r="AO50" s="87"/>
      <c r="AP50" s="284" t="e">
        <f t="shared" ca="1" si="3"/>
        <v>#DIV/0!</v>
      </c>
      <c r="AQ50" s="285"/>
      <c r="AR50" s="286" t="e">
        <f t="shared" ca="1" si="4"/>
        <v>#DIV/0!</v>
      </c>
      <c r="AS50" s="287"/>
      <c r="AT50" s="87" t="e">
        <f t="shared" ca="1" si="10"/>
        <v>#DIV/0!</v>
      </c>
      <c r="AU50" s="75" t="str">
        <f t="shared" si="5"/>
        <v>-</v>
      </c>
      <c r="AZ50" s="216">
        <v>4.8999999999999998E-3</v>
      </c>
    </row>
    <row r="51" spans="1:52" ht="14.1" customHeight="1" x14ac:dyDescent="0.3">
      <c r="A51" s="43"/>
      <c r="B51" s="244" t="str">
        <f t="shared" si="15"/>
        <v/>
      </c>
      <c r="C51" s="244"/>
      <c r="D51" s="205" t="str">
        <f t="shared" si="19"/>
        <v/>
      </c>
      <c r="E51" s="243" t="str">
        <f t="shared" si="20"/>
        <v/>
      </c>
      <c r="F51" s="243"/>
      <c r="G51" s="243" t="str">
        <f t="shared" si="21"/>
        <v/>
      </c>
      <c r="H51" s="243"/>
      <c r="I51" s="202"/>
      <c r="J51" s="53"/>
      <c r="K51" s="140" t="s">
        <v>281</v>
      </c>
      <c r="L51" s="55"/>
      <c r="M51" s="54"/>
      <c r="N51" s="138"/>
      <c r="O51" s="137"/>
      <c r="S51" s="74"/>
      <c r="AA51" s="196" t="str">
        <f>IFERROR(AI51+Z52,"-")</f>
        <v>-</v>
      </c>
      <c r="AB51" s="185" t="str">
        <f t="shared" si="6"/>
        <v>-</v>
      </c>
      <c r="AC51" s="278">
        <f t="shared" si="14"/>
        <v>48</v>
      </c>
      <c r="AD51" s="279"/>
      <c r="AE51" s="83" t="str">
        <f t="shared" si="7"/>
        <v>-</v>
      </c>
      <c r="AF51" s="84"/>
      <c r="AG51" s="280" t="str">
        <f t="shared" si="8"/>
        <v>-</v>
      </c>
      <c r="AH51" s="281"/>
      <c r="AI51" s="282" t="str">
        <f t="shared" si="9"/>
        <v>-</v>
      </c>
      <c r="AJ51" s="283"/>
      <c r="AK51" s="85">
        <f t="shared" ca="1" si="1"/>
        <v>47634</v>
      </c>
      <c r="AL51" s="278">
        <v>48</v>
      </c>
      <c r="AM51" s="279"/>
      <c r="AN51" s="86" t="e">
        <f t="shared" si="2"/>
        <v>#DIV/0!</v>
      </c>
      <c r="AO51" s="87"/>
      <c r="AP51" s="284" t="e">
        <f t="shared" ca="1" si="3"/>
        <v>#DIV/0!</v>
      </c>
      <c r="AQ51" s="285"/>
      <c r="AR51" s="286" t="e">
        <f t="shared" ca="1" si="4"/>
        <v>#DIV/0!</v>
      </c>
      <c r="AS51" s="287"/>
      <c r="AT51" s="87" t="e">
        <f t="shared" ca="1" si="10"/>
        <v>#DIV/0!</v>
      </c>
      <c r="AU51" s="75" t="str">
        <f t="shared" si="5"/>
        <v>-</v>
      </c>
      <c r="AZ51" s="216">
        <v>5.0000000000000001E-3</v>
      </c>
    </row>
    <row r="52" spans="1:52" ht="14.1" customHeight="1" x14ac:dyDescent="0.3">
      <c r="A52" s="43"/>
      <c r="B52" s="244" t="str">
        <f t="shared" si="15"/>
        <v/>
      </c>
      <c r="C52" s="244"/>
      <c r="D52" s="205" t="str">
        <f t="shared" si="19"/>
        <v/>
      </c>
      <c r="E52" s="243" t="str">
        <f t="shared" si="20"/>
        <v/>
      </c>
      <c r="F52" s="243"/>
      <c r="G52" s="243" t="str">
        <f t="shared" si="21"/>
        <v/>
      </c>
      <c r="H52" s="243"/>
      <c r="I52" s="202"/>
      <c r="J52" s="53"/>
      <c r="K52" s="141"/>
      <c r="L52" s="55"/>
      <c r="M52" s="54"/>
      <c r="N52" s="138"/>
      <c r="O52" s="137"/>
      <c r="S52" s="74"/>
      <c r="T52" s="74"/>
      <c r="U52" s="74"/>
      <c r="Z52" s="116">
        <f>IF($V$26&gt;AC52,$E$4*0.9*0.9*0.9*0.9*T33,0)</f>
        <v>0</v>
      </c>
      <c r="AA52" s="196" t="str">
        <f t="shared" si="0"/>
        <v>-</v>
      </c>
      <c r="AB52" s="185" t="str">
        <f t="shared" si="6"/>
        <v>-</v>
      </c>
      <c r="AC52" s="278">
        <f t="shared" si="14"/>
        <v>49</v>
      </c>
      <c r="AD52" s="279"/>
      <c r="AE52" s="83" t="str">
        <f t="shared" si="7"/>
        <v>-</v>
      </c>
      <c r="AF52" s="84"/>
      <c r="AG52" s="280" t="str">
        <f t="shared" si="8"/>
        <v>-</v>
      </c>
      <c r="AH52" s="281"/>
      <c r="AI52" s="282" t="str">
        <f t="shared" si="9"/>
        <v>-</v>
      </c>
      <c r="AJ52" s="283"/>
      <c r="AK52" s="85">
        <f t="shared" ca="1" si="1"/>
        <v>47664</v>
      </c>
      <c r="AL52" s="278">
        <v>49</v>
      </c>
      <c r="AM52" s="279"/>
      <c r="AN52" s="86" t="e">
        <f t="shared" si="2"/>
        <v>#DIV/0!</v>
      </c>
      <c r="AO52" s="87"/>
      <c r="AP52" s="284" t="e">
        <f t="shared" ca="1" si="3"/>
        <v>#DIV/0!</v>
      </c>
      <c r="AQ52" s="285"/>
      <c r="AR52" s="286" t="e">
        <f t="shared" ca="1" si="4"/>
        <v>#DIV/0!</v>
      </c>
      <c r="AS52" s="287"/>
      <c r="AT52" s="87" t="e">
        <f t="shared" ca="1" si="10"/>
        <v>#DIV/0!</v>
      </c>
      <c r="AU52" s="75" t="e">
        <f>AI52+AW52+AX52</f>
        <v>#VALUE!</v>
      </c>
      <c r="AW52" s="63" t="str">
        <f>IF($E$12&gt;$R$5,$E$4*0.9*0.9*0.9*0.9*5.5%,"")</f>
        <v/>
      </c>
      <c r="AX52" s="63" t="e">
        <f>IF(#REF!=0,0,IF($E$12&gt;$R$5,(AE90-SUM(AE4:AE51))*0.0299,""))</f>
        <v>#REF!</v>
      </c>
      <c r="AZ52" s="216">
        <v>5.1000000000000004E-3</v>
      </c>
    </row>
    <row r="53" spans="1:52" ht="14.1" customHeight="1" thickBot="1" x14ac:dyDescent="0.35">
      <c r="A53" s="43"/>
      <c r="B53" s="244" t="str">
        <f t="shared" si="15"/>
        <v/>
      </c>
      <c r="C53" s="244"/>
      <c r="D53" s="205" t="str">
        <f t="shared" si="19"/>
        <v/>
      </c>
      <c r="E53" s="243" t="str">
        <f t="shared" si="20"/>
        <v/>
      </c>
      <c r="F53" s="243"/>
      <c r="G53" s="243" t="str">
        <f t="shared" si="21"/>
        <v/>
      </c>
      <c r="H53" s="243"/>
      <c r="I53" s="202"/>
      <c r="J53" s="53"/>
      <c r="K53" s="142"/>
      <c r="L53" s="55"/>
      <c r="M53" s="50"/>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6"/>
        <v>-</v>
      </c>
      <c r="AC53" s="278">
        <f t="shared" si="14"/>
        <v>50</v>
      </c>
      <c r="AD53" s="279"/>
      <c r="AE53" s="83" t="str">
        <f t="shared" si="7"/>
        <v>-</v>
      </c>
      <c r="AF53" s="84"/>
      <c r="AG53" s="280" t="str">
        <f t="shared" si="8"/>
        <v>-</v>
      </c>
      <c r="AH53" s="281"/>
      <c r="AI53" s="282" t="str">
        <f t="shared" si="9"/>
        <v>-</v>
      </c>
      <c r="AJ53" s="283"/>
      <c r="AK53" s="85">
        <f t="shared" ca="1" si="1"/>
        <v>47695</v>
      </c>
      <c r="AL53" s="278">
        <v>50</v>
      </c>
      <c r="AM53" s="279"/>
      <c r="AN53" s="86" t="e">
        <f t="shared" si="2"/>
        <v>#DIV/0!</v>
      </c>
      <c r="AO53" s="87"/>
      <c r="AP53" s="284" t="e">
        <f t="shared" ca="1" si="3"/>
        <v>#DIV/0!</v>
      </c>
      <c r="AQ53" s="285"/>
      <c r="AR53" s="286" t="e">
        <f t="shared" ca="1" si="4"/>
        <v>#DIV/0!</v>
      </c>
      <c r="AS53" s="287"/>
      <c r="AT53" s="87" t="e">
        <f t="shared" ca="1" si="10"/>
        <v>#DIV/0!</v>
      </c>
      <c r="AU53" s="75" t="str">
        <f t="shared" si="5"/>
        <v>-</v>
      </c>
      <c r="AZ53" s="216">
        <v>5.1999999999999998E-3</v>
      </c>
    </row>
    <row r="54" spans="1:52" ht="14.1" customHeight="1" x14ac:dyDescent="0.3">
      <c r="A54" s="43"/>
      <c r="B54" s="244" t="str">
        <f t="shared" si="15"/>
        <v/>
      </c>
      <c r="C54" s="244"/>
      <c r="D54" s="205" t="str">
        <f t="shared" si="19"/>
        <v/>
      </c>
      <c r="E54" s="243" t="str">
        <f t="shared" si="20"/>
        <v/>
      </c>
      <c r="F54" s="243"/>
      <c r="G54" s="243" t="str">
        <f t="shared" si="21"/>
        <v/>
      </c>
      <c r="H54" s="243"/>
      <c r="I54" s="202"/>
      <c r="J54" s="113"/>
      <c r="K54" s="113"/>
      <c r="L54" s="55"/>
      <c r="M54" s="113"/>
      <c r="N54" s="113"/>
      <c r="O54" s="139"/>
      <c r="P54" s="139"/>
      <c r="S54" s="74"/>
      <c r="AA54" s="196" t="str">
        <f t="shared" si="0"/>
        <v>-</v>
      </c>
      <c r="AB54" s="185" t="str">
        <f t="shared" si="6"/>
        <v>-</v>
      </c>
      <c r="AC54" s="278">
        <f t="shared" si="14"/>
        <v>51</v>
      </c>
      <c r="AD54" s="279"/>
      <c r="AE54" s="83" t="str">
        <f t="shared" si="7"/>
        <v>-</v>
      </c>
      <c r="AF54" s="84"/>
      <c r="AG54" s="280" t="str">
        <f t="shared" si="8"/>
        <v>-</v>
      </c>
      <c r="AH54" s="281"/>
      <c r="AI54" s="282" t="str">
        <f t="shared" si="9"/>
        <v>-</v>
      </c>
      <c r="AJ54" s="283"/>
      <c r="AK54" s="85">
        <f t="shared" ca="1" si="1"/>
        <v>47726</v>
      </c>
      <c r="AL54" s="278">
        <v>51</v>
      </c>
      <c r="AM54" s="279"/>
      <c r="AN54" s="86" t="e">
        <f t="shared" si="2"/>
        <v>#DIV/0!</v>
      </c>
      <c r="AO54" s="87"/>
      <c r="AP54" s="284" t="e">
        <f t="shared" ca="1" si="3"/>
        <v>#DIV/0!</v>
      </c>
      <c r="AQ54" s="285"/>
      <c r="AR54" s="286" t="e">
        <f t="shared" ca="1" si="4"/>
        <v>#DIV/0!</v>
      </c>
      <c r="AS54" s="287"/>
      <c r="AT54" s="87" t="e">
        <f t="shared" ca="1" si="10"/>
        <v>#DIV/0!</v>
      </c>
      <c r="AU54" s="75" t="str">
        <f t="shared" si="5"/>
        <v>-</v>
      </c>
      <c r="AZ54" s="216">
        <v>5.3E-3</v>
      </c>
    </row>
    <row r="55" spans="1:52" ht="14.1" customHeight="1" x14ac:dyDescent="0.3">
      <c r="A55" s="43"/>
      <c r="B55" s="244" t="str">
        <f t="shared" si="15"/>
        <v/>
      </c>
      <c r="C55" s="244"/>
      <c r="D55" s="205" t="str">
        <f t="shared" si="19"/>
        <v/>
      </c>
      <c r="E55" s="243" t="str">
        <f t="shared" si="20"/>
        <v/>
      </c>
      <c r="F55" s="243"/>
      <c r="G55" s="243" t="str">
        <f t="shared" si="21"/>
        <v/>
      </c>
      <c r="H55" s="243"/>
      <c r="I55" s="202"/>
      <c r="J55" s="53"/>
      <c r="K55" s="53"/>
      <c r="L55" s="53"/>
      <c r="M55" s="53"/>
      <c r="N55" s="50"/>
      <c r="O55" s="98"/>
      <c r="S55" s="74"/>
      <c r="AA55" s="196" t="str">
        <f t="shared" si="0"/>
        <v>-</v>
      </c>
      <c r="AB55" s="185" t="str">
        <f t="shared" si="6"/>
        <v>-</v>
      </c>
      <c r="AC55" s="278">
        <f t="shared" si="14"/>
        <v>52</v>
      </c>
      <c r="AD55" s="279"/>
      <c r="AE55" s="83" t="str">
        <f t="shared" si="7"/>
        <v>-</v>
      </c>
      <c r="AF55" s="84"/>
      <c r="AG55" s="280" t="str">
        <f t="shared" si="8"/>
        <v>-</v>
      </c>
      <c r="AH55" s="281"/>
      <c r="AI55" s="282" t="str">
        <f t="shared" si="9"/>
        <v>-</v>
      </c>
      <c r="AJ55" s="283"/>
      <c r="AK55" s="85">
        <f t="shared" ca="1" si="1"/>
        <v>47756</v>
      </c>
      <c r="AL55" s="278">
        <v>52</v>
      </c>
      <c r="AM55" s="279"/>
      <c r="AN55" s="86" t="e">
        <f t="shared" si="2"/>
        <v>#DIV/0!</v>
      </c>
      <c r="AO55" s="87"/>
      <c r="AP55" s="284" t="e">
        <f t="shared" ca="1" si="3"/>
        <v>#DIV/0!</v>
      </c>
      <c r="AQ55" s="285"/>
      <c r="AR55" s="286" t="e">
        <f t="shared" ca="1" si="4"/>
        <v>#DIV/0!</v>
      </c>
      <c r="AS55" s="287"/>
      <c r="AT55" s="87" t="e">
        <f t="shared" ca="1" si="10"/>
        <v>#DIV/0!</v>
      </c>
      <c r="AU55" s="75" t="str">
        <f t="shared" si="5"/>
        <v>-</v>
      </c>
      <c r="AZ55" s="216">
        <v>5.4000000000000003E-3</v>
      </c>
    </row>
    <row r="56" spans="1:52" ht="14.1" customHeight="1" x14ac:dyDescent="0.3">
      <c r="A56" s="43"/>
      <c r="B56" s="244" t="str">
        <f t="shared" si="15"/>
        <v/>
      </c>
      <c r="C56" s="244"/>
      <c r="D56" s="205" t="str">
        <f t="shared" si="19"/>
        <v/>
      </c>
      <c r="E56" s="243" t="str">
        <f t="shared" si="20"/>
        <v/>
      </c>
      <c r="F56" s="243"/>
      <c r="G56" s="243" t="str">
        <f t="shared" si="21"/>
        <v/>
      </c>
      <c r="H56" s="243"/>
      <c r="I56" s="202"/>
      <c r="J56" s="53"/>
      <c r="K56" s="53"/>
      <c r="L56" s="53"/>
      <c r="M56" s="53"/>
      <c r="N56" s="50"/>
      <c r="O56" s="98"/>
      <c r="AA56" s="196" t="str">
        <f t="shared" si="0"/>
        <v>-</v>
      </c>
      <c r="AB56" s="185" t="str">
        <f t="shared" si="6"/>
        <v>-</v>
      </c>
      <c r="AC56" s="278">
        <f t="shared" si="14"/>
        <v>53</v>
      </c>
      <c r="AD56" s="279"/>
      <c r="AE56" s="83" t="str">
        <f t="shared" si="7"/>
        <v>-</v>
      </c>
      <c r="AF56" s="84"/>
      <c r="AG56" s="280" t="str">
        <f t="shared" si="8"/>
        <v>-</v>
      </c>
      <c r="AH56" s="281"/>
      <c r="AI56" s="282" t="str">
        <f t="shared" si="9"/>
        <v>-</v>
      </c>
      <c r="AJ56" s="283"/>
      <c r="AK56" s="85">
        <f t="shared" ca="1" si="1"/>
        <v>47787</v>
      </c>
      <c r="AL56" s="278">
        <v>53</v>
      </c>
      <c r="AM56" s="279"/>
      <c r="AN56" s="86" t="e">
        <f t="shared" si="2"/>
        <v>#DIV/0!</v>
      </c>
      <c r="AO56" s="87"/>
      <c r="AP56" s="284" t="e">
        <f t="shared" ca="1" si="3"/>
        <v>#DIV/0!</v>
      </c>
      <c r="AQ56" s="285"/>
      <c r="AR56" s="286" t="e">
        <f t="shared" ca="1" si="4"/>
        <v>#DIV/0!</v>
      </c>
      <c r="AS56" s="287"/>
      <c r="AT56" s="87" t="e">
        <f t="shared" ca="1" si="10"/>
        <v>#DIV/0!</v>
      </c>
      <c r="AU56" s="75" t="str">
        <f t="shared" si="5"/>
        <v>-</v>
      </c>
      <c r="AZ56" s="216">
        <v>5.4999999999999997E-3</v>
      </c>
    </row>
    <row r="57" spans="1:52" ht="14.1" customHeight="1" x14ac:dyDescent="0.3">
      <c r="A57" s="43"/>
      <c r="B57" s="244" t="str">
        <f t="shared" si="15"/>
        <v/>
      </c>
      <c r="C57" s="244"/>
      <c r="D57" s="205" t="str">
        <f t="shared" si="19"/>
        <v/>
      </c>
      <c r="E57" s="243" t="str">
        <f t="shared" si="20"/>
        <v/>
      </c>
      <c r="F57" s="243"/>
      <c r="G57" s="243" t="str">
        <f t="shared" si="21"/>
        <v/>
      </c>
      <c r="H57" s="243"/>
      <c r="I57" s="202"/>
      <c r="J57" s="53"/>
      <c r="K57" s="53"/>
      <c r="L57" s="53"/>
      <c r="M57" s="53"/>
      <c r="N57" s="50"/>
      <c r="O57" s="98"/>
      <c r="AA57" s="196" t="str">
        <f t="shared" si="0"/>
        <v>-</v>
      </c>
      <c r="AB57" s="185" t="str">
        <f t="shared" si="6"/>
        <v>-</v>
      </c>
      <c r="AC57" s="278">
        <f t="shared" si="14"/>
        <v>54</v>
      </c>
      <c r="AD57" s="279"/>
      <c r="AE57" s="83" t="str">
        <f t="shared" si="7"/>
        <v>-</v>
      </c>
      <c r="AF57" s="84"/>
      <c r="AG57" s="280" t="str">
        <f t="shared" si="8"/>
        <v>-</v>
      </c>
      <c r="AH57" s="281"/>
      <c r="AI57" s="282" t="str">
        <f t="shared" si="9"/>
        <v>-</v>
      </c>
      <c r="AJ57" s="283"/>
      <c r="AK57" s="85">
        <f t="shared" ca="1" si="1"/>
        <v>47817</v>
      </c>
      <c r="AL57" s="278">
        <v>54</v>
      </c>
      <c r="AM57" s="279"/>
      <c r="AN57" s="86" t="e">
        <f t="shared" si="2"/>
        <v>#DIV/0!</v>
      </c>
      <c r="AO57" s="87"/>
      <c r="AP57" s="284" t="e">
        <f t="shared" ca="1" si="3"/>
        <v>#DIV/0!</v>
      </c>
      <c r="AQ57" s="285"/>
      <c r="AR57" s="286" t="e">
        <f t="shared" ca="1" si="4"/>
        <v>#DIV/0!</v>
      </c>
      <c r="AS57" s="287"/>
      <c r="AT57" s="87" t="e">
        <f t="shared" ca="1" si="10"/>
        <v>#DIV/0!</v>
      </c>
      <c r="AU57" s="75" t="str">
        <f t="shared" si="5"/>
        <v>-</v>
      </c>
      <c r="AZ57" s="216">
        <v>5.5999999999999999E-3</v>
      </c>
    </row>
    <row r="58" spans="1:52" ht="14.1" customHeight="1" x14ac:dyDescent="0.3">
      <c r="A58" s="43"/>
      <c r="B58" s="244" t="str">
        <f t="shared" si="15"/>
        <v/>
      </c>
      <c r="C58" s="244"/>
      <c r="D58" s="205" t="str">
        <f t="shared" si="19"/>
        <v/>
      </c>
      <c r="E58" s="243" t="str">
        <f t="shared" si="20"/>
        <v/>
      </c>
      <c r="F58" s="243"/>
      <c r="G58" s="243" t="str">
        <f t="shared" si="21"/>
        <v/>
      </c>
      <c r="H58" s="243"/>
      <c r="I58" s="202"/>
      <c r="J58" s="53"/>
      <c r="K58" s="53"/>
      <c r="L58" s="53"/>
      <c r="M58" s="53"/>
      <c r="N58" s="50"/>
      <c r="O58" s="98"/>
      <c r="S58" s="74"/>
      <c r="AA58" s="196" t="str">
        <f t="shared" si="0"/>
        <v>-</v>
      </c>
      <c r="AB58" s="185" t="str">
        <f t="shared" si="6"/>
        <v>-</v>
      </c>
      <c r="AC58" s="278">
        <f t="shared" si="14"/>
        <v>55</v>
      </c>
      <c r="AD58" s="279"/>
      <c r="AE58" s="83" t="str">
        <f t="shared" si="7"/>
        <v>-</v>
      </c>
      <c r="AF58" s="84"/>
      <c r="AG58" s="280" t="str">
        <f t="shared" si="8"/>
        <v>-</v>
      </c>
      <c r="AH58" s="281"/>
      <c r="AI58" s="282" t="str">
        <f t="shared" si="9"/>
        <v>-</v>
      </c>
      <c r="AJ58" s="283"/>
      <c r="AK58" s="85">
        <f t="shared" ca="1" si="1"/>
        <v>47848</v>
      </c>
      <c r="AL58" s="278">
        <v>55</v>
      </c>
      <c r="AM58" s="279"/>
      <c r="AN58" s="86" t="e">
        <f t="shared" si="2"/>
        <v>#DIV/0!</v>
      </c>
      <c r="AO58" s="87"/>
      <c r="AP58" s="284" t="e">
        <f t="shared" ca="1" si="3"/>
        <v>#DIV/0!</v>
      </c>
      <c r="AQ58" s="285"/>
      <c r="AR58" s="286" t="e">
        <f t="shared" ca="1" si="4"/>
        <v>#DIV/0!</v>
      </c>
      <c r="AS58" s="287"/>
      <c r="AT58" s="87" t="e">
        <f t="shared" ca="1" si="10"/>
        <v>#DIV/0!</v>
      </c>
      <c r="AU58" s="75" t="str">
        <f t="shared" si="5"/>
        <v>-</v>
      </c>
      <c r="AZ58" s="216">
        <v>5.7000000000000002E-3</v>
      </c>
    </row>
    <row r="59" spans="1:52" ht="14.1" customHeight="1" x14ac:dyDescent="0.3">
      <c r="A59" s="43"/>
      <c r="B59" s="244" t="str">
        <f t="shared" si="15"/>
        <v/>
      </c>
      <c r="C59" s="244"/>
      <c r="D59" s="205" t="str">
        <f t="shared" si="19"/>
        <v/>
      </c>
      <c r="E59" s="243" t="str">
        <f t="shared" si="20"/>
        <v/>
      </c>
      <c r="F59" s="243"/>
      <c r="G59" s="243" t="str">
        <f t="shared" si="21"/>
        <v/>
      </c>
      <c r="H59" s="243"/>
      <c r="I59" s="202"/>
      <c r="J59" s="53"/>
      <c r="K59" s="53"/>
      <c r="L59" s="53"/>
      <c r="M59" s="53"/>
      <c r="N59" s="50"/>
      <c r="O59" s="98"/>
      <c r="S59" s="74"/>
      <c r="AA59" s="196" t="str">
        <f t="shared" si="0"/>
        <v>-</v>
      </c>
      <c r="AB59" s="185" t="str">
        <f t="shared" si="6"/>
        <v>-</v>
      </c>
      <c r="AC59" s="278">
        <f t="shared" si="14"/>
        <v>56</v>
      </c>
      <c r="AD59" s="279"/>
      <c r="AE59" s="83" t="str">
        <f t="shared" si="7"/>
        <v>-</v>
      </c>
      <c r="AF59" s="84"/>
      <c r="AG59" s="280" t="str">
        <f t="shared" si="8"/>
        <v>-</v>
      </c>
      <c r="AH59" s="281"/>
      <c r="AI59" s="282" t="str">
        <f t="shared" si="9"/>
        <v>-</v>
      </c>
      <c r="AJ59" s="283"/>
      <c r="AK59" s="85">
        <f t="shared" ca="1" si="1"/>
        <v>47879</v>
      </c>
      <c r="AL59" s="278">
        <v>56</v>
      </c>
      <c r="AM59" s="279"/>
      <c r="AN59" s="86" t="e">
        <f t="shared" si="2"/>
        <v>#DIV/0!</v>
      </c>
      <c r="AO59" s="87"/>
      <c r="AP59" s="284" t="e">
        <f t="shared" ca="1" si="3"/>
        <v>#DIV/0!</v>
      </c>
      <c r="AQ59" s="285"/>
      <c r="AR59" s="286" t="e">
        <f t="shared" ca="1" si="4"/>
        <v>#DIV/0!</v>
      </c>
      <c r="AS59" s="287"/>
      <c r="AT59" s="87" t="e">
        <f t="shared" ca="1" si="10"/>
        <v>#DIV/0!</v>
      </c>
      <c r="AU59" s="75" t="str">
        <f t="shared" si="5"/>
        <v>-</v>
      </c>
      <c r="AZ59" s="216">
        <v>5.7999999999999996E-3</v>
      </c>
    </row>
    <row r="60" spans="1:52" ht="14.1" customHeight="1" x14ac:dyDescent="0.3">
      <c r="A60" s="43"/>
      <c r="B60" s="244" t="str">
        <f>IF(E12=36,"Всього:",IF(B59&lt;$E$12,B59+1,""))</f>
        <v/>
      </c>
      <c r="C60" s="244"/>
      <c r="D60" s="205" t="str">
        <f>IF(E12=36,SUM(D24:D59),IF(B59&lt;$E$12,AE40,""))</f>
        <v/>
      </c>
      <c r="E60" s="243" t="str">
        <f>IF(E12=36,SUM(E24:F59),IF(B59&lt;$E$12,AG40,""))</f>
        <v/>
      </c>
      <c r="F60" s="243"/>
      <c r="G60" s="243" t="str">
        <f>IF(E12=36,SUM(G24:H59),IF(B59&lt;$E$12,AI40,""))</f>
        <v/>
      </c>
      <c r="H60" s="243"/>
      <c r="I60" s="202"/>
      <c r="J60" s="53"/>
      <c r="K60" s="53"/>
      <c r="L60" s="53"/>
      <c r="M60" s="53"/>
      <c r="N60" s="50"/>
      <c r="O60" s="98"/>
      <c r="S60" s="74"/>
      <c r="T60" s="74"/>
      <c r="U60" s="74"/>
      <c r="V60" s="74"/>
      <c r="W60" s="74"/>
      <c r="X60" s="74"/>
      <c r="Y60" s="74"/>
      <c r="AA60" s="196" t="str">
        <f t="shared" si="0"/>
        <v>-</v>
      </c>
      <c r="AB60" s="185" t="str">
        <f t="shared" si="6"/>
        <v>-</v>
      </c>
      <c r="AC60" s="278">
        <f t="shared" si="14"/>
        <v>57</v>
      </c>
      <c r="AD60" s="279"/>
      <c r="AE60" s="83" t="str">
        <f t="shared" si="7"/>
        <v>-</v>
      </c>
      <c r="AF60" s="84"/>
      <c r="AG60" s="280" t="str">
        <f t="shared" si="8"/>
        <v>-</v>
      </c>
      <c r="AH60" s="281"/>
      <c r="AI60" s="282" t="str">
        <f t="shared" si="9"/>
        <v>-</v>
      </c>
      <c r="AJ60" s="283"/>
      <c r="AK60" s="85">
        <f t="shared" ca="1" si="1"/>
        <v>47907</v>
      </c>
      <c r="AL60" s="278">
        <v>57</v>
      </c>
      <c r="AM60" s="279"/>
      <c r="AN60" s="86" t="e">
        <f t="shared" si="2"/>
        <v>#DIV/0!</v>
      </c>
      <c r="AO60" s="87"/>
      <c r="AP60" s="284" t="e">
        <f t="shared" ca="1" si="3"/>
        <v>#DIV/0!</v>
      </c>
      <c r="AQ60" s="285"/>
      <c r="AR60" s="286" t="e">
        <f t="shared" ca="1" si="4"/>
        <v>#DIV/0!</v>
      </c>
      <c r="AS60" s="287"/>
      <c r="AT60" s="87" t="e">
        <f t="shared" ca="1" si="10"/>
        <v>#DIV/0!</v>
      </c>
      <c r="AU60" s="75" t="str">
        <f t="shared" si="5"/>
        <v>-</v>
      </c>
      <c r="AZ60" s="216">
        <v>5.8999999999999999E-3</v>
      </c>
    </row>
    <row r="61" spans="1:52" ht="14.1" customHeight="1" x14ac:dyDescent="0.3">
      <c r="A61" s="43"/>
      <c r="B61" s="244" t="str">
        <f t="shared" si="15"/>
        <v/>
      </c>
      <c r="C61" s="244"/>
      <c r="D61" s="205" t="str">
        <f t="shared" ref="D61:D71" si="22">IF(B60&lt;$E$12,AE41,"")</f>
        <v/>
      </c>
      <c r="E61" s="243" t="str">
        <f t="shared" ref="E61:E71" si="23">IF(B60&lt;$E$12,AG41,"")</f>
        <v/>
      </c>
      <c r="F61" s="243"/>
      <c r="G61" s="243" t="str">
        <f t="shared" ref="G61:G71" si="24">IF(B60&lt;$E$12,AI41,"")</f>
        <v/>
      </c>
      <c r="H61" s="243"/>
      <c r="I61" s="202"/>
      <c r="J61" s="53"/>
      <c r="K61" s="53"/>
      <c r="L61" s="53"/>
      <c r="M61" s="53"/>
      <c r="N61" s="50"/>
      <c r="O61" s="98"/>
      <c r="S61" s="74"/>
      <c r="U61" s="143"/>
      <c r="V61" s="116"/>
      <c r="W61" s="116"/>
      <c r="X61" s="116"/>
      <c r="Y61" s="116"/>
      <c r="AA61" s="196" t="str">
        <f t="shared" si="0"/>
        <v>-</v>
      </c>
      <c r="AB61" s="185" t="str">
        <f t="shared" si="6"/>
        <v>-</v>
      </c>
      <c r="AC61" s="278">
        <f t="shared" si="14"/>
        <v>58</v>
      </c>
      <c r="AD61" s="279"/>
      <c r="AE61" s="83" t="str">
        <f t="shared" si="7"/>
        <v>-</v>
      </c>
      <c r="AF61" s="84"/>
      <c r="AG61" s="280" t="str">
        <f t="shared" si="8"/>
        <v>-</v>
      </c>
      <c r="AH61" s="281"/>
      <c r="AI61" s="282" t="str">
        <f t="shared" si="9"/>
        <v>-</v>
      </c>
      <c r="AJ61" s="283"/>
      <c r="AK61" s="85">
        <f t="shared" ca="1" si="1"/>
        <v>47938</v>
      </c>
      <c r="AL61" s="278">
        <v>58</v>
      </c>
      <c r="AM61" s="279"/>
      <c r="AN61" s="86" t="e">
        <f t="shared" si="2"/>
        <v>#DIV/0!</v>
      </c>
      <c r="AO61" s="87"/>
      <c r="AP61" s="284" t="e">
        <f t="shared" ca="1" si="3"/>
        <v>#DIV/0!</v>
      </c>
      <c r="AQ61" s="285"/>
      <c r="AR61" s="286" t="e">
        <f t="shared" ca="1" si="4"/>
        <v>#DIV/0!</v>
      </c>
      <c r="AS61" s="287"/>
      <c r="AT61" s="87" t="e">
        <f t="shared" ca="1" si="10"/>
        <v>#DIV/0!</v>
      </c>
      <c r="AU61" s="75" t="str">
        <f t="shared" si="5"/>
        <v>-</v>
      </c>
      <c r="AZ61" s="216">
        <v>6.0000000000000001E-3</v>
      </c>
    </row>
    <row r="62" spans="1:52" ht="14.1" customHeight="1" x14ac:dyDescent="0.3">
      <c r="A62" s="43"/>
      <c r="B62" s="244" t="str">
        <f t="shared" si="15"/>
        <v/>
      </c>
      <c r="C62" s="244"/>
      <c r="D62" s="205" t="str">
        <f t="shared" si="22"/>
        <v/>
      </c>
      <c r="E62" s="243" t="str">
        <f t="shared" si="23"/>
        <v/>
      </c>
      <c r="F62" s="243"/>
      <c r="G62" s="243" t="str">
        <f t="shared" si="24"/>
        <v/>
      </c>
      <c r="H62" s="243"/>
      <c r="I62" s="202"/>
      <c r="J62" s="53"/>
      <c r="K62" s="53"/>
      <c r="L62" s="53"/>
      <c r="M62" s="53"/>
      <c r="N62" s="50"/>
      <c r="O62" s="98"/>
      <c r="S62" s="74"/>
      <c r="W62" s="116"/>
      <c r="X62" s="116"/>
      <c r="AA62" s="196" t="str">
        <f t="shared" si="0"/>
        <v>-</v>
      </c>
      <c r="AB62" s="185" t="str">
        <f t="shared" si="6"/>
        <v>-</v>
      </c>
      <c r="AC62" s="278">
        <f t="shared" si="14"/>
        <v>59</v>
      </c>
      <c r="AD62" s="279"/>
      <c r="AE62" s="83" t="str">
        <f t="shared" si="7"/>
        <v>-</v>
      </c>
      <c r="AF62" s="84"/>
      <c r="AG62" s="280" t="str">
        <f t="shared" si="8"/>
        <v>-</v>
      </c>
      <c r="AH62" s="281"/>
      <c r="AI62" s="282" t="str">
        <f t="shared" si="9"/>
        <v>-</v>
      </c>
      <c r="AJ62" s="283"/>
      <c r="AK62" s="85">
        <f t="shared" ca="1" si="1"/>
        <v>47968</v>
      </c>
      <c r="AL62" s="278">
        <v>59</v>
      </c>
      <c r="AM62" s="279"/>
      <c r="AN62" s="86" t="e">
        <f t="shared" si="2"/>
        <v>#DIV/0!</v>
      </c>
      <c r="AO62" s="87"/>
      <c r="AP62" s="284" t="e">
        <f t="shared" ca="1" si="3"/>
        <v>#DIV/0!</v>
      </c>
      <c r="AQ62" s="285"/>
      <c r="AR62" s="286" t="e">
        <f t="shared" ca="1" si="4"/>
        <v>#DIV/0!</v>
      </c>
      <c r="AS62" s="287"/>
      <c r="AT62" s="87" t="e">
        <f t="shared" ca="1" si="10"/>
        <v>#DIV/0!</v>
      </c>
      <c r="AU62" s="75" t="str">
        <f t="shared" si="5"/>
        <v>-</v>
      </c>
      <c r="AZ62" s="216">
        <v>6.1000000000000004E-3</v>
      </c>
    </row>
    <row r="63" spans="1:52" ht="14.1" customHeight="1" x14ac:dyDescent="0.3">
      <c r="A63" s="43"/>
      <c r="B63" s="244" t="str">
        <f t="shared" si="15"/>
        <v/>
      </c>
      <c r="C63" s="244"/>
      <c r="D63" s="205" t="str">
        <f t="shared" si="22"/>
        <v/>
      </c>
      <c r="E63" s="243" t="str">
        <f t="shared" si="23"/>
        <v/>
      </c>
      <c r="F63" s="243"/>
      <c r="G63" s="243" t="str">
        <f t="shared" si="24"/>
        <v/>
      </c>
      <c r="H63" s="243"/>
      <c r="I63" s="202"/>
      <c r="J63" s="53"/>
      <c r="K63" s="53"/>
      <c r="L63" s="53"/>
      <c r="M63" s="53"/>
      <c r="N63" s="50"/>
      <c r="O63" s="98"/>
      <c r="S63" s="74"/>
      <c r="AA63" s="196" t="str">
        <f>IFERROR(AI63+Z64,"-")</f>
        <v>-</v>
      </c>
      <c r="AB63" s="185" t="str">
        <f t="shared" si="6"/>
        <v>-</v>
      </c>
      <c r="AC63" s="278">
        <f t="shared" si="14"/>
        <v>60</v>
      </c>
      <c r="AD63" s="279"/>
      <c r="AE63" s="83" t="str">
        <f t="shared" si="7"/>
        <v>-</v>
      </c>
      <c r="AF63" s="84"/>
      <c r="AG63" s="280" t="str">
        <f t="shared" si="8"/>
        <v>-</v>
      </c>
      <c r="AH63" s="281"/>
      <c r="AI63" s="282" t="str">
        <f t="shared" si="9"/>
        <v>-</v>
      </c>
      <c r="AJ63" s="283"/>
      <c r="AK63" s="85">
        <f t="shared" ca="1" si="1"/>
        <v>47999</v>
      </c>
      <c r="AL63" s="278">
        <v>60</v>
      </c>
      <c r="AM63" s="279"/>
      <c r="AN63" s="86" t="e">
        <f t="shared" si="2"/>
        <v>#DIV/0!</v>
      </c>
      <c r="AO63" s="87"/>
      <c r="AP63" s="284" t="e">
        <f t="shared" ca="1" si="3"/>
        <v>#DIV/0!</v>
      </c>
      <c r="AQ63" s="285"/>
      <c r="AR63" s="286" t="e">
        <f t="shared" ca="1" si="4"/>
        <v>#DIV/0!</v>
      </c>
      <c r="AS63" s="287"/>
      <c r="AT63" s="87" t="e">
        <f t="shared" ca="1" si="10"/>
        <v>#DIV/0!</v>
      </c>
      <c r="AU63" s="75" t="str">
        <f t="shared" si="5"/>
        <v>-</v>
      </c>
      <c r="AZ63" s="216">
        <v>6.1999999999999998E-3</v>
      </c>
    </row>
    <row r="64" spans="1:52" ht="14.1" customHeight="1" x14ac:dyDescent="0.3">
      <c r="A64" s="43"/>
      <c r="B64" s="244" t="str">
        <f t="shared" si="15"/>
        <v/>
      </c>
      <c r="C64" s="244"/>
      <c r="D64" s="205" t="str">
        <f t="shared" si="22"/>
        <v/>
      </c>
      <c r="E64" s="243" t="str">
        <f t="shared" si="23"/>
        <v/>
      </c>
      <c r="F64" s="243"/>
      <c r="G64" s="243" t="str">
        <f t="shared" si="24"/>
        <v/>
      </c>
      <c r="H64" s="243"/>
      <c r="I64" s="202"/>
      <c r="J64" s="53"/>
      <c r="K64" s="53"/>
      <c r="L64" s="53"/>
      <c r="M64" s="53"/>
      <c r="N64" s="50"/>
      <c r="O64" s="98"/>
      <c r="S64" s="74"/>
      <c r="Z64" s="116">
        <f>IF($V$26&gt;AC64,$E$4*0.9*0.9*0.9*0.9*0.9*T33,0)</f>
        <v>0</v>
      </c>
      <c r="AA64" s="196" t="str">
        <f t="shared" si="0"/>
        <v>-</v>
      </c>
      <c r="AB64" s="185" t="str">
        <f t="shared" si="6"/>
        <v>-</v>
      </c>
      <c r="AC64" s="278">
        <f t="shared" si="14"/>
        <v>61</v>
      </c>
      <c r="AD64" s="279"/>
      <c r="AE64" s="83" t="str">
        <f t="shared" si="7"/>
        <v>-</v>
      </c>
      <c r="AF64" s="84"/>
      <c r="AG64" s="280" t="str">
        <f t="shared" si="8"/>
        <v>-</v>
      </c>
      <c r="AH64" s="281"/>
      <c r="AI64" s="282" t="str">
        <f t="shared" si="9"/>
        <v>-</v>
      </c>
      <c r="AJ64" s="283"/>
      <c r="AK64" s="85">
        <f t="shared" ca="1" si="1"/>
        <v>48029</v>
      </c>
      <c r="AL64" s="278">
        <v>61</v>
      </c>
      <c r="AM64" s="279"/>
      <c r="AN64" s="86" t="e">
        <f t="shared" si="2"/>
        <v>#DIV/0!</v>
      </c>
      <c r="AO64" s="87"/>
      <c r="AP64" s="284" t="e">
        <f t="shared" ca="1" si="3"/>
        <v>#DIV/0!</v>
      </c>
      <c r="AQ64" s="285"/>
      <c r="AR64" s="286" t="e">
        <f t="shared" ca="1" si="4"/>
        <v>#DIV/0!</v>
      </c>
      <c r="AS64" s="287"/>
      <c r="AT64" s="87" t="e">
        <f t="shared" ca="1" si="10"/>
        <v>#DIV/0!</v>
      </c>
      <c r="AU64" s="75" t="e">
        <f>AI64+AW64+AX64</f>
        <v>#VALUE!</v>
      </c>
      <c r="AW64" s="63" t="str">
        <f>IF($E$12&gt;$R$6,$E$4*0.9*0.9*0.9*0.9*0.9*5.5%,"")</f>
        <v/>
      </c>
      <c r="AX64" s="63" t="e">
        <f>IF(#REF!=0,0,IF($E$12&gt;$R$6,(AE90-SUM(AE4:AE63))*0.0299,""))</f>
        <v>#REF!</v>
      </c>
      <c r="AZ64" s="216">
        <v>6.3E-3</v>
      </c>
    </row>
    <row r="65" spans="1:52" ht="14.1" customHeight="1" x14ac:dyDescent="0.3">
      <c r="A65" s="43"/>
      <c r="B65" s="244" t="str">
        <f t="shared" si="15"/>
        <v/>
      </c>
      <c r="C65" s="244"/>
      <c r="D65" s="205" t="str">
        <f t="shared" si="22"/>
        <v/>
      </c>
      <c r="E65" s="243" t="str">
        <f t="shared" si="23"/>
        <v/>
      </c>
      <c r="F65" s="243"/>
      <c r="G65" s="243" t="str">
        <f t="shared" si="24"/>
        <v/>
      </c>
      <c r="H65" s="243"/>
      <c r="I65" s="202"/>
      <c r="J65" s="53"/>
      <c r="K65" s="53"/>
      <c r="L65" s="53"/>
      <c r="M65" s="53"/>
      <c r="N65" s="50"/>
      <c r="O65" s="98"/>
      <c r="S65" s="74"/>
      <c r="AA65" s="196" t="str">
        <f t="shared" si="0"/>
        <v>-</v>
      </c>
      <c r="AB65" s="185" t="str">
        <f t="shared" si="6"/>
        <v>-</v>
      </c>
      <c r="AC65" s="278">
        <f t="shared" si="14"/>
        <v>62</v>
      </c>
      <c r="AD65" s="279"/>
      <c r="AE65" s="83" t="str">
        <f t="shared" si="7"/>
        <v>-</v>
      </c>
      <c r="AF65" s="84"/>
      <c r="AG65" s="280" t="str">
        <f t="shared" si="8"/>
        <v>-</v>
      </c>
      <c r="AH65" s="281"/>
      <c r="AI65" s="282" t="str">
        <f t="shared" si="9"/>
        <v>-</v>
      </c>
      <c r="AJ65" s="283"/>
      <c r="AK65" s="85">
        <f t="shared" ca="1" si="1"/>
        <v>48060</v>
      </c>
      <c r="AL65" s="278">
        <v>62</v>
      </c>
      <c r="AM65" s="279"/>
      <c r="AN65" s="86" t="e">
        <f t="shared" si="2"/>
        <v>#DIV/0!</v>
      </c>
      <c r="AO65" s="87"/>
      <c r="AP65" s="284" t="e">
        <f t="shared" ca="1" si="3"/>
        <v>#DIV/0!</v>
      </c>
      <c r="AQ65" s="285"/>
      <c r="AR65" s="286" t="e">
        <f t="shared" ca="1" si="4"/>
        <v>#DIV/0!</v>
      </c>
      <c r="AS65" s="287"/>
      <c r="AT65" s="87" t="e">
        <f t="shared" ca="1" si="10"/>
        <v>#DIV/0!</v>
      </c>
      <c r="AU65" s="75" t="str">
        <f t="shared" si="5"/>
        <v>-</v>
      </c>
      <c r="AZ65" s="216">
        <v>6.4000000000000003E-3</v>
      </c>
    </row>
    <row r="66" spans="1:52" ht="14.1" customHeight="1" x14ac:dyDescent="0.3">
      <c r="A66" s="43"/>
      <c r="B66" s="244" t="str">
        <f t="shared" si="15"/>
        <v/>
      </c>
      <c r="C66" s="244"/>
      <c r="D66" s="205" t="str">
        <f t="shared" si="22"/>
        <v/>
      </c>
      <c r="E66" s="243" t="str">
        <f t="shared" si="23"/>
        <v/>
      </c>
      <c r="F66" s="243"/>
      <c r="G66" s="243" t="str">
        <f t="shared" si="24"/>
        <v/>
      </c>
      <c r="H66" s="243"/>
      <c r="I66" s="202"/>
      <c r="J66" s="53"/>
      <c r="K66" s="53"/>
      <c r="L66" s="53"/>
      <c r="M66" s="53"/>
      <c r="N66" s="50"/>
      <c r="O66" s="98"/>
      <c r="S66" s="74"/>
      <c r="AA66" s="196" t="str">
        <f t="shared" si="0"/>
        <v>-</v>
      </c>
      <c r="AB66" s="185" t="str">
        <f t="shared" si="6"/>
        <v>-</v>
      </c>
      <c r="AC66" s="278">
        <f t="shared" si="14"/>
        <v>63</v>
      </c>
      <c r="AD66" s="279"/>
      <c r="AE66" s="83" t="str">
        <f t="shared" si="7"/>
        <v>-</v>
      </c>
      <c r="AF66" s="84"/>
      <c r="AG66" s="280" t="str">
        <f t="shared" si="8"/>
        <v>-</v>
      </c>
      <c r="AH66" s="281"/>
      <c r="AI66" s="282" t="str">
        <f t="shared" si="9"/>
        <v>-</v>
      </c>
      <c r="AJ66" s="283"/>
      <c r="AK66" s="85">
        <f t="shared" ca="1" si="1"/>
        <v>48091</v>
      </c>
      <c r="AL66" s="278">
        <v>63</v>
      </c>
      <c r="AM66" s="279"/>
      <c r="AN66" s="86" t="e">
        <f t="shared" si="2"/>
        <v>#DIV/0!</v>
      </c>
      <c r="AO66" s="87"/>
      <c r="AP66" s="284" t="e">
        <f t="shared" ca="1" si="3"/>
        <v>#DIV/0!</v>
      </c>
      <c r="AQ66" s="285"/>
      <c r="AR66" s="286" t="e">
        <f t="shared" ca="1" si="4"/>
        <v>#DIV/0!</v>
      </c>
      <c r="AS66" s="287"/>
      <c r="AT66" s="87" t="e">
        <f t="shared" ca="1" si="10"/>
        <v>#DIV/0!</v>
      </c>
      <c r="AU66" s="75" t="str">
        <f t="shared" si="5"/>
        <v>-</v>
      </c>
      <c r="AZ66" s="216">
        <v>6.4999999999999997E-3</v>
      </c>
    </row>
    <row r="67" spans="1:52" ht="14.1" customHeight="1" x14ac:dyDescent="0.3">
      <c r="A67" s="43"/>
      <c r="B67" s="244" t="str">
        <f t="shared" si="15"/>
        <v/>
      </c>
      <c r="C67" s="244"/>
      <c r="D67" s="205" t="str">
        <f t="shared" si="22"/>
        <v/>
      </c>
      <c r="E67" s="243" t="str">
        <f t="shared" si="23"/>
        <v/>
      </c>
      <c r="F67" s="243"/>
      <c r="G67" s="243" t="str">
        <f t="shared" si="24"/>
        <v/>
      </c>
      <c r="H67" s="243"/>
      <c r="I67" s="202"/>
      <c r="J67" s="53"/>
      <c r="K67" s="53"/>
      <c r="L67" s="53"/>
      <c r="M67" s="53"/>
      <c r="N67" s="50"/>
      <c r="O67" s="98"/>
      <c r="S67" s="74"/>
      <c r="AA67" s="196" t="str">
        <f t="shared" si="0"/>
        <v>-</v>
      </c>
      <c r="AB67" s="185" t="str">
        <f t="shared" si="6"/>
        <v>-</v>
      </c>
      <c r="AC67" s="278">
        <f t="shared" si="14"/>
        <v>64</v>
      </c>
      <c r="AD67" s="279"/>
      <c r="AE67" s="83" t="str">
        <f t="shared" si="7"/>
        <v>-</v>
      </c>
      <c r="AF67" s="84"/>
      <c r="AG67" s="280" t="str">
        <f t="shared" si="8"/>
        <v>-</v>
      </c>
      <c r="AH67" s="281"/>
      <c r="AI67" s="282" t="str">
        <f t="shared" si="9"/>
        <v>-</v>
      </c>
      <c r="AJ67" s="283"/>
      <c r="AK67" s="85">
        <f t="shared" ca="1" si="1"/>
        <v>48121</v>
      </c>
      <c r="AL67" s="278">
        <v>64</v>
      </c>
      <c r="AM67" s="279"/>
      <c r="AN67" s="86" t="e">
        <f t="shared" si="2"/>
        <v>#DIV/0!</v>
      </c>
      <c r="AO67" s="87"/>
      <c r="AP67" s="284" t="e">
        <f t="shared" ca="1" si="3"/>
        <v>#DIV/0!</v>
      </c>
      <c r="AQ67" s="285"/>
      <c r="AR67" s="286" t="e">
        <f t="shared" ca="1" si="4"/>
        <v>#DIV/0!</v>
      </c>
      <c r="AS67" s="287"/>
      <c r="AT67" s="87" t="e">
        <f t="shared" ca="1" si="10"/>
        <v>#DIV/0!</v>
      </c>
      <c r="AU67" s="75" t="str">
        <f t="shared" si="5"/>
        <v>-</v>
      </c>
      <c r="AZ67" s="216">
        <v>6.6E-3</v>
      </c>
    </row>
    <row r="68" spans="1:52" ht="14.1" customHeight="1" x14ac:dyDescent="0.3">
      <c r="A68" s="43"/>
      <c r="B68" s="244" t="str">
        <f t="shared" si="15"/>
        <v/>
      </c>
      <c r="C68" s="244"/>
      <c r="D68" s="205" t="str">
        <f t="shared" si="22"/>
        <v/>
      </c>
      <c r="E68" s="243" t="str">
        <f t="shared" si="23"/>
        <v/>
      </c>
      <c r="F68" s="243"/>
      <c r="G68" s="243" t="str">
        <f t="shared" si="24"/>
        <v/>
      </c>
      <c r="H68" s="243"/>
      <c r="I68" s="202"/>
      <c r="J68" s="53"/>
      <c r="K68" s="53"/>
      <c r="L68" s="53"/>
      <c r="M68" s="53"/>
      <c r="N68" s="50"/>
      <c r="O68" s="98"/>
      <c r="S68" s="74"/>
      <c r="AA68" s="196" t="str">
        <f t="shared" si="0"/>
        <v>-</v>
      </c>
      <c r="AB68" s="185" t="str">
        <f t="shared" si="6"/>
        <v>-</v>
      </c>
      <c r="AC68" s="278">
        <f t="shared" si="14"/>
        <v>65</v>
      </c>
      <c r="AD68" s="279"/>
      <c r="AE68" s="83" t="str">
        <f t="shared" si="7"/>
        <v>-</v>
      </c>
      <c r="AF68" s="84"/>
      <c r="AG68" s="280" t="str">
        <f t="shared" si="8"/>
        <v>-</v>
      </c>
      <c r="AH68" s="281"/>
      <c r="AI68" s="282" t="str">
        <f t="shared" si="9"/>
        <v>-</v>
      </c>
      <c r="AJ68" s="283"/>
      <c r="AK68" s="85">
        <f t="shared" ca="1" si="1"/>
        <v>48152</v>
      </c>
      <c r="AL68" s="278">
        <v>65</v>
      </c>
      <c r="AM68" s="279"/>
      <c r="AN68" s="86" t="e">
        <f t="shared" si="2"/>
        <v>#DIV/0!</v>
      </c>
      <c r="AO68" s="87"/>
      <c r="AP68" s="284" t="e">
        <f t="shared" ca="1" si="3"/>
        <v>#DIV/0!</v>
      </c>
      <c r="AQ68" s="285"/>
      <c r="AR68" s="286" t="e">
        <f t="shared" ca="1" si="4"/>
        <v>#DIV/0!</v>
      </c>
      <c r="AS68" s="287"/>
      <c r="AT68" s="87" t="e">
        <f t="shared" ca="1" si="10"/>
        <v>#DIV/0!</v>
      </c>
      <c r="AU68" s="75" t="str">
        <f t="shared" si="5"/>
        <v>-</v>
      </c>
      <c r="AZ68" s="216">
        <v>6.7000000000000002E-3</v>
      </c>
    </row>
    <row r="69" spans="1:52" ht="14.1" customHeight="1" x14ac:dyDescent="0.3">
      <c r="A69" s="43"/>
      <c r="B69" s="244" t="str">
        <f t="shared" si="15"/>
        <v/>
      </c>
      <c r="C69" s="244"/>
      <c r="D69" s="205" t="str">
        <f t="shared" si="22"/>
        <v/>
      </c>
      <c r="E69" s="243" t="str">
        <f t="shared" si="23"/>
        <v/>
      </c>
      <c r="F69" s="243"/>
      <c r="G69" s="243" t="str">
        <f t="shared" si="24"/>
        <v/>
      </c>
      <c r="H69" s="243"/>
      <c r="I69" s="202"/>
      <c r="J69" s="53"/>
      <c r="K69" s="53"/>
      <c r="L69" s="53"/>
      <c r="M69" s="53"/>
      <c r="N69" s="50"/>
      <c r="O69" s="98"/>
      <c r="S69" s="74"/>
      <c r="AA69" s="196" t="str">
        <f t="shared" ref="AA69:AA87" si="25">AI69</f>
        <v>-</v>
      </c>
      <c r="AB69" s="185" t="str">
        <f t="shared" si="6"/>
        <v>-</v>
      </c>
      <c r="AC69" s="278">
        <f t="shared" si="14"/>
        <v>66</v>
      </c>
      <c r="AD69" s="279"/>
      <c r="AE69" s="83" t="str">
        <f t="shared" si="7"/>
        <v>-</v>
      </c>
      <c r="AF69" s="84"/>
      <c r="AG69" s="280" t="str">
        <f t="shared" si="8"/>
        <v>-</v>
      </c>
      <c r="AH69" s="281"/>
      <c r="AI69" s="282" t="str">
        <f t="shared" si="9"/>
        <v>-</v>
      </c>
      <c r="AJ69" s="283"/>
      <c r="AK69" s="85">
        <f t="shared" ref="AK69:AK89" ca="1" si="26">IF(AL69="","",DATE(YEAR(AK68),MONTH(AK68)+2,DAY(1)-1))</f>
        <v>48182</v>
      </c>
      <c r="AL69" s="278">
        <v>66</v>
      </c>
      <c r="AM69" s="279"/>
      <c r="AN69" s="86" t="e">
        <f t="shared" ref="AN69:AN89" si="27">$N$2/$E$12</f>
        <v>#DIV/0!</v>
      </c>
      <c r="AO69" s="87"/>
      <c r="AP69" s="284" t="e">
        <f t="shared" ref="AP69:AP89" ca="1" si="28">AT69*$E$14/100*(AK69-AK68)/360</f>
        <v>#DIV/0!</v>
      </c>
      <c r="AQ69" s="285"/>
      <c r="AR69" s="286" t="e">
        <f t="shared" ref="AR69:AR89" ca="1" si="29">AN69+AP69</f>
        <v>#DIV/0!</v>
      </c>
      <c r="AS69" s="287"/>
      <c r="AT69" s="87" t="e">
        <f t="shared" ca="1" si="10"/>
        <v>#DIV/0!</v>
      </c>
      <c r="AU69" s="75" t="str">
        <f t="shared" ref="AU69:AU90" si="30">AI69</f>
        <v>-</v>
      </c>
      <c r="AZ69" s="216">
        <v>6.7999999999999996E-3</v>
      </c>
    </row>
    <row r="70" spans="1:52" ht="14.1" customHeight="1" x14ac:dyDescent="0.3">
      <c r="A70" s="43"/>
      <c r="B70" s="244" t="str">
        <f t="shared" si="15"/>
        <v/>
      </c>
      <c r="C70" s="244"/>
      <c r="D70" s="205" t="str">
        <f t="shared" si="22"/>
        <v/>
      </c>
      <c r="E70" s="243" t="str">
        <f t="shared" si="23"/>
        <v/>
      </c>
      <c r="F70" s="243"/>
      <c r="G70" s="243" t="str">
        <f t="shared" si="24"/>
        <v/>
      </c>
      <c r="H70" s="243"/>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78">
        <f t="shared" si="14"/>
        <v>67</v>
      </c>
      <c r="AD70" s="279"/>
      <c r="AE70" s="83" t="str">
        <f t="shared" ref="AE70:AE87" si="32">IF(AC70&gt;$V$26,"-",IF($AE$4=0,PPMT($E$14/1200,AC69,$E$12,-$N$2),PPMT($E$14/1200,AC70,$E$12,-$N$2)))</f>
        <v>-</v>
      </c>
      <c r="AF70" s="84"/>
      <c r="AG70" s="280" t="str">
        <f t="shared" ref="AG70:AG87" si="33">IF(AC70&gt;$V$26,"-",IF($AE$4=0,IPMT($E$14/1200,AC69,$E$12,-$N$2),IPMT($E$14/1200,AC70,$E$12,-$N$2)))</f>
        <v>-</v>
      </c>
      <c r="AH70" s="281"/>
      <c r="AI70" s="282" t="str">
        <f t="shared" ref="AI70:AI87" si="34">IF(AC70&gt;$V$26,"-",AG70+AE70)</f>
        <v>-</v>
      </c>
      <c r="AJ70" s="283"/>
      <c r="AK70" s="85">
        <f t="shared" ca="1" si="26"/>
        <v>48213</v>
      </c>
      <c r="AL70" s="278">
        <v>67</v>
      </c>
      <c r="AM70" s="279"/>
      <c r="AN70" s="86" t="e">
        <f t="shared" si="27"/>
        <v>#DIV/0!</v>
      </c>
      <c r="AO70" s="87"/>
      <c r="AP70" s="284" t="e">
        <f t="shared" ca="1" si="28"/>
        <v>#DIV/0!</v>
      </c>
      <c r="AQ70" s="285"/>
      <c r="AR70" s="286" t="e">
        <f t="shared" ca="1" si="29"/>
        <v>#DIV/0!</v>
      </c>
      <c r="AS70" s="287"/>
      <c r="AT70" s="87" t="e">
        <f t="shared" ref="AT70:AT89" ca="1" si="35">AT69-AN69</f>
        <v>#DIV/0!</v>
      </c>
      <c r="AU70" s="75" t="str">
        <f t="shared" si="30"/>
        <v>-</v>
      </c>
      <c r="AZ70" s="216">
        <v>6.8999999999999999E-3</v>
      </c>
    </row>
    <row r="71" spans="1:52" ht="14.1" customHeight="1" x14ac:dyDescent="0.3">
      <c r="A71" s="43"/>
      <c r="B71" s="244" t="str">
        <f t="shared" si="15"/>
        <v/>
      </c>
      <c r="C71" s="244"/>
      <c r="D71" s="205" t="str">
        <f t="shared" si="22"/>
        <v/>
      </c>
      <c r="E71" s="243" t="str">
        <f t="shared" si="23"/>
        <v/>
      </c>
      <c r="F71" s="243"/>
      <c r="G71" s="243" t="str">
        <f t="shared" si="24"/>
        <v/>
      </c>
      <c r="H71" s="243"/>
      <c r="I71" s="202"/>
      <c r="J71" s="53"/>
      <c r="K71" s="53"/>
      <c r="L71" s="53"/>
      <c r="M71" s="53"/>
      <c r="N71" s="50"/>
      <c r="O71" s="98"/>
      <c r="S71" s="74"/>
      <c r="AA71" s="196" t="str">
        <f t="shared" si="25"/>
        <v>-</v>
      </c>
      <c r="AB71" s="185" t="str">
        <f t="shared" si="31"/>
        <v>-</v>
      </c>
      <c r="AC71" s="278">
        <f t="shared" si="14"/>
        <v>68</v>
      </c>
      <c r="AD71" s="279"/>
      <c r="AE71" s="83" t="str">
        <f t="shared" si="32"/>
        <v>-</v>
      </c>
      <c r="AF71" s="84"/>
      <c r="AG71" s="280" t="str">
        <f t="shared" si="33"/>
        <v>-</v>
      </c>
      <c r="AH71" s="281"/>
      <c r="AI71" s="282" t="str">
        <f t="shared" si="34"/>
        <v>-</v>
      </c>
      <c r="AJ71" s="283"/>
      <c r="AK71" s="85">
        <f t="shared" ca="1" si="26"/>
        <v>48244</v>
      </c>
      <c r="AL71" s="278">
        <v>68</v>
      </c>
      <c r="AM71" s="279"/>
      <c r="AN71" s="86" t="e">
        <f t="shared" si="27"/>
        <v>#DIV/0!</v>
      </c>
      <c r="AO71" s="87"/>
      <c r="AP71" s="284" t="e">
        <f t="shared" ca="1" si="28"/>
        <v>#DIV/0!</v>
      </c>
      <c r="AQ71" s="285"/>
      <c r="AR71" s="286" t="e">
        <f t="shared" ca="1" si="29"/>
        <v>#DIV/0!</v>
      </c>
      <c r="AS71" s="287"/>
      <c r="AT71" s="87" t="e">
        <f t="shared" ca="1" si="35"/>
        <v>#DIV/0!</v>
      </c>
      <c r="AU71" s="75" t="str">
        <f t="shared" si="30"/>
        <v>-</v>
      </c>
      <c r="AZ71" s="216">
        <v>7.0000000000000001E-3</v>
      </c>
    </row>
    <row r="72" spans="1:52" ht="14.1" customHeight="1" x14ac:dyDescent="0.3">
      <c r="A72" s="43"/>
      <c r="B72" s="244" t="str">
        <f>IF(E12=48,"Всього:",IF(B71&lt;$E$12,B71+1,""))</f>
        <v/>
      </c>
      <c r="C72" s="244"/>
      <c r="D72" s="205" t="str">
        <f>IF(E12=48,SUM(D24:D71),IF(B71&lt;$E$12,AE52,""))</f>
        <v/>
      </c>
      <c r="E72" s="243" t="str">
        <f>IF(E12=48,SUM(E24:F71),IF(B71&lt;$E$12,AG52,""))</f>
        <v/>
      </c>
      <c r="F72" s="243"/>
      <c r="G72" s="243" t="str">
        <f>IF(E12=48,SUM(G24:H71),IF(B71&lt;$E$12,AI52,""))</f>
        <v/>
      </c>
      <c r="H72" s="243"/>
      <c r="I72" s="202"/>
      <c r="J72" s="53"/>
      <c r="K72" s="53"/>
      <c r="L72" s="53"/>
      <c r="M72" s="53"/>
      <c r="N72" s="50"/>
      <c r="O72" s="98"/>
      <c r="S72" s="74"/>
      <c r="AA72" s="196" t="str">
        <f t="shared" si="25"/>
        <v>-</v>
      </c>
      <c r="AB72" s="185" t="str">
        <f t="shared" si="31"/>
        <v>-</v>
      </c>
      <c r="AC72" s="278">
        <f t="shared" si="14"/>
        <v>69</v>
      </c>
      <c r="AD72" s="279"/>
      <c r="AE72" s="83" t="str">
        <f t="shared" si="32"/>
        <v>-</v>
      </c>
      <c r="AF72" s="84"/>
      <c r="AG72" s="280" t="str">
        <f t="shared" si="33"/>
        <v>-</v>
      </c>
      <c r="AH72" s="281"/>
      <c r="AI72" s="282" t="str">
        <f t="shared" si="34"/>
        <v>-</v>
      </c>
      <c r="AJ72" s="283"/>
      <c r="AK72" s="85">
        <f t="shared" ca="1" si="26"/>
        <v>48273</v>
      </c>
      <c r="AL72" s="278">
        <v>69</v>
      </c>
      <c r="AM72" s="279"/>
      <c r="AN72" s="86" t="e">
        <f t="shared" si="27"/>
        <v>#DIV/0!</v>
      </c>
      <c r="AO72" s="87"/>
      <c r="AP72" s="284" t="e">
        <f t="shared" ca="1" si="28"/>
        <v>#DIV/0!</v>
      </c>
      <c r="AQ72" s="285"/>
      <c r="AR72" s="286" t="e">
        <f t="shared" ca="1" si="29"/>
        <v>#DIV/0!</v>
      </c>
      <c r="AS72" s="287"/>
      <c r="AT72" s="87" t="e">
        <f t="shared" ca="1" si="35"/>
        <v>#DIV/0!</v>
      </c>
      <c r="AU72" s="75" t="str">
        <f t="shared" si="30"/>
        <v>-</v>
      </c>
      <c r="AZ72" s="216">
        <v>7.1000000000000004E-3</v>
      </c>
    </row>
    <row r="73" spans="1:52" ht="14.1" customHeight="1" x14ac:dyDescent="0.3">
      <c r="A73" s="43"/>
      <c r="B73" s="244" t="str">
        <f t="shared" si="15"/>
        <v/>
      </c>
      <c r="C73" s="244"/>
      <c r="D73" s="205" t="str">
        <f t="shared" ref="D73:D83" si="36">IF(B72&lt;$E$12,AE53,"")</f>
        <v/>
      </c>
      <c r="E73" s="243" t="str">
        <f t="shared" ref="E73:E83" si="37">IF(B72&lt;$E$12,AG53,"")</f>
        <v/>
      </c>
      <c r="F73" s="243"/>
      <c r="G73" s="243" t="str">
        <f t="shared" ref="G73:G83" si="38">IF(B72&lt;$E$12,AI53,"")</f>
        <v/>
      </c>
      <c r="H73" s="243"/>
      <c r="I73" s="202"/>
      <c r="J73" s="53"/>
      <c r="K73" s="53"/>
      <c r="L73" s="53"/>
      <c r="M73" s="53"/>
      <c r="N73" s="50"/>
      <c r="O73" s="98"/>
      <c r="S73" s="74"/>
      <c r="AA73" s="196" t="str">
        <f t="shared" si="25"/>
        <v>-</v>
      </c>
      <c r="AB73" s="185" t="str">
        <f t="shared" si="31"/>
        <v>-</v>
      </c>
      <c r="AC73" s="278">
        <f t="shared" si="14"/>
        <v>70</v>
      </c>
      <c r="AD73" s="279"/>
      <c r="AE73" s="83" t="str">
        <f t="shared" si="32"/>
        <v>-</v>
      </c>
      <c r="AF73" s="84"/>
      <c r="AG73" s="280" t="str">
        <f t="shared" si="33"/>
        <v>-</v>
      </c>
      <c r="AH73" s="281"/>
      <c r="AI73" s="282" t="str">
        <f t="shared" si="34"/>
        <v>-</v>
      </c>
      <c r="AJ73" s="283"/>
      <c r="AK73" s="85">
        <f t="shared" ca="1" si="26"/>
        <v>48304</v>
      </c>
      <c r="AL73" s="278">
        <v>70</v>
      </c>
      <c r="AM73" s="279"/>
      <c r="AN73" s="86" t="e">
        <f t="shared" si="27"/>
        <v>#DIV/0!</v>
      </c>
      <c r="AO73" s="87"/>
      <c r="AP73" s="284" t="e">
        <f t="shared" ca="1" si="28"/>
        <v>#DIV/0!</v>
      </c>
      <c r="AQ73" s="285"/>
      <c r="AR73" s="286" t="e">
        <f t="shared" ca="1" si="29"/>
        <v>#DIV/0!</v>
      </c>
      <c r="AS73" s="287"/>
      <c r="AT73" s="87" t="e">
        <f t="shared" ca="1" si="35"/>
        <v>#DIV/0!</v>
      </c>
      <c r="AU73" s="75" t="str">
        <f t="shared" si="30"/>
        <v>-</v>
      </c>
      <c r="AZ73" s="216">
        <v>7.1999999999999998E-3</v>
      </c>
    </row>
    <row r="74" spans="1:52" ht="14.1" customHeight="1" x14ac:dyDescent="0.3">
      <c r="A74" s="43"/>
      <c r="B74" s="244" t="str">
        <f t="shared" si="15"/>
        <v/>
      </c>
      <c r="C74" s="244"/>
      <c r="D74" s="205" t="str">
        <f t="shared" si="36"/>
        <v/>
      </c>
      <c r="E74" s="243" t="str">
        <f t="shared" si="37"/>
        <v/>
      </c>
      <c r="F74" s="243"/>
      <c r="G74" s="243" t="str">
        <f t="shared" si="38"/>
        <v/>
      </c>
      <c r="H74" s="243"/>
      <c r="I74" s="202"/>
      <c r="J74" s="53"/>
      <c r="K74" s="53"/>
      <c r="L74" s="53"/>
      <c r="M74" s="53"/>
      <c r="N74" s="50"/>
      <c r="O74" s="98"/>
      <c r="S74" s="74"/>
      <c r="AA74" s="196" t="str">
        <f t="shared" si="25"/>
        <v>-</v>
      </c>
      <c r="AB74" s="185" t="str">
        <f t="shared" si="31"/>
        <v>-</v>
      </c>
      <c r="AC74" s="278">
        <f t="shared" si="14"/>
        <v>71</v>
      </c>
      <c r="AD74" s="279"/>
      <c r="AE74" s="83" t="str">
        <f t="shared" si="32"/>
        <v>-</v>
      </c>
      <c r="AF74" s="84"/>
      <c r="AG74" s="280" t="str">
        <f t="shared" si="33"/>
        <v>-</v>
      </c>
      <c r="AH74" s="281"/>
      <c r="AI74" s="282" t="str">
        <f t="shared" si="34"/>
        <v>-</v>
      </c>
      <c r="AJ74" s="283"/>
      <c r="AK74" s="85">
        <f t="shared" ca="1" si="26"/>
        <v>48334</v>
      </c>
      <c r="AL74" s="278">
        <v>71</v>
      </c>
      <c r="AM74" s="279"/>
      <c r="AN74" s="86" t="e">
        <f t="shared" si="27"/>
        <v>#DIV/0!</v>
      </c>
      <c r="AO74" s="87"/>
      <c r="AP74" s="284" t="e">
        <f t="shared" ca="1" si="28"/>
        <v>#DIV/0!</v>
      </c>
      <c r="AQ74" s="285"/>
      <c r="AR74" s="286" t="e">
        <f t="shared" ca="1" si="29"/>
        <v>#DIV/0!</v>
      </c>
      <c r="AS74" s="287"/>
      <c r="AT74" s="87" t="e">
        <f t="shared" ca="1" si="35"/>
        <v>#DIV/0!</v>
      </c>
      <c r="AU74" s="75" t="str">
        <f t="shared" si="30"/>
        <v>-</v>
      </c>
      <c r="AZ74" s="216">
        <v>7.3000000000000001E-3</v>
      </c>
    </row>
    <row r="75" spans="1:52" ht="14.1" customHeight="1" x14ac:dyDescent="0.3">
      <c r="A75" s="43"/>
      <c r="B75" s="244" t="str">
        <f t="shared" si="15"/>
        <v/>
      </c>
      <c r="C75" s="244"/>
      <c r="D75" s="205" t="str">
        <f t="shared" si="36"/>
        <v/>
      </c>
      <c r="E75" s="243" t="str">
        <f t="shared" si="37"/>
        <v/>
      </c>
      <c r="F75" s="243"/>
      <c r="G75" s="243" t="str">
        <f t="shared" si="38"/>
        <v/>
      </c>
      <c r="H75" s="243"/>
      <c r="I75" s="202"/>
      <c r="J75" s="53"/>
      <c r="K75" s="53"/>
      <c r="L75" s="53"/>
      <c r="M75" s="53"/>
      <c r="N75" s="50"/>
      <c r="O75" s="98"/>
      <c r="S75" s="74"/>
      <c r="AA75" s="196" t="str">
        <f>IFERROR(AI75+Z76,"-")</f>
        <v>-</v>
      </c>
      <c r="AB75" s="185" t="str">
        <f t="shared" si="31"/>
        <v>-</v>
      </c>
      <c r="AC75" s="278">
        <f t="shared" si="14"/>
        <v>72</v>
      </c>
      <c r="AD75" s="279"/>
      <c r="AE75" s="83" t="str">
        <f t="shared" si="32"/>
        <v>-</v>
      </c>
      <c r="AF75" s="84"/>
      <c r="AG75" s="280" t="str">
        <f t="shared" si="33"/>
        <v>-</v>
      </c>
      <c r="AH75" s="281"/>
      <c r="AI75" s="282" t="str">
        <f t="shared" si="34"/>
        <v>-</v>
      </c>
      <c r="AJ75" s="283"/>
      <c r="AK75" s="85">
        <f t="shared" ca="1" si="26"/>
        <v>48365</v>
      </c>
      <c r="AL75" s="278">
        <v>72</v>
      </c>
      <c r="AM75" s="279"/>
      <c r="AN75" s="86" t="e">
        <f t="shared" si="27"/>
        <v>#DIV/0!</v>
      </c>
      <c r="AO75" s="87"/>
      <c r="AP75" s="284" t="e">
        <f t="shared" ca="1" si="28"/>
        <v>#DIV/0!</v>
      </c>
      <c r="AQ75" s="285"/>
      <c r="AR75" s="286" t="e">
        <f t="shared" ca="1" si="29"/>
        <v>#DIV/0!</v>
      </c>
      <c r="AS75" s="287"/>
      <c r="AT75" s="87" t="e">
        <f t="shared" ca="1" si="35"/>
        <v>#DIV/0!</v>
      </c>
      <c r="AU75" s="75" t="str">
        <f t="shared" si="30"/>
        <v>-</v>
      </c>
      <c r="AZ75" s="216">
        <v>7.4000000000000003E-3</v>
      </c>
    </row>
    <row r="76" spans="1:52" ht="14.1" customHeight="1" x14ac:dyDescent="0.3">
      <c r="A76" s="43"/>
      <c r="B76" s="244" t="str">
        <f t="shared" si="15"/>
        <v/>
      </c>
      <c r="C76" s="244"/>
      <c r="D76" s="205" t="str">
        <f t="shared" si="36"/>
        <v/>
      </c>
      <c r="E76" s="243" t="str">
        <f t="shared" si="37"/>
        <v/>
      </c>
      <c r="F76" s="243"/>
      <c r="G76" s="243" t="str">
        <f t="shared" si="38"/>
        <v/>
      </c>
      <c r="H76" s="243"/>
      <c r="I76" s="202"/>
      <c r="J76" s="53"/>
      <c r="K76" s="53"/>
      <c r="L76" s="53"/>
      <c r="M76" s="53"/>
      <c r="N76" s="50"/>
      <c r="O76" s="98"/>
      <c r="S76" s="74"/>
      <c r="Z76" s="116">
        <f>IF($V$26&gt;AC76,$E$4*0.9*0.9*0.9*0.9*0.9*0.9*T33,0)</f>
        <v>0</v>
      </c>
      <c r="AA76" s="196" t="str">
        <f t="shared" si="25"/>
        <v>-</v>
      </c>
      <c r="AB76" s="185" t="str">
        <f t="shared" si="31"/>
        <v>-</v>
      </c>
      <c r="AC76" s="278">
        <f t="shared" si="14"/>
        <v>73</v>
      </c>
      <c r="AD76" s="279"/>
      <c r="AE76" s="83" t="str">
        <f t="shared" si="32"/>
        <v>-</v>
      </c>
      <c r="AF76" s="84"/>
      <c r="AG76" s="280" t="str">
        <f t="shared" si="33"/>
        <v>-</v>
      </c>
      <c r="AH76" s="281"/>
      <c r="AI76" s="282" t="str">
        <f t="shared" si="34"/>
        <v>-</v>
      </c>
      <c r="AJ76" s="283"/>
      <c r="AK76" s="85">
        <f t="shared" ca="1" si="26"/>
        <v>48395</v>
      </c>
      <c r="AL76" s="278">
        <v>73</v>
      </c>
      <c r="AM76" s="279"/>
      <c r="AN76" s="86" t="e">
        <f t="shared" si="27"/>
        <v>#DIV/0!</v>
      </c>
      <c r="AO76" s="87"/>
      <c r="AP76" s="284" t="e">
        <f t="shared" ca="1" si="28"/>
        <v>#DIV/0!</v>
      </c>
      <c r="AQ76" s="285"/>
      <c r="AR76" s="286" t="e">
        <f t="shared" ca="1" si="29"/>
        <v>#DIV/0!</v>
      </c>
      <c r="AS76" s="287"/>
      <c r="AT76" s="87" t="e">
        <f t="shared" ca="1" si="35"/>
        <v>#DIV/0!</v>
      </c>
      <c r="AU76" s="75" t="e">
        <f>AI76+AW76+AX76</f>
        <v>#VALUE!</v>
      </c>
      <c r="AW76" s="63" t="str">
        <f>IF($E$12&gt;$R$7,$E$4*0.9*0.9*0.9*0.9*0.9*0.9*5.5%,"")</f>
        <v/>
      </c>
      <c r="AX76" s="63" t="e">
        <f>IF(#REF!=0,0,IF($E$12&gt;$R$7,(AE90-SUM(AE4:AE75))*0.0299,""))</f>
        <v>#REF!</v>
      </c>
      <c r="AZ76" s="216">
        <v>7.4999999999999997E-3</v>
      </c>
    </row>
    <row r="77" spans="1:52" ht="14.1" customHeight="1" x14ac:dyDescent="0.3">
      <c r="A77" s="43"/>
      <c r="B77" s="244" t="str">
        <f t="shared" si="15"/>
        <v/>
      </c>
      <c r="C77" s="244"/>
      <c r="D77" s="205" t="str">
        <f t="shared" si="36"/>
        <v/>
      </c>
      <c r="E77" s="243" t="str">
        <f t="shared" si="37"/>
        <v/>
      </c>
      <c r="F77" s="243"/>
      <c r="G77" s="243" t="str">
        <f t="shared" si="38"/>
        <v/>
      </c>
      <c r="H77" s="243"/>
      <c r="I77" s="202"/>
      <c r="J77" s="53"/>
      <c r="K77" s="53"/>
      <c r="L77" s="53"/>
      <c r="M77" s="53"/>
      <c r="N77" s="50"/>
      <c r="O77" s="98"/>
      <c r="S77" s="74"/>
      <c r="AA77" s="196" t="str">
        <f t="shared" si="25"/>
        <v>-</v>
      </c>
      <c r="AB77" s="185" t="str">
        <f t="shared" si="31"/>
        <v>-</v>
      </c>
      <c r="AC77" s="278">
        <f t="shared" si="14"/>
        <v>74</v>
      </c>
      <c r="AD77" s="279"/>
      <c r="AE77" s="83" t="str">
        <f t="shared" si="32"/>
        <v>-</v>
      </c>
      <c r="AF77" s="84"/>
      <c r="AG77" s="280" t="str">
        <f t="shared" si="33"/>
        <v>-</v>
      </c>
      <c r="AH77" s="281"/>
      <c r="AI77" s="282" t="str">
        <f t="shared" si="34"/>
        <v>-</v>
      </c>
      <c r="AJ77" s="283"/>
      <c r="AK77" s="85">
        <f t="shared" ca="1" si="26"/>
        <v>48426</v>
      </c>
      <c r="AL77" s="278">
        <v>74</v>
      </c>
      <c r="AM77" s="279"/>
      <c r="AN77" s="86" t="e">
        <f t="shared" si="27"/>
        <v>#DIV/0!</v>
      </c>
      <c r="AO77" s="87"/>
      <c r="AP77" s="284" t="e">
        <f t="shared" ca="1" si="28"/>
        <v>#DIV/0!</v>
      </c>
      <c r="AQ77" s="285"/>
      <c r="AR77" s="286" t="e">
        <f t="shared" ca="1" si="29"/>
        <v>#DIV/0!</v>
      </c>
      <c r="AS77" s="287"/>
      <c r="AT77" s="87" t="e">
        <f t="shared" ca="1" si="35"/>
        <v>#DIV/0!</v>
      </c>
      <c r="AU77" s="75" t="str">
        <f t="shared" si="30"/>
        <v>-</v>
      </c>
      <c r="AZ77" s="216">
        <v>7.6E-3</v>
      </c>
    </row>
    <row r="78" spans="1:52" ht="14.1" customHeight="1" x14ac:dyDescent="0.3">
      <c r="A78" s="43"/>
      <c r="B78" s="244" t="str">
        <f t="shared" si="15"/>
        <v/>
      </c>
      <c r="C78" s="244"/>
      <c r="D78" s="205" t="str">
        <f t="shared" si="36"/>
        <v/>
      </c>
      <c r="E78" s="243" t="str">
        <f t="shared" si="37"/>
        <v/>
      </c>
      <c r="F78" s="243"/>
      <c r="G78" s="243" t="str">
        <f t="shared" si="38"/>
        <v/>
      </c>
      <c r="H78" s="243"/>
      <c r="I78" s="202"/>
      <c r="J78" s="53"/>
      <c r="K78" s="53"/>
      <c r="L78" s="53"/>
      <c r="M78" s="53"/>
      <c r="N78" s="50"/>
      <c r="O78" s="98"/>
      <c r="S78" s="74"/>
      <c r="AA78" s="196" t="str">
        <f t="shared" si="25"/>
        <v>-</v>
      </c>
      <c r="AB78" s="185" t="str">
        <f t="shared" si="31"/>
        <v>-</v>
      </c>
      <c r="AC78" s="278">
        <f t="shared" si="14"/>
        <v>75</v>
      </c>
      <c r="AD78" s="279"/>
      <c r="AE78" s="83" t="str">
        <f t="shared" si="32"/>
        <v>-</v>
      </c>
      <c r="AF78" s="84"/>
      <c r="AG78" s="280" t="str">
        <f t="shared" si="33"/>
        <v>-</v>
      </c>
      <c r="AH78" s="281"/>
      <c r="AI78" s="282" t="str">
        <f t="shared" si="34"/>
        <v>-</v>
      </c>
      <c r="AJ78" s="283"/>
      <c r="AK78" s="85">
        <f t="shared" ca="1" si="26"/>
        <v>48457</v>
      </c>
      <c r="AL78" s="278">
        <v>75</v>
      </c>
      <c r="AM78" s="279"/>
      <c r="AN78" s="86" t="e">
        <f t="shared" si="27"/>
        <v>#DIV/0!</v>
      </c>
      <c r="AO78" s="87"/>
      <c r="AP78" s="284" t="e">
        <f t="shared" ca="1" si="28"/>
        <v>#DIV/0!</v>
      </c>
      <c r="AQ78" s="285"/>
      <c r="AR78" s="286" t="e">
        <f t="shared" ca="1" si="29"/>
        <v>#DIV/0!</v>
      </c>
      <c r="AS78" s="287"/>
      <c r="AT78" s="87" t="e">
        <f t="shared" ca="1" si="35"/>
        <v>#DIV/0!</v>
      </c>
      <c r="AU78" s="75" t="str">
        <f t="shared" si="30"/>
        <v>-</v>
      </c>
      <c r="AZ78" s="216">
        <v>7.7000000000000002E-3</v>
      </c>
    </row>
    <row r="79" spans="1:52" ht="14.1" customHeight="1" x14ac:dyDescent="0.3">
      <c r="A79" s="43"/>
      <c r="B79" s="244" t="str">
        <f t="shared" si="15"/>
        <v/>
      </c>
      <c r="C79" s="244"/>
      <c r="D79" s="205" t="str">
        <f t="shared" si="36"/>
        <v/>
      </c>
      <c r="E79" s="243" t="str">
        <f t="shared" si="37"/>
        <v/>
      </c>
      <c r="F79" s="243"/>
      <c r="G79" s="243" t="str">
        <f t="shared" si="38"/>
        <v/>
      </c>
      <c r="H79" s="243"/>
      <c r="I79" s="202"/>
      <c r="J79" s="53"/>
      <c r="K79" s="53"/>
      <c r="L79" s="53"/>
      <c r="M79" s="53"/>
      <c r="N79" s="50"/>
      <c r="O79" s="98"/>
      <c r="S79" s="74"/>
      <c r="AA79" s="196" t="str">
        <f t="shared" si="25"/>
        <v>-</v>
      </c>
      <c r="AB79" s="185" t="str">
        <f t="shared" si="31"/>
        <v>-</v>
      </c>
      <c r="AC79" s="278">
        <f>AC78+1</f>
        <v>76</v>
      </c>
      <c r="AD79" s="279"/>
      <c r="AE79" s="83" t="str">
        <f t="shared" si="32"/>
        <v>-</v>
      </c>
      <c r="AF79" s="84"/>
      <c r="AG79" s="280" t="str">
        <f t="shared" si="33"/>
        <v>-</v>
      </c>
      <c r="AH79" s="281"/>
      <c r="AI79" s="282" t="str">
        <f t="shared" si="34"/>
        <v>-</v>
      </c>
      <c r="AJ79" s="283"/>
      <c r="AK79" s="85">
        <f t="shared" ca="1" si="26"/>
        <v>48487</v>
      </c>
      <c r="AL79" s="278">
        <v>76</v>
      </c>
      <c r="AM79" s="279"/>
      <c r="AN79" s="86" t="e">
        <f t="shared" si="27"/>
        <v>#DIV/0!</v>
      </c>
      <c r="AO79" s="87"/>
      <c r="AP79" s="284" t="e">
        <f t="shared" ca="1" si="28"/>
        <v>#DIV/0!</v>
      </c>
      <c r="AQ79" s="285"/>
      <c r="AR79" s="286" t="e">
        <f t="shared" ca="1" si="29"/>
        <v>#DIV/0!</v>
      </c>
      <c r="AS79" s="287"/>
      <c r="AT79" s="87" t="e">
        <f t="shared" ca="1" si="35"/>
        <v>#DIV/0!</v>
      </c>
      <c r="AU79" s="75" t="str">
        <f t="shared" si="30"/>
        <v>-</v>
      </c>
      <c r="AZ79" s="216">
        <v>7.7999999999999996E-3</v>
      </c>
    </row>
    <row r="80" spans="1:52" ht="14.1" customHeight="1" x14ac:dyDescent="0.3">
      <c r="A80" s="43"/>
      <c r="B80" s="244" t="str">
        <f t="shared" si="15"/>
        <v/>
      </c>
      <c r="C80" s="244"/>
      <c r="D80" s="205" t="str">
        <f t="shared" si="36"/>
        <v/>
      </c>
      <c r="E80" s="243" t="str">
        <f t="shared" si="37"/>
        <v/>
      </c>
      <c r="F80" s="243"/>
      <c r="G80" s="243" t="str">
        <f t="shared" si="38"/>
        <v/>
      </c>
      <c r="H80" s="243"/>
      <c r="I80" s="202"/>
      <c r="J80" s="53"/>
      <c r="K80" s="53"/>
      <c r="L80" s="53"/>
      <c r="M80" s="53"/>
      <c r="N80" s="50"/>
      <c r="O80" s="98"/>
      <c r="S80" s="74"/>
      <c r="AA80" s="196" t="str">
        <f t="shared" si="25"/>
        <v>-</v>
      </c>
      <c r="AB80" s="185" t="str">
        <f t="shared" si="31"/>
        <v>-</v>
      </c>
      <c r="AC80" s="278">
        <f t="shared" ref="AC80:AC86" si="39">AC79+1</f>
        <v>77</v>
      </c>
      <c r="AD80" s="279"/>
      <c r="AE80" s="83" t="str">
        <f t="shared" si="32"/>
        <v>-</v>
      </c>
      <c r="AF80" s="84"/>
      <c r="AG80" s="280" t="str">
        <f t="shared" si="33"/>
        <v>-</v>
      </c>
      <c r="AH80" s="281"/>
      <c r="AI80" s="282" t="str">
        <f t="shared" si="34"/>
        <v>-</v>
      </c>
      <c r="AJ80" s="283"/>
      <c r="AK80" s="85">
        <f t="shared" ca="1" si="26"/>
        <v>48518</v>
      </c>
      <c r="AL80" s="278">
        <v>77</v>
      </c>
      <c r="AM80" s="279"/>
      <c r="AN80" s="86" t="e">
        <f t="shared" si="27"/>
        <v>#DIV/0!</v>
      </c>
      <c r="AO80" s="87"/>
      <c r="AP80" s="284" t="e">
        <f t="shared" ca="1" si="28"/>
        <v>#DIV/0!</v>
      </c>
      <c r="AQ80" s="285"/>
      <c r="AR80" s="286" t="e">
        <f t="shared" ca="1" si="29"/>
        <v>#DIV/0!</v>
      </c>
      <c r="AS80" s="287"/>
      <c r="AT80" s="87" t="e">
        <f t="shared" ca="1" si="35"/>
        <v>#DIV/0!</v>
      </c>
      <c r="AU80" s="75" t="str">
        <f t="shared" si="30"/>
        <v>-</v>
      </c>
      <c r="AZ80" s="216">
        <v>7.9000000000000008E-3</v>
      </c>
    </row>
    <row r="81" spans="1:52" ht="14.1" customHeight="1" x14ac:dyDescent="0.3">
      <c r="A81" s="43"/>
      <c r="B81" s="244" t="str">
        <f t="shared" si="15"/>
        <v/>
      </c>
      <c r="C81" s="244"/>
      <c r="D81" s="205" t="str">
        <f t="shared" si="36"/>
        <v/>
      </c>
      <c r="E81" s="243" t="str">
        <f t="shared" si="37"/>
        <v/>
      </c>
      <c r="F81" s="243"/>
      <c r="G81" s="243" t="str">
        <f t="shared" si="38"/>
        <v/>
      </c>
      <c r="H81" s="243"/>
      <c r="I81" s="202"/>
      <c r="J81" s="53"/>
      <c r="K81" s="53"/>
      <c r="L81" s="53"/>
      <c r="M81" s="53"/>
      <c r="N81" s="50"/>
      <c r="O81" s="98"/>
      <c r="S81" s="74"/>
      <c r="AA81" s="196" t="str">
        <f t="shared" si="25"/>
        <v>-</v>
      </c>
      <c r="AB81" s="185" t="str">
        <f t="shared" si="31"/>
        <v>-</v>
      </c>
      <c r="AC81" s="278">
        <f t="shared" si="39"/>
        <v>78</v>
      </c>
      <c r="AD81" s="279"/>
      <c r="AE81" s="83" t="str">
        <f t="shared" si="32"/>
        <v>-</v>
      </c>
      <c r="AF81" s="84"/>
      <c r="AG81" s="280" t="str">
        <f t="shared" si="33"/>
        <v>-</v>
      </c>
      <c r="AH81" s="281"/>
      <c r="AI81" s="282" t="str">
        <f t="shared" si="34"/>
        <v>-</v>
      </c>
      <c r="AJ81" s="283"/>
      <c r="AK81" s="85">
        <f t="shared" ca="1" si="26"/>
        <v>48548</v>
      </c>
      <c r="AL81" s="278">
        <v>78</v>
      </c>
      <c r="AM81" s="279"/>
      <c r="AN81" s="86" t="e">
        <f t="shared" si="27"/>
        <v>#DIV/0!</v>
      </c>
      <c r="AO81" s="87"/>
      <c r="AP81" s="284" t="e">
        <f t="shared" ca="1" si="28"/>
        <v>#DIV/0!</v>
      </c>
      <c r="AQ81" s="285"/>
      <c r="AR81" s="286" t="e">
        <f t="shared" ca="1" si="29"/>
        <v>#DIV/0!</v>
      </c>
      <c r="AS81" s="287"/>
      <c r="AT81" s="87" t="e">
        <f t="shared" ca="1" si="35"/>
        <v>#DIV/0!</v>
      </c>
      <c r="AU81" s="75" t="str">
        <f t="shared" si="30"/>
        <v>-</v>
      </c>
      <c r="AZ81" s="216">
        <v>8.0000000000000002E-3</v>
      </c>
    </row>
    <row r="82" spans="1:52" ht="14.1" customHeight="1" x14ac:dyDescent="0.3">
      <c r="A82" s="43"/>
      <c r="B82" s="244" t="str">
        <f t="shared" si="15"/>
        <v/>
      </c>
      <c r="C82" s="244"/>
      <c r="D82" s="205" t="str">
        <f t="shared" si="36"/>
        <v/>
      </c>
      <c r="E82" s="243" t="str">
        <f t="shared" si="37"/>
        <v/>
      </c>
      <c r="F82" s="243"/>
      <c r="G82" s="243" t="str">
        <f t="shared" si="38"/>
        <v/>
      </c>
      <c r="H82" s="243"/>
      <c r="I82" s="202"/>
      <c r="J82" s="53"/>
      <c r="K82" s="53"/>
      <c r="L82" s="53"/>
      <c r="M82" s="53"/>
      <c r="N82" s="50"/>
      <c r="O82" s="98"/>
      <c r="S82" s="74"/>
      <c r="AA82" s="196" t="str">
        <f t="shared" si="25"/>
        <v>-</v>
      </c>
      <c r="AB82" s="185" t="str">
        <f t="shared" si="31"/>
        <v>-</v>
      </c>
      <c r="AC82" s="278">
        <f t="shared" si="39"/>
        <v>79</v>
      </c>
      <c r="AD82" s="279"/>
      <c r="AE82" s="83" t="str">
        <f t="shared" si="32"/>
        <v>-</v>
      </c>
      <c r="AF82" s="84"/>
      <c r="AG82" s="280" t="str">
        <f t="shared" si="33"/>
        <v>-</v>
      </c>
      <c r="AH82" s="281"/>
      <c r="AI82" s="282" t="str">
        <f t="shared" si="34"/>
        <v>-</v>
      </c>
      <c r="AJ82" s="283"/>
      <c r="AK82" s="85">
        <f t="shared" ca="1" si="26"/>
        <v>48579</v>
      </c>
      <c r="AL82" s="278">
        <v>79</v>
      </c>
      <c r="AM82" s="279"/>
      <c r="AN82" s="86" t="e">
        <f t="shared" si="27"/>
        <v>#DIV/0!</v>
      </c>
      <c r="AO82" s="87"/>
      <c r="AP82" s="284" t="e">
        <f t="shared" ca="1" si="28"/>
        <v>#DIV/0!</v>
      </c>
      <c r="AQ82" s="285"/>
      <c r="AR82" s="286" t="e">
        <f t="shared" ca="1" si="29"/>
        <v>#DIV/0!</v>
      </c>
      <c r="AS82" s="287"/>
      <c r="AT82" s="87" t="e">
        <f t="shared" ca="1" si="35"/>
        <v>#DIV/0!</v>
      </c>
      <c r="AU82" s="75" t="str">
        <f t="shared" si="30"/>
        <v>-</v>
      </c>
      <c r="AZ82" s="216">
        <v>8.0999999999999996E-3</v>
      </c>
    </row>
    <row r="83" spans="1:52" ht="14.1" customHeight="1" x14ac:dyDescent="0.3">
      <c r="A83" s="43"/>
      <c r="B83" s="244" t="str">
        <f t="shared" si="15"/>
        <v/>
      </c>
      <c r="C83" s="244"/>
      <c r="D83" s="205" t="str">
        <f t="shared" si="36"/>
        <v/>
      </c>
      <c r="E83" s="243" t="str">
        <f t="shared" si="37"/>
        <v/>
      </c>
      <c r="F83" s="243"/>
      <c r="G83" s="243" t="str">
        <f t="shared" si="38"/>
        <v/>
      </c>
      <c r="H83" s="243"/>
      <c r="I83" s="202"/>
      <c r="J83" s="53"/>
      <c r="K83" s="53"/>
      <c r="L83" s="53"/>
      <c r="M83" s="53"/>
      <c r="N83" s="50"/>
      <c r="O83" s="98"/>
      <c r="S83" s="74"/>
      <c r="AA83" s="196" t="str">
        <f t="shared" si="25"/>
        <v>-</v>
      </c>
      <c r="AB83" s="185" t="str">
        <f t="shared" si="31"/>
        <v>-</v>
      </c>
      <c r="AC83" s="278">
        <f t="shared" si="39"/>
        <v>80</v>
      </c>
      <c r="AD83" s="279"/>
      <c r="AE83" s="83" t="str">
        <f t="shared" si="32"/>
        <v>-</v>
      </c>
      <c r="AF83" s="84"/>
      <c r="AG83" s="280" t="str">
        <f t="shared" si="33"/>
        <v>-</v>
      </c>
      <c r="AH83" s="281"/>
      <c r="AI83" s="282" t="str">
        <f t="shared" si="34"/>
        <v>-</v>
      </c>
      <c r="AJ83" s="283"/>
      <c r="AK83" s="85">
        <f t="shared" ca="1" si="26"/>
        <v>48610</v>
      </c>
      <c r="AL83" s="278">
        <v>80</v>
      </c>
      <c r="AM83" s="279"/>
      <c r="AN83" s="86" t="e">
        <f t="shared" si="27"/>
        <v>#DIV/0!</v>
      </c>
      <c r="AO83" s="87"/>
      <c r="AP83" s="284" t="e">
        <f t="shared" ca="1" si="28"/>
        <v>#DIV/0!</v>
      </c>
      <c r="AQ83" s="285"/>
      <c r="AR83" s="286" t="e">
        <f t="shared" ca="1" si="29"/>
        <v>#DIV/0!</v>
      </c>
      <c r="AS83" s="287"/>
      <c r="AT83" s="87" t="e">
        <f t="shared" ca="1" si="35"/>
        <v>#DIV/0!</v>
      </c>
      <c r="AU83" s="75" t="str">
        <f t="shared" si="30"/>
        <v>-</v>
      </c>
      <c r="AZ83" s="216">
        <v>8.2000000000000007E-3</v>
      </c>
    </row>
    <row r="84" spans="1:52" ht="14.1" customHeight="1" x14ac:dyDescent="0.3">
      <c r="A84" s="43"/>
      <c r="B84" s="244" t="str">
        <f>IF(E12=60,"Всього:",IF(B83&lt;$E$12,B83+1,""))</f>
        <v/>
      </c>
      <c r="C84" s="244"/>
      <c r="D84" s="205" t="str">
        <f>IF(E12=60,SUM(D24:D83),IF(B83&lt;$E$12,AE64,""))</f>
        <v/>
      </c>
      <c r="E84" s="243" t="str">
        <f>IF(E12=60,SUM(E24:F83),IF(B83&lt;$E$12,AG64,""))</f>
        <v/>
      </c>
      <c r="F84" s="243"/>
      <c r="G84" s="243" t="str">
        <f>IF(E12=60,SUM(G24:H83),IF(B83&lt;$E$12,AI64,""))</f>
        <v/>
      </c>
      <c r="H84" s="243"/>
      <c r="I84" s="202"/>
      <c r="J84" s="53"/>
      <c r="K84" s="53"/>
      <c r="L84" s="53"/>
      <c r="M84" s="53"/>
      <c r="N84" s="50"/>
      <c r="O84" s="98"/>
      <c r="AA84" s="196" t="str">
        <f t="shared" si="25"/>
        <v>-</v>
      </c>
      <c r="AB84" s="185" t="str">
        <f t="shared" si="31"/>
        <v>-</v>
      </c>
      <c r="AC84" s="278">
        <f t="shared" si="39"/>
        <v>81</v>
      </c>
      <c r="AD84" s="279"/>
      <c r="AE84" s="83" t="str">
        <f t="shared" si="32"/>
        <v>-</v>
      </c>
      <c r="AF84" s="84"/>
      <c r="AG84" s="280" t="str">
        <f t="shared" si="33"/>
        <v>-</v>
      </c>
      <c r="AH84" s="281"/>
      <c r="AI84" s="282" t="str">
        <f t="shared" si="34"/>
        <v>-</v>
      </c>
      <c r="AJ84" s="283"/>
      <c r="AK84" s="85">
        <f t="shared" ca="1" si="26"/>
        <v>48638</v>
      </c>
      <c r="AL84" s="278">
        <v>81</v>
      </c>
      <c r="AM84" s="279"/>
      <c r="AN84" s="86" t="e">
        <f t="shared" si="27"/>
        <v>#DIV/0!</v>
      </c>
      <c r="AO84" s="87"/>
      <c r="AP84" s="284" t="e">
        <f t="shared" ca="1" si="28"/>
        <v>#DIV/0!</v>
      </c>
      <c r="AQ84" s="285"/>
      <c r="AR84" s="286" t="e">
        <f t="shared" ca="1" si="29"/>
        <v>#DIV/0!</v>
      </c>
      <c r="AS84" s="287"/>
      <c r="AT84" s="87" t="e">
        <f t="shared" ca="1" si="35"/>
        <v>#DIV/0!</v>
      </c>
      <c r="AU84" s="75" t="str">
        <f t="shared" si="30"/>
        <v>-</v>
      </c>
      <c r="AZ84" s="216">
        <v>8.3000000000000001E-3</v>
      </c>
    </row>
    <row r="85" spans="1:52" ht="14.1" customHeight="1" x14ac:dyDescent="0.3">
      <c r="A85" s="43"/>
      <c r="B85" s="244" t="str">
        <f t="shared" si="15"/>
        <v/>
      </c>
      <c r="C85" s="244"/>
      <c r="D85" s="205" t="str">
        <f t="shared" ref="D85:D95" si="40">IF(B84&lt;$E$12,AE65,"")</f>
        <v/>
      </c>
      <c r="E85" s="243" t="str">
        <f t="shared" ref="E85:E95" si="41">IF(B84&lt;$E$12,AG65,"")</f>
        <v/>
      </c>
      <c r="F85" s="243"/>
      <c r="G85" s="243" t="str">
        <f t="shared" ref="G85:G95" si="42">IF(B84&lt;$E$12,AI65,"")</f>
        <v/>
      </c>
      <c r="H85" s="243"/>
      <c r="I85" s="202"/>
      <c r="J85" s="53"/>
      <c r="K85" s="53"/>
      <c r="L85" s="53"/>
      <c r="M85" s="53"/>
      <c r="N85" s="50"/>
      <c r="O85" s="98"/>
      <c r="AA85" s="196" t="str">
        <f t="shared" si="25"/>
        <v>-</v>
      </c>
      <c r="AB85" s="185" t="str">
        <f t="shared" si="31"/>
        <v>-</v>
      </c>
      <c r="AC85" s="278">
        <f t="shared" si="39"/>
        <v>82</v>
      </c>
      <c r="AD85" s="279"/>
      <c r="AE85" s="83" t="str">
        <f t="shared" si="32"/>
        <v>-</v>
      </c>
      <c r="AF85" s="84"/>
      <c r="AG85" s="280" t="str">
        <f t="shared" si="33"/>
        <v>-</v>
      </c>
      <c r="AH85" s="281"/>
      <c r="AI85" s="282" t="str">
        <f t="shared" si="34"/>
        <v>-</v>
      </c>
      <c r="AJ85" s="283"/>
      <c r="AK85" s="85">
        <f t="shared" ca="1" si="26"/>
        <v>48669</v>
      </c>
      <c r="AL85" s="278">
        <v>82</v>
      </c>
      <c r="AM85" s="279"/>
      <c r="AN85" s="86" t="e">
        <f t="shared" si="27"/>
        <v>#DIV/0!</v>
      </c>
      <c r="AO85" s="87"/>
      <c r="AP85" s="284" t="e">
        <f t="shared" ca="1" si="28"/>
        <v>#DIV/0!</v>
      </c>
      <c r="AQ85" s="285"/>
      <c r="AR85" s="286" t="e">
        <f t="shared" ca="1" si="29"/>
        <v>#DIV/0!</v>
      </c>
      <c r="AS85" s="287"/>
      <c r="AT85" s="87" t="e">
        <f t="shared" ca="1" si="35"/>
        <v>#DIV/0!</v>
      </c>
      <c r="AU85" s="75" t="str">
        <f t="shared" si="30"/>
        <v>-</v>
      </c>
      <c r="AZ85" s="216">
        <v>8.3999999999999995E-3</v>
      </c>
    </row>
    <row r="86" spans="1:52" ht="14.1" customHeight="1" x14ac:dyDescent="0.3">
      <c r="A86" s="43"/>
      <c r="B86" s="244" t="str">
        <f t="shared" si="15"/>
        <v/>
      </c>
      <c r="C86" s="244"/>
      <c r="D86" s="205" t="str">
        <f t="shared" si="40"/>
        <v/>
      </c>
      <c r="E86" s="243" t="str">
        <f t="shared" si="41"/>
        <v/>
      </c>
      <c r="F86" s="243"/>
      <c r="G86" s="243" t="str">
        <f t="shared" si="42"/>
        <v/>
      </c>
      <c r="H86" s="243"/>
      <c r="I86" s="202"/>
      <c r="J86" s="53"/>
      <c r="K86" s="53"/>
      <c r="L86" s="53"/>
      <c r="M86" s="53"/>
      <c r="N86" s="50"/>
      <c r="O86" s="98"/>
      <c r="AA86" s="196" t="str">
        <f t="shared" si="25"/>
        <v>-</v>
      </c>
      <c r="AB86" s="185" t="str">
        <f t="shared" si="31"/>
        <v>-</v>
      </c>
      <c r="AC86" s="278">
        <f t="shared" si="39"/>
        <v>83</v>
      </c>
      <c r="AD86" s="279"/>
      <c r="AE86" s="83" t="str">
        <f t="shared" si="32"/>
        <v>-</v>
      </c>
      <c r="AF86" s="84"/>
      <c r="AG86" s="280" t="str">
        <f t="shared" si="33"/>
        <v>-</v>
      </c>
      <c r="AH86" s="281"/>
      <c r="AI86" s="282" t="str">
        <f t="shared" si="34"/>
        <v>-</v>
      </c>
      <c r="AJ86" s="283"/>
      <c r="AK86" s="85">
        <f t="shared" ca="1" si="26"/>
        <v>48699</v>
      </c>
      <c r="AL86" s="278">
        <v>83</v>
      </c>
      <c r="AM86" s="279"/>
      <c r="AN86" s="86" t="e">
        <f t="shared" si="27"/>
        <v>#DIV/0!</v>
      </c>
      <c r="AO86" s="87"/>
      <c r="AP86" s="284" t="e">
        <f t="shared" ca="1" si="28"/>
        <v>#DIV/0!</v>
      </c>
      <c r="AQ86" s="285"/>
      <c r="AR86" s="286" t="e">
        <f t="shared" ca="1" si="29"/>
        <v>#DIV/0!</v>
      </c>
      <c r="AS86" s="287"/>
      <c r="AT86" s="87" t="e">
        <f t="shared" ca="1" si="35"/>
        <v>#DIV/0!</v>
      </c>
      <c r="AU86" s="75" t="str">
        <f t="shared" si="30"/>
        <v>-</v>
      </c>
      <c r="AZ86" s="216">
        <v>8.5000000000000006E-3</v>
      </c>
    </row>
    <row r="87" spans="1:52" ht="14.1" customHeight="1" x14ac:dyDescent="0.3">
      <c r="A87" s="43"/>
      <c r="B87" s="244" t="str">
        <f t="shared" si="15"/>
        <v/>
      </c>
      <c r="C87" s="244"/>
      <c r="D87" s="205" t="str">
        <f t="shared" si="40"/>
        <v/>
      </c>
      <c r="E87" s="243" t="str">
        <f t="shared" si="41"/>
        <v/>
      </c>
      <c r="F87" s="243"/>
      <c r="G87" s="243" t="str">
        <f t="shared" si="42"/>
        <v/>
      </c>
      <c r="H87" s="243"/>
      <c r="I87" s="202"/>
      <c r="J87" s="53"/>
      <c r="K87" s="53"/>
      <c r="L87" s="53"/>
      <c r="M87" s="53"/>
      <c r="N87" s="50"/>
      <c r="O87" s="98"/>
      <c r="AA87" s="196" t="str">
        <f t="shared" si="25"/>
        <v>-</v>
      </c>
      <c r="AB87" s="185" t="str">
        <f t="shared" si="31"/>
        <v>-</v>
      </c>
      <c r="AC87" s="278">
        <f>AC86+1</f>
        <v>84</v>
      </c>
      <c r="AD87" s="279"/>
      <c r="AE87" s="83" t="str">
        <f t="shared" si="32"/>
        <v>-</v>
      </c>
      <c r="AF87" s="84"/>
      <c r="AG87" s="280" t="str">
        <f t="shared" si="33"/>
        <v>-</v>
      </c>
      <c r="AH87" s="281"/>
      <c r="AI87" s="282" t="str">
        <f t="shared" si="34"/>
        <v>-</v>
      </c>
      <c r="AJ87" s="283"/>
      <c r="AK87" s="85">
        <f t="shared" ca="1" si="26"/>
        <v>48730</v>
      </c>
      <c r="AL87" s="278">
        <v>84</v>
      </c>
      <c r="AM87" s="279"/>
      <c r="AN87" s="86" t="e">
        <f t="shared" si="27"/>
        <v>#DIV/0!</v>
      </c>
      <c r="AO87" s="87"/>
      <c r="AP87" s="284" t="e">
        <f t="shared" ca="1" si="28"/>
        <v>#DIV/0!</v>
      </c>
      <c r="AQ87" s="285"/>
      <c r="AR87" s="286" t="e">
        <f t="shared" ca="1" si="29"/>
        <v>#DIV/0!</v>
      </c>
      <c r="AS87" s="287"/>
      <c r="AT87" s="87" t="e">
        <f t="shared" ca="1" si="35"/>
        <v>#DIV/0!</v>
      </c>
      <c r="AU87" s="75" t="str">
        <f t="shared" si="30"/>
        <v>-</v>
      </c>
      <c r="AZ87" s="216">
        <v>8.6E-3</v>
      </c>
    </row>
    <row r="88" spans="1:52" ht="14.1" customHeight="1" thickBot="1" x14ac:dyDescent="0.35">
      <c r="A88" s="43"/>
      <c r="B88" s="244" t="str">
        <f t="shared" si="15"/>
        <v/>
      </c>
      <c r="C88" s="244"/>
      <c r="D88" s="205" t="str">
        <f t="shared" si="40"/>
        <v/>
      </c>
      <c r="E88" s="243" t="str">
        <f t="shared" si="41"/>
        <v/>
      </c>
      <c r="F88" s="243"/>
      <c r="G88" s="243" t="str">
        <f t="shared" si="42"/>
        <v/>
      </c>
      <c r="H88" s="243"/>
      <c r="I88" s="202"/>
      <c r="J88" s="53"/>
      <c r="K88" s="53"/>
      <c r="L88" s="53"/>
      <c r="M88" s="53"/>
      <c r="N88" s="50"/>
      <c r="O88" s="98"/>
      <c r="AB88" s="184"/>
      <c r="AC88" s="329" t="s">
        <v>282</v>
      </c>
      <c r="AD88" s="330"/>
      <c r="AE88" s="83" t="b">
        <f>IF($E$12=$R$2,SUM(AE4:AF15),IF($E$12=$R$3,SUM(AE4:AF27),IF($E$12=$R$4,SUM(AE4:AF39),IF($E$12=$R$5,SUM(AE4:AF51),IF($E$12=$R$6,SUM(AE4:AF63),IF($E$12=$R$7,SUM(AE4:AF75),IF($E$12=$R$8,SUM(AE4:AF87))))))))</f>
        <v>0</v>
      </c>
      <c r="AF88" s="183"/>
      <c r="AG88" s="280" t="b">
        <f>IF($E$12=$R$2,SUM(AG4:AH15),IF($E$12=$R$3,SUM(AG4:AH27),IF($E$12=$R$4,SUM(AG4:AH39),IF($E$12=$R$5,SUM(AG4:AH51),IF($E$12=$R$6,SUM(AG4:AH63),IF($E$12=$R$7,SUM(AG4:AH75),IF($E$12=$R$8,SUM(AG4:AH87))))))))</f>
        <v>0</v>
      </c>
      <c r="AH88" s="281"/>
      <c r="AI88" s="282" t="b">
        <f>IF($E$12=$R$2,SUM(AI4:AJ15),IF($E$12=$R$3,SUM(AI4:AJ27),IF($E$12=$R$4,SUM(AI4:AJ39),IF($E$12=$R$5,SUM(AI4:AJ51),IF($E$12=$R$6,SUM(AI4:AJ63),IF($E$12=$R$7,SUM(AI4:AJ75),IF($E$12=$R$8,SUM(AI4:AJ87))))))))</f>
        <v>0</v>
      </c>
      <c r="AJ88" s="283"/>
      <c r="AK88" s="85">
        <f t="shared" ca="1" si="26"/>
        <v>48760</v>
      </c>
      <c r="AL88" s="278">
        <v>85</v>
      </c>
      <c r="AM88" s="279"/>
      <c r="AN88" s="86" t="e">
        <f t="shared" si="27"/>
        <v>#DIV/0!</v>
      </c>
      <c r="AO88" s="62"/>
      <c r="AP88" s="284" t="e">
        <f t="shared" ca="1" si="28"/>
        <v>#DIV/0!</v>
      </c>
      <c r="AQ88" s="285"/>
      <c r="AR88" s="286" t="e">
        <f t="shared" ca="1" si="29"/>
        <v>#DIV/0!</v>
      </c>
      <c r="AS88" s="287"/>
      <c r="AT88" s="87" t="e">
        <f t="shared" ca="1" si="35"/>
        <v>#DIV/0!</v>
      </c>
      <c r="AU88" s="75" t="b">
        <f t="shared" si="30"/>
        <v>0</v>
      </c>
      <c r="AZ88" s="216">
        <v>8.6999999999999994E-3</v>
      </c>
    </row>
    <row r="89" spans="1:52" ht="14.1" customHeight="1" x14ac:dyDescent="0.3">
      <c r="A89" s="43"/>
      <c r="B89" s="244" t="str">
        <f t="shared" si="15"/>
        <v/>
      </c>
      <c r="C89" s="244"/>
      <c r="D89" s="205" t="str">
        <f t="shared" si="40"/>
        <v/>
      </c>
      <c r="E89" s="243" t="str">
        <f t="shared" si="41"/>
        <v/>
      </c>
      <c r="F89" s="243"/>
      <c r="G89" s="243" t="str">
        <f t="shared" si="42"/>
        <v/>
      </c>
      <c r="H89" s="243"/>
      <c r="I89" s="202"/>
      <c r="J89" s="53"/>
      <c r="K89" s="53"/>
      <c r="L89" s="53"/>
      <c r="M89" s="53"/>
      <c r="N89" s="50"/>
      <c r="O89" s="98"/>
      <c r="AB89" s="178"/>
      <c r="AC89" s="337"/>
      <c r="AD89" s="337"/>
      <c r="AE89" s="179"/>
      <c r="AG89" s="338"/>
      <c r="AH89" s="338"/>
      <c r="AI89" s="339"/>
      <c r="AJ89" s="339"/>
      <c r="AK89" s="130">
        <f t="shared" ca="1" si="26"/>
        <v>48791</v>
      </c>
      <c r="AL89" s="278">
        <v>86</v>
      </c>
      <c r="AM89" s="279"/>
      <c r="AN89" s="86" t="e">
        <f t="shared" si="27"/>
        <v>#DIV/0!</v>
      </c>
      <c r="AO89" s="62"/>
      <c r="AP89" s="284" t="e">
        <f t="shared" ca="1" si="28"/>
        <v>#DIV/0!</v>
      </c>
      <c r="AQ89" s="285"/>
      <c r="AR89" s="286" t="e">
        <f t="shared" ca="1" si="29"/>
        <v>#DIV/0!</v>
      </c>
      <c r="AS89" s="287"/>
      <c r="AT89" s="87" t="e">
        <f t="shared" ca="1" si="35"/>
        <v>#DIV/0!</v>
      </c>
      <c r="AU89" s="75">
        <f t="shared" si="30"/>
        <v>0</v>
      </c>
      <c r="AZ89" s="216">
        <v>8.8000000000000005E-3</v>
      </c>
    </row>
    <row r="90" spans="1:52" ht="14.1" customHeight="1" thickBot="1" x14ac:dyDescent="0.35">
      <c r="A90" s="43"/>
      <c r="B90" s="244" t="str">
        <f t="shared" si="15"/>
        <v/>
      </c>
      <c r="C90" s="244"/>
      <c r="D90" s="205" t="str">
        <f t="shared" si="40"/>
        <v/>
      </c>
      <c r="E90" s="243" t="str">
        <f t="shared" si="41"/>
        <v/>
      </c>
      <c r="F90" s="243"/>
      <c r="G90" s="243" t="str">
        <f t="shared" si="42"/>
        <v/>
      </c>
      <c r="H90" s="243"/>
      <c r="I90" s="202"/>
      <c r="J90" s="53"/>
      <c r="K90" s="53"/>
      <c r="L90" s="53"/>
      <c r="M90" s="53"/>
      <c r="N90" s="50"/>
      <c r="O90" s="98"/>
      <c r="AB90" s="180"/>
      <c r="AC90" s="331"/>
      <c r="AD90" s="331"/>
      <c r="AE90" s="181"/>
      <c r="AF90" s="182"/>
      <c r="AG90" s="332"/>
      <c r="AH90" s="332"/>
      <c r="AI90" s="332"/>
      <c r="AJ90" s="332"/>
      <c r="AL90" s="329" t="s">
        <v>282</v>
      </c>
      <c r="AM90" s="330"/>
      <c r="AN90" s="144" t="e">
        <f ca="1">SUM(AN4:AN89)</f>
        <v>#DIV/0!</v>
      </c>
      <c r="AO90" s="145"/>
      <c r="AP90" s="333" t="e">
        <f ca="1">SUM(AP4:AQ88)</f>
        <v>#DIV/0!</v>
      </c>
      <c r="AQ90" s="334"/>
      <c r="AR90" s="335" t="e">
        <f ca="1">SUM(AR4:AS89)</f>
        <v>#DIV/0!</v>
      </c>
      <c r="AS90" s="336"/>
      <c r="AT90" s="145"/>
      <c r="AU90" s="75">
        <f t="shared" si="30"/>
        <v>0</v>
      </c>
      <c r="AZ90" s="216">
        <v>8.8999999999999999E-3</v>
      </c>
    </row>
    <row r="91" spans="1:52" ht="14.1" customHeight="1" x14ac:dyDescent="0.3">
      <c r="A91" s="43"/>
      <c r="B91" s="244" t="str">
        <f t="shared" si="15"/>
        <v/>
      </c>
      <c r="C91" s="244"/>
      <c r="D91" s="205" t="str">
        <f t="shared" si="40"/>
        <v/>
      </c>
      <c r="E91" s="243" t="str">
        <f t="shared" si="41"/>
        <v/>
      </c>
      <c r="F91" s="243"/>
      <c r="G91" s="243" t="str">
        <f t="shared" si="42"/>
        <v/>
      </c>
      <c r="H91" s="243"/>
      <c r="I91" s="202"/>
      <c r="J91" s="58"/>
      <c r="K91" s="53"/>
      <c r="L91" s="53"/>
      <c r="M91" s="53"/>
      <c r="N91" s="50"/>
      <c r="O91" s="98"/>
      <c r="AO91" s="62"/>
      <c r="AZ91" s="216">
        <v>8.9999999999999993E-3</v>
      </c>
    </row>
    <row r="92" spans="1:52" ht="14.1" customHeight="1" x14ac:dyDescent="0.3">
      <c r="A92" s="43"/>
      <c r="B92" s="244" t="str">
        <f t="shared" si="15"/>
        <v/>
      </c>
      <c r="C92" s="244"/>
      <c r="D92" s="205" t="str">
        <f t="shared" si="40"/>
        <v/>
      </c>
      <c r="E92" s="243" t="str">
        <f t="shared" si="41"/>
        <v/>
      </c>
      <c r="F92" s="243"/>
      <c r="G92" s="243" t="str">
        <f t="shared" si="42"/>
        <v/>
      </c>
      <c r="H92" s="243"/>
      <c r="I92" s="202"/>
      <c r="J92" s="58"/>
      <c r="K92" s="53"/>
      <c r="L92" s="53"/>
      <c r="M92" s="53"/>
      <c r="N92" s="50"/>
      <c r="O92" s="98"/>
      <c r="AO92" s="62"/>
      <c r="AZ92" s="216">
        <v>9.1000000000000004E-3</v>
      </c>
    </row>
    <row r="93" spans="1:52" ht="14.1" customHeight="1" x14ac:dyDescent="0.3">
      <c r="A93" s="43"/>
      <c r="B93" s="244" t="str">
        <f t="shared" si="15"/>
        <v/>
      </c>
      <c r="C93" s="244"/>
      <c r="D93" s="205" t="str">
        <f t="shared" si="40"/>
        <v/>
      </c>
      <c r="E93" s="243" t="str">
        <f t="shared" si="41"/>
        <v/>
      </c>
      <c r="F93" s="243"/>
      <c r="G93" s="243" t="str">
        <f t="shared" si="42"/>
        <v/>
      </c>
      <c r="H93" s="243"/>
      <c r="I93" s="202"/>
      <c r="J93" s="58"/>
      <c r="K93" s="53"/>
      <c r="L93" s="53"/>
      <c r="M93" s="53"/>
      <c r="N93" s="50"/>
      <c r="O93" s="98"/>
      <c r="AO93" s="62"/>
      <c r="AZ93" s="216">
        <v>9.1999999999999998E-3</v>
      </c>
    </row>
    <row r="94" spans="1:52" ht="14.1" customHeight="1" x14ac:dyDescent="0.3">
      <c r="A94" s="43"/>
      <c r="B94" s="244" t="str">
        <f t="shared" si="15"/>
        <v/>
      </c>
      <c r="C94" s="244"/>
      <c r="D94" s="205" t="str">
        <f t="shared" si="40"/>
        <v/>
      </c>
      <c r="E94" s="243" t="str">
        <f t="shared" si="41"/>
        <v/>
      </c>
      <c r="F94" s="243"/>
      <c r="G94" s="243" t="str">
        <f t="shared" si="42"/>
        <v/>
      </c>
      <c r="H94" s="243"/>
      <c r="I94" s="202"/>
      <c r="J94" s="58"/>
      <c r="K94" s="53"/>
      <c r="L94" s="53"/>
      <c r="M94" s="53"/>
      <c r="N94" s="50"/>
      <c r="O94" s="98"/>
      <c r="AO94" s="62"/>
      <c r="AZ94" s="216">
        <v>9.2999999999999992E-3</v>
      </c>
    </row>
    <row r="95" spans="1:52" ht="14.1" customHeight="1" x14ac:dyDescent="0.3">
      <c r="A95" s="43"/>
      <c r="B95" s="244" t="str">
        <f t="shared" si="15"/>
        <v/>
      </c>
      <c r="C95" s="244"/>
      <c r="D95" s="205" t="str">
        <f t="shared" si="40"/>
        <v/>
      </c>
      <c r="E95" s="243" t="str">
        <f t="shared" si="41"/>
        <v/>
      </c>
      <c r="F95" s="243"/>
      <c r="G95" s="243" t="str">
        <f t="shared" si="42"/>
        <v/>
      </c>
      <c r="H95" s="243"/>
      <c r="I95" s="202"/>
      <c r="J95" s="58"/>
      <c r="K95" s="53"/>
      <c r="L95" s="53"/>
      <c r="M95" s="53"/>
      <c r="N95" s="50"/>
      <c r="O95" s="98"/>
      <c r="AO95" s="62"/>
      <c r="AZ95" s="216">
        <v>9.4000000000000004E-3</v>
      </c>
    </row>
    <row r="96" spans="1:52" ht="14.1" customHeight="1" x14ac:dyDescent="0.3">
      <c r="A96" s="43"/>
      <c r="B96" s="244" t="str">
        <f>IF(E12=72,"Всього:",IF(B95&lt;$E$12,B95+1,""))</f>
        <v/>
      </c>
      <c r="C96" s="244"/>
      <c r="D96" s="205" t="str">
        <f>IF(E12=72,SUM(D24:D95),IF(B95&lt;$E$12,AE76,""))</f>
        <v/>
      </c>
      <c r="E96" s="243" t="str">
        <f>IF(E12=72,SUM(E24:F95),IF(B95&lt;$E$12,AG76,""))</f>
        <v/>
      </c>
      <c r="F96" s="243"/>
      <c r="G96" s="243" t="str">
        <f>IF(E12=72,SUM(G24:H95),IF(B95&lt;$E$12,AI76,""))</f>
        <v/>
      </c>
      <c r="H96" s="243"/>
      <c r="I96" s="202"/>
      <c r="J96" s="58"/>
      <c r="K96" s="53"/>
      <c r="L96" s="53"/>
      <c r="M96" s="53"/>
      <c r="N96" s="50"/>
      <c r="O96" s="98"/>
      <c r="AO96" s="62"/>
      <c r="AZ96" s="216">
        <v>9.4999999999999998E-3</v>
      </c>
    </row>
    <row r="97" spans="1:52" ht="14.1" customHeight="1" x14ac:dyDescent="0.3">
      <c r="A97" s="43"/>
      <c r="B97" s="244" t="str">
        <f t="shared" si="15"/>
        <v/>
      </c>
      <c r="C97" s="244"/>
      <c r="D97" s="205" t="str">
        <f t="shared" ref="D97:D107" si="43">IF(B96&lt;$E$12,AE77,"")</f>
        <v/>
      </c>
      <c r="E97" s="243" t="str">
        <f t="shared" ref="E97:E107" si="44">IF(B96&lt;$E$12,AG77,"")</f>
        <v/>
      </c>
      <c r="F97" s="243"/>
      <c r="G97" s="243" t="str">
        <f t="shared" ref="G97:G107" si="45">IF(B96&lt;$E$12,AI77,"")</f>
        <v/>
      </c>
      <c r="H97" s="243"/>
      <c r="I97" s="202"/>
      <c r="J97" s="52"/>
      <c r="K97" s="50"/>
      <c r="L97" s="50"/>
      <c r="M97" s="50"/>
      <c r="N97" s="50"/>
      <c r="O97" s="98"/>
      <c r="AO97" s="62"/>
      <c r="AZ97" s="216">
        <v>9.5999999999999992E-3</v>
      </c>
    </row>
    <row r="98" spans="1:52" ht="14.1" customHeight="1" x14ac:dyDescent="0.3">
      <c r="A98" s="43"/>
      <c r="B98" s="244" t="str">
        <f t="shared" si="15"/>
        <v/>
      </c>
      <c r="C98" s="244"/>
      <c r="D98" s="205" t="str">
        <f t="shared" si="43"/>
        <v/>
      </c>
      <c r="E98" s="243" t="str">
        <f t="shared" si="44"/>
        <v/>
      </c>
      <c r="F98" s="243"/>
      <c r="G98" s="243" t="str">
        <f t="shared" si="45"/>
        <v/>
      </c>
      <c r="H98" s="243"/>
      <c r="I98" s="202"/>
      <c r="J98" s="52"/>
      <c r="K98" s="50"/>
      <c r="L98" s="50"/>
      <c r="M98" s="50"/>
      <c r="N98" s="50"/>
      <c r="O98" s="98"/>
      <c r="AO98" s="62"/>
      <c r="AZ98" s="216">
        <v>9.7000000000000003E-3</v>
      </c>
    </row>
    <row r="99" spans="1:52" ht="14.1" customHeight="1" x14ac:dyDescent="0.3">
      <c r="A99" s="43"/>
      <c r="B99" s="244" t="str">
        <f t="shared" si="15"/>
        <v/>
      </c>
      <c r="C99" s="244"/>
      <c r="D99" s="205" t="str">
        <f t="shared" si="43"/>
        <v/>
      </c>
      <c r="E99" s="243" t="str">
        <f t="shared" si="44"/>
        <v/>
      </c>
      <c r="F99" s="243"/>
      <c r="G99" s="243" t="str">
        <f t="shared" si="45"/>
        <v/>
      </c>
      <c r="H99" s="243"/>
      <c r="I99" s="202"/>
      <c r="J99" s="52"/>
      <c r="K99" s="50"/>
      <c r="L99" s="50"/>
      <c r="M99" s="50"/>
      <c r="N99" s="50"/>
      <c r="AO99" s="62"/>
      <c r="AZ99" s="216">
        <v>9.7999999999999997E-3</v>
      </c>
    </row>
    <row r="100" spans="1:52" ht="14.1" customHeight="1" x14ac:dyDescent="0.3">
      <c r="A100" s="43"/>
      <c r="B100" s="244" t="str">
        <f t="shared" si="15"/>
        <v/>
      </c>
      <c r="C100" s="244"/>
      <c r="D100" s="205" t="str">
        <f t="shared" si="43"/>
        <v/>
      </c>
      <c r="E100" s="243" t="str">
        <f t="shared" si="44"/>
        <v/>
      </c>
      <c r="F100" s="243"/>
      <c r="G100" s="243" t="str">
        <f t="shared" si="45"/>
        <v/>
      </c>
      <c r="H100" s="243"/>
      <c r="I100" s="202"/>
      <c r="J100" s="52"/>
      <c r="K100" s="50"/>
      <c r="L100" s="50"/>
      <c r="M100" s="50"/>
      <c r="N100" s="50"/>
      <c r="AO100" s="62"/>
      <c r="AZ100" s="216">
        <v>9.9000000000000008E-3</v>
      </c>
    </row>
    <row r="101" spans="1:52" ht="14.1" customHeight="1" x14ac:dyDescent="0.3">
      <c r="A101" s="43"/>
      <c r="B101" s="244" t="str">
        <f t="shared" ref="B101:B107" si="46">IF(B100&lt;$E$12,B100+1,"")</f>
        <v/>
      </c>
      <c r="C101" s="244"/>
      <c r="D101" s="205" t="str">
        <f t="shared" si="43"/>
        <v/>
      </c>
      <c r="E101" s="243" t="str">
        <f t="shared" si="44"/>
        <v/>
      </c>
      <c r="F101" s="243"/>
      <c r="G101" s="243" t="str">
        <f t="shared" si="45"/>
        <v/>
      </c>
      <c r="H101" s="243"/>
      <c r="I101" s="202"/>
      <c r="J101" s="52"/>
      <c r="K101" s="50"/>
      <c r="L101" s="50"/>
      <c r="M101" s="50"/>
      <c r="N101" s="50"/>
      <c r="AO101" s="62"/>
      <c r="AZ101" s="216">
        <v>0.01</v>
      </c>
    </row>
    <row r="102" spans="1:52" ht="14.1" customHeight="1" x14ac:dyDescent="0.3">
      <c r="A102" s="43"/>
      <c r="B102" s="244" t="str">
        <f t="shared" si="46"/>
        <v/>
      </c>
      <c r="C102" s="244"/>
      <c r="D102" s="205" t="str">
        <f t="shared" si="43"/>
        <v/>
      </c>
      <c r="E102" s="243" t="str">
        <f t="shared" si="44"/>
        <v/>
      </c>
      <c r="F102" s="243"/>
      <c r="G102" s="243" t="str">
        <f t="shared" si="45"/>
        <v/>
      </c>
      <c r="H102" s="243"/>
      <c r="I102" s="202"/>
      <c r="J102" s="52"/>
      <c r="K102" s="50"/>
      <c r="L102" s="50"/>
      <c r="M102" s="50"/>
      <c r="N102" s="50"/>
      <c r="AO102" s="62"/>
      <c r="AZ102" s="216">
        <v>1.01E-2</v>
      </c>
    </row>
    <row r="103" spans="1:52" ht="14.1" customHeight="1" x14ac:dyDescent="0.3">
      <c r="A103" s="43"/>
      <c r="B103" s="244" t="str">
        <f t="shared" si="46"/>
        <v/>
      </c>
      <c r="C103" s="244"/>
      <c r="D103" s="205" t="str">
        <f t="shared" si="43"/>
        <v/>
      </c>
      <c r="E103" s="243" t="str">
        <f t="shared" si="44"/>
        <v/>
      </c>
      <c r="F103" s="243"/>
      <c r="G103" s="243" t="str">
        <f t="shared" si="45"/>
        <v/>
      </c>
      <c r="H103" s="243"/>
      <c r="I103" s="202"/>
      <c r="J103" s="52"/>
      <c r="K103" s="50"/>
      <c r="L103" s="50"/>
      <c r="M103" s="50"/>
      <c r="N103" s="50"/>
      <c r="AO103" s="62"/>
      <c r="AZ103" s="216">
        <v>1.0200000000000001E-2</v>
      </c>
    </row>
    <row r="104" spans="1:52" ht="14.1" customHeight="1" x14ac:dyDescent="0.3">
      <c r="A104" s="43"/>
      <c r="B104" s="244" t="str">
        <f t="shared" si="46"/>
        <v/>
      </c>
      <c r="C104" s="244"/>
      <c r="D104" s="205" t="str">
        <f t="shared" si="43"/>
        <v/>
      </c>
      <c r="E104" s="243" t="str">
        <f t="shared" si="44"/>
        <v/>
      </c>
      <c r="F104" s="243"/>
      <c r="G104" s="243" t="str">
        <f t="shared" si="45"/>
        <v/>
      </c>
      <c r="H104" s="243"/>
      <c r="I104" s="202"/>
      <c r="J104" s="52"/>
      <c r="K104" s="50"/>
      <c r="L104" s="50"/>
      <c r="M104" s="50"/>
      <c r="N104" s="50"/>
      <c r="AO104" s="62"/>
      <c r="AZ104" s="216">
        <v>1.03E-2</v>
      </c>
    </row>
    <row r="105" spans="1:52" ht="14.1" customHeight="1" x14ac:dyDescent="0.3">
      <c r="A105" s="43"/>
      <c r="B105" s="244" t="str">
        <f t="shared" si="46"/>
        <v/>
      </c>
      <c r="C105" s="244"/>
      <c r="D105" s="205" t="str">
        <f t="shared" si="43"/>
        <v/>
      </c>
      <c r="E105" s="243" t="str">
        <f t="shared" si="44"/>
        <v/>
      </c>
      <c r="F105" s="243"/>
      <c r="G105" s="243" t="str">
        <f t="shared" si="45"/>
        <v/>
      </c>
      <c r="H105" s="243"/>
      <c r="I105" s="202"/>
      <c r="J105" s="52"/>
      <c r="K105" s="50"/>
      <c r="L105" s="50"/>
      <c r="M105" s="50"/>
      <c r="N105" s="50"/>
      <c r="AO105" s="62"/>
      <c r="AZ105" s="216">
        <v>1.04E-2</v>
      </c>
    </row>
    <row r="106" spans="1:52" ht="14.1" customHeight="1" x14ac:dyDescent="0.3">
      <c r="A106" s="43"/>
      <c r="B106" s="244" t="str">
        <f t="shared" si="46"/>
        <v/>
      </c>
      <c r="C106" s="244"/>
      <c r="D106" s="205" t="str">
        <f t="shared" si="43"/>
        <v/>
      </c>
      <c r="E106" s="243" t="str">
        <f t="shared" si="44"/>
        <v/>
      </c>
      <c r="F106" s="243"/>
      <c r="G106" s="243" t="str">
        <f t="shared" si="45"/>
        <v/>
      </c>
      <c r="H106" s="243"/>
      <c r="I106" s="202"/>
      <c r="J106" s="52"/>
      <c r="K106" s="50"/>
      <c r="L106" s="50"/>
      <c r="M106" s="50"/>
      <c r="N106" s="50"/>
      <c r="AO106" s="62"/>
      <c r="AZ106" s="216">
        <v>1.0500000000000001E-2</v>
      </c>
    </row>
    <row r="107" spans="1:52" x14ac:dyDescent="0.3">
      <c r="A107" s="43"/>
      <c r="B107" s="244" t="str">
        <f t="shared" si="46"/>
        <v/>
      </c>
      <c r="C107" s="244"/>
      <c r="D107" s="205" t="str">
        <f t="shared" si="43"/>
        <v/>
      </c>
      <c r="E107" s="243" t="str">
        <f t="shared" si="44"/>
        <v/>
      </c>
      <c r="F107" s="243"/>
      <c r="G107" s="243" t="str">
        <f t="shared" si="45"/>
        <v/>
      </c>
      <c r="H107" s="243"/>
      <c r="I107" s="201"/>
      <c r="J107" s="52"/>
      <c r="K107" s="50"/>
      <c r="L107" s="50"/>
      <c r="M107" s="50"/>
      <c r="N107" s="50"/>
      <c r="AO107" s="62"/>
      <c r="AZ107" s="216">
        <v>1.06E-2</v>
      </c>
    </row>
    <row r="108" spans="1:52" x14ac:dyDescent="0.3">
      <c r="A108" s="43"/>
      <c r="B108" s="206" t="str">
        <f>IF(E12=84,"Всього:","")</f>
        <v/>
      </c>
      <c r="C108" s="206"/>
      <c r="D108" s="205" t="str">
        <f>IF(E12=84,SUM(D24:D107),"")</f>
        <v/>
      </c>
      <c r="E108" s="243" t="str">
        <f>IF(E12=84,SUM(E24:F107),"")</f>
        <v/>
      </c>
      <c r="F108" s="243"/>
      <c r="G108" s="243" t="str">
        <f>IF(E12=84,SUM(G24:H107),"")</f>
        <v/>
      </c>
      <c r="H108" s="243"/>
      <c r="I108" s="113"/>
      <c r="J108" s="52"/>
      <c r="K108" s="50"/>
      <c r="L108" s="50"/>
      <c r="M108" s="50"/>
      <c r="N108" s="50"/>
      <c r="AO108" s="62"/>
      <c r="AZ108" s="216">
        <v>1.0699999999999999E-2</v>
      </c>
    </row>
    <row r="109" spans="1:52" x14ac:dyDescent="0.3">
      <c r="A109" s="43"/>
      <c r="B109" s="118"/>
      <c r="C109" s="200"/>
      <c r="D109" s="61"/>
      <c r="E109" s="61"/>
      <c r="F109" s="61"/>
      <c r="G109" s="61"/>
      <c r="H109" s="340"/>
      <c r="I109" s="340"/>
      <c r="J109" s="52"/>
      <c r="K109" s="50"/>
      <c r="L109" s="50"/>
      <c r="M109" s="50"/>
      <c r="N109" s="50"/>
      <c r="AO109" s="62"/>
      <c r="AZ109" s="216">
        <v>1.0800000000000001E-2</v>
      </c>
    </row>
    <row r="110" spans="1:52" x14ac:dyDescent="0.3">
      <c r="A110" s="43"/>
      <c r="B110" s="118"/>
      <c r="C110" s="200"/>
      <c r="D110" s="61"/>
      <c r="E110" s="61"/>
      <c r="F110" s="61"/>
      <c r="G110" s="61"/>
      <c r="H110" s="340"/>
      <c r="I110" s="340"/>
      <c r="J110" s="52"/>
      <c r="K110" s="50"/>
      <c r="L110" s="50"/>
      <c r="M110" s="50"/>
      <c r="N110" s="50"/>
      <c r="AO110" s="62"/>
      <c r="AZ110" s="216">
        <v>1.09E-2</v>
      </c>
    </row>
    <row r="111" spans="1:52" x14ac:dyDescent="0.3">
      <c r="AO111" s="62"/>
      <c r="AZ111" s="216">
        <v>1.0999999999999999E-2</v>
      </c>
    </row>
    <row r="112" spans="1:52" x14ac:dyDescent="0.3">
      <c r="AO112" s="62"/>
      <c r="AZ112" s="216">
        <v>1.11E-2</v>
      </c>
    </row>
    <row r="113" spans="52:52" x14ac:dyDescent="0.3">
      <c r="AZ113" s="216">
        <v>1.12E-2</v>
      </c>
    </row>
    <row r="114" spans="52:52" x14ac:dyDescent="0.3">
      <c r="AZ114" s="216">
        <v>1.1299999999999999E-2</v>
      </c>
    </row>
    <row r="115" spans="52:52" x14ac:dyDescent="0.3">
      <c r="AZ115" s="216">
        <v>1.14E-2</v>
      </c>
    </row>
    <row r="116" spans="52:52" x14ac:dyDescent="0.3">
      <c r="AZ116" s="216">
        <v>1.15E-2</v>
      </c>
    </row>
    <row r="117" spans="52:52" x14ac:dyDescent="0.3">
      <c r="AZ117" s="216">
        <v>1.1599999999999999E-2</v>
      </c>
    </row>
    <row r="118" spans="52:52" x14ac:dyDescent="0.3">
      <c r="AZ118" s="216">
        <v>1.17E-2</v>
      </c>
    </row>
    <row r="119" spans="52:52" x14ac:dyDescent="0.3">
      <c r="AZ119" s="216">
        <v>1.18E-2</v>
      </c>
    </row>
    <row r="120" spans="52:52" x14ac:dyDescent="0.3">
      <c r="AZ120" s="216">
        <v>1.1900000000000001E-2</v>
      </c>
    </row>
    <row r="121" spans="52:52" x14ac:dyDescent="0.3">
      <c r="AZ121" s="216">
        <v>1.2E-2</v>
      </c>
    </row>
    <row r="122" spans="52:52" x14ac:dyDescent="0.3">
      <c r="AZ122" s="216">
        <v>1.21E-2</v>
      </c>
    </row>
    <row r="123" spans="52:52" x14ac:dyDescent="0.3">
      <c r="AZ123" s="216">
        <v>1.2200000000000001E-2</v>
      </c>
    </row>
    <row r="124" spans="52:52" x14ac:dyDescent="0.3">
      <c r="AZ124" s="216">
        <v>1.23E-2</v>
      </c>
    </row>
    <row r="125" spans="52:52" x14ac:dyDescent="0.3">
      <c r="AZ125" s="216">
        <v>1.24E-2</v>
      </c>
    </row>
    <row r="126" spans="52:52" x14ac:dyDescent="0.3">
      <c r="AZ126" s="216">
        <v>1.2500000000000001E-2</v>
      </c>
    </row>
    <row r="127" spans="52:52" x14ac:dyDescent="0.3">
      <c r="AZ127" s="216">
        <v>1.26E-2</v>
      </c>
    </row>
    <row r="128" spans="52:52" x14ac:dyDescent="0.3">
      <c r="AZ128" s="216">
        <v>1.2699999999999999E-2</v>
      </c>
    </row>
    <row r="129" spans="52:52" x14ac:dyDescent="0.3">
      <c r="AZ129" s="216">
        <v>1.2800000000000001E-2</v>
      </c>
    </row>
    <row r="130" spans="52:52" x14ac:dyDescent="0.3">
      <c r="AZ130" s="216">
        <v>1.29E-2</v>
      </c>
    </row>
    <row r="131" spans="52:52" x14ac:dyDescent="0.3">
      <c r="AZ131" s="216">
        <v>1.2999999999999999E-2</v>
      </c>
    </row>
    <row r="132" spans="52:52" x14ac:dyDescent="0.3">
      <c r="AZ132" s="216">
        <v>1.3100000000000001E-2</v>
      </c>
    </row>
    <row r="133" spans="52:52" x14ac:dyDescent="0.3">
      <c r="AZ133" s="216">
        <v>1.32E-2</v>
      </c>
    </row>
    <row r="134" spans="52:52" x14ac:dyDescent="0.3">
      <c r="AZ134" s="216">
        <v>1.3299999999999999E-2</v>
      </c>
    </row>
    <row r="135" spans="52:52" x14ac:dyDescent="0.3">
      <c r="AZ135" s="216">
        <v>1.34E-2</v>
      </c>
    </row>
    <row r="136" spans="52:52" x14ac:dyDescent="0.3">
      <c r="AZ136" s="216">
        <v>1.35E-2</v>
      </c>
    </row>
    <row r="137" spans="52:52" x14ac:dyDescent="0.3">
      <c r="AZ137" s="216">
        <v>1.3599999999999999E-2</v>
      </c>
    </row>
    <row r="138" spans="52:52" x14ac:dyDescent="0.3">
      <c r="AZ138" s="216">
        <v>1.37E-2</v>
      </c>
    </row>
    <row r="139" spans="52:52" x14ac:dyDescent="0.3">
      <c r="AZ139" s="216">
        <v>1.38E-2</v>
      </c>
    </row>
    <row r="140" spans="52:52" x14ac:dyDescent="0.3">
      <c r="AZ140" s="216">
        <v>1.3899999999999999E-2</v>
      </c>
    </row>
    <row r="141" spans="52:52" x14ac:dyDescent="0.3">
      <c r="AZ141" s="216">
        <v>1.4E-2</v>
      </c>
    </row>
    <row r="142" spans="52:52" x14ac:dyDescent="0.3">
      <c r="AZ142" s="216">
        <v>1.41E-2</v>
      </c>
    </row>
    <row r="143" spans="52:52" x14ac:dyDescent="0.3">
      <c r="AZ143" s="216">
        <v>1.4200000000000001E-2</v>
      </c>
    </row>
    <row r="144" spans="52:52" x14ac:dyDescent="0.3">
      <c r="AZ144" s="216">
        <v>1.43E-2</v>
      </c>
    </row>
    <row r="145" spans="52:52" x14ac:dyDescent="0.3">
      <c r="AZ145" s="216">
        <v>1.44E-2</v>
      </c>
    </row>
    <row r="146" spans="52:52" x14ac:dyDescent="0.3">
      <c r="AZ146" s="216">
        <v>1.4500000000000001E-2</v>
      </c>
    </row>
    <row r="147" spans="52:52" x14ac:dyDescent="0.3">
      <c r="AZ147" s="216">
        <v>1.46E-2</v>
      </c>
    </row>
    <row r="148" spans="52:52" x14ac:dyDescent="0.3">
      <c r="AZ148" s="216">
        <v>1.47E-2</v>
      </c>
    </row>
    <row r="149" spans="52:52" x14ac:dyDescent="0.3">
      <c r="AZ149" s="216">
        <v>1.4800000000000001E-2</v>
      </c>
    </row>
    <row r="150" spans="52:52" x14ac:dyDescent="0.3">
      <c r="AZ150" s="216">
        <v>1.49E-2</v>
      </c>
    </row>
    <row r="151" spans="52:52" x14ac:dyDescent="0.3">
      <c r="AZ151" s="216">
        <v>1.4999999999999999E-2</v>
      </c>
    </row>
    <row r="152" spans="52:52" x14ac:dyDescent="0.3">
      <c r="AZ152" s="216">
        <v>1.5100000000000001E-2</v>
      </c>
    </row>
    <row r="153" spans="52:52" x14ac:dyDescent="0.3">
      <c r="AZ153" s="216">
        <v>1.52E-2</v>
      </c>
    </row>
    <row r="154" spans="52:52" x14ac:dyDescent="0.3">
      <c r="AZ154" s="216">
        <v>1.5299999999999999E-2</v>
      </c>
    </row>
    <row r="155" spans="52:52" x14ac:dyDescent="0.3">
      <c r="AZ155" s="216">
        <v>1.54E-2</v>
      </c>
    </row>
    <row r="156" spans="52:52" x14ac:dyDescent="0.3">
      <c r="AZ156" s="216">
        <v>1.55E-2</v>
      </c>
    </row>
    <row r="157" spans="52:52" x14ac:dyDescent="0.3">
      <c r="AZ157" s="216">
        <v>1.5599999999999999E-2</v>
      </c>
    </row>
    <row r="158" spans="52:52" x14ac:dyDescent="0.3">
      <c r="AZ158" s="216">
        <v>1.5699999999999999E-2</v>
      </c>
    </row>
    <row r="159" spans="52:52" x14ac:dyDescent="0.3">
      <c r="AZ159" s="216">
        <v>1.5800000000000002E-2</v>
      </c>
    </row>
    <row r="160" spans="52:52" x14ac:dyDescent="0.3">
      <c r="AZ160" s="216">
        <v>1.5900000000000001E-2</v>
      </c>
    </row>
    <row r="161" spans="52:52" x14ac:dyDescent="0.3">
      <c r="AZ161" s="216">
        <v>1.6E-2</v>
      </c>
    </row>
    <row r="162" spans="52:52" x14ac:dyDescent="0.3">
      <c r="AZ162" s="216">
        <v>1.61E-2</v>
      </c>
    </row>
    <row r="163" spans="52:52" x14ac:dyDescent="0.3">
      <c r="AZ163" s="216">
        <v>1.6199999999999999E-2</v>
      </c>
    </row>
    <row r="164" spans="52:52" x14ac:dyDescent="0.3">
      <c r="AZ164" s="216">
        <v>1.6299999999999999E-2</v>
      </c>
    </row>
    <row r="165" spans="52:52" x14ac:dyDescent="0.3">
      <c r="AZ165" s="216">
        <v>1.6400000000000001E-2</v>
      </c>
    </row>
    <row r="166" spans="52:52" x14ac:dyDescent="0.3">
      <c r="AZ166" s="216">
        <v>1.6500000000000001E-2</v>
      </c>
    </row>
    <row r="167" spans="52:52" x14ac:dyDescent="0.3">
      <c r="AZ167" s="216">
        <v>1.66E-2</v>
      </c>
    </row>
    <row r="168" spans="52:52" x14ac:dyDescent="0.3">
      <c r="AZ168" s="216">
        <v>1.67E-2</v>
      </c>
    </row>
    <row r="169" spans="52:52" x14ac:dyDescent="0.3">
      <c r="AZ169" s="216">
        <v>1.6799999999999999E-2</v>
      </c>
    </row>
    <row r="170" spans="52:52" x14ac:dyDescent="0.3">
      <c r="AZ170" s="216">
        <v>1.6899999999999998E-2</v>
      </c>
    </row>
    <row r="171" spans="52:52" x14ac:dyDescent="0.3">
      <c r="AZ171" s="216">
        <v>1.7000000000000001E-2</v>
      </c>
    </row>
    <row r="172" spans="52:52" x14ac:dyDescent="0.3">
      <c r="AZ172" s="216">
        <v>1.7100000000000001E-2</v>
      </c>
    </row>
    <row r="173" spans="52:52" x14ac:dyDescent="0.3">
      <c r="AZ173" s="216">
        <v>1.72E-2</v>
      </c>
    </row>
    <row r="174" spans="52:52" x14ac:dyDescent="0.3">
      <c r="AZ174" s="216">
        <v>1.7299999999999999E-2</v>
      </c>
    </row>
    <row r="175" spans="52:52" x14ac:dyDescent="0.3">
      <c r="AZ175" s="216">
        <v>1.7399999999999999E-2</v>
      </c>
    </row>
    <row r="176" spans="52:52" x14ac:dyDescent="0.3">
      <c r="AZ176" s="216">
        <v>1.7500000000000002E-2</v>
      </c>
    </row>
    <row r="177" spans="52:52" x14ac:dyDescent="0.3">
      <c r="AZ177" s="216">
        <v>1.7600000000000001E-2</v>
      </c>
    </row>
    <row r="178" spans="52:52" x14ac:dyDescent="0.3">
      <c r="AZ178" s="216">
        <v>1.77E-2</v>
      </c>
    </row>
    <row r="179" spans="52:52" x14ac:dyDescent="0.3">
      <c r="AZ179" s="216">
        <v>1.78E-2</v>
      </c>
    </row>
    <row r="180" spans="52:52" x14ac:dyDescent="0.3">
      <c r="AZ180" s="216">
        <v>1.7899999999999999E-2</v>
      </c>
    </row>
    <row r="181" spans="52:52" x14ac:dyDescent="0.3">
      <c r="AZ181" s="216">
        <v>1.7999999999999999E-2</v>
      </c>
    </row>
    <row r="182" spans="52:52" x14ac:dyDescent="0.3">
      <c r="AZ182" s="216">
        <v>1.8100000000000002E-2</v>
      </c>
    </row>
    <row r="183" spans="52:52" x14ac:dyDescent="0.3">
      <c r="AZ183" s="216">
        <v>1.8200000000000001E-2</v>
      </c>
    </row>
    <row r="184" spans="52:52" x14ac:dyDescent="0.3">
      <c r="AZ184" s="216">
        <v>1.83E-2</v>
      </c>
    </row>
    <row r="185" spans="52:52" x14ac:dyDescent="0.3">
      <c r="AZ185" s="216">
        <v>1.84E-2</v>
      </c>
    </row>
    <row r="186" spans="52:52" x14ac:dyDescent="0.3">
      <c r="AZ186" s="216">
        <v>1.8499999999999999E-2</v>
      </c>
    </row>
    <row r="187" spans="52:52" x14ac:dyDescent="0.3">
      <c r="AZ187" s="216">
        <v>1.8599999999999998E-2</v>
      </c>
    </row>
    <row r="188" spans="52:52" x14ac:dyDescent="0.3">
      <c r="AZ188" s="216">
        <v>1.8700000000000001E-2</v>
      </c>
    </row>
    <row r="189" spans="52:52" x14ac:dyDescent="0.3">
      <c r="AZ189" s="216">
        <v>1.8800000000000001E-2</v>
      </c>
    </row>
    <row r="190" spans="52:52" x14ac:dyDescent="0.3">
      <c r="AZ190" s="216">
        <v>1.89E-2</v>
      </c>
    </row>
    <row r="191" spans="52:52" x14ac:dyDescent="0.3">
      <c r="AZ191" s="216">
        <v>1.9E-2</v>
      </c>
    </row>
    <row r="192" spans="52:52" x14ac:dyDescent="0.3">
      <c r="AZ192" s="216">
        <v>1.9099999999999999E-2</v>
      </c>
    </row>
    <row r="193" spans="52:52" x14ac:dyDescent="0.3">
      <c r="AZ193" s="216">
        <v>1.9199999999999998E-2</v>
      </c>
    </row>
    <row r="194" spans="52:52" x14ac:dyDescent="0.3">
      <c r="AZ194" s="216">
        <v>1.9300000000000001E-2</v>
      </c>
    </row>
    <row r="195" spans="52:52" x14ac:dyDescent="0.3">
      <c r="AZ195" s="216">
        <v>1.9400000000000001E-2</v>
      </c>
    </row>
    <row r="196" spans="52:52" x14ac:dyDescent="0.3">
      <c r="AZ196" s="216">
        <v>1.95E-2</v>
      </c>
    </row>
    <row r="197" spans="52:52" x14ac:dyDescent="0.3">
      <c r="AZ197" s="216">
        <v>1.9599999999999999E-2</v>
      </c>
    </row>
    <row r="198" spans="52:52" x14ac:dyDescent="0.3">
      <c r="AZ198" s="216">
        <v>1.9699999999999999E-2</v>
      </c>
    </row>
    <row r="199" spans="52:52" x14ac:dyDescent="0.3">
      <c r="AZ199" s="216">
        <v>1.9800000000000002E-2</v>
      </c>
    </row>
    <row r="200" spans="52:52" x14ac:dyDescent="0.3">
      <c r="AZ200" s="216">
        <v>1.9900000000000001E-2</v>
      </c>
    </row>
    <row r="201" spans="52:52" x14ac:dyDescent="0.3">
      <c r="AZ201" s="216">
        <v>0.02</v>
      </c>
    </row>
    <row r="202" spans="52:52" x14ac:dyDescent="0.3">
      <c r="AZ202" s="216">
        <v>2.01E-2</v>
      </c>
    </row>
    <row r="203" spans="52:52" x14ac:dyDescent="0.3">
      <c r="AZ203" s="216">
        <v>2.0199999999999999E-2</v>
      </c>
    </row>
    <row r="204" spans="52:52" x14ac:dyDescent="0.3">
      <c r="AZ204" s="216">
        <v>2.0299999999999999E-2</v>
      </c>
    </row>
    <row r="205" spans="52:52" x14ac:dyDescent="0.3">
      <c r="AZ205" s="216">
        <v>2.0400000000000001E-2</v>
      </c>
    </row>
    <row r="206" spans="52:52" x14ac:dyDescent="0.3">
      <c r="AZ206" s="216">
        <v>2.0500000000000001E-2</v>
      </c>
    </row>
    <row r="207" spans="52:52" x14ac:dyDescent="0.3">
      <c r="AZ207" s="216">
        <v>2.06E-2</v>
      </c>
    </row>
    <row r="208" spans="52:52" x14ac:dyDescent="0.3">
      <c r="AZ208" s="216">
        <v>2.07E-2</v>
      </c>
    </row>
    <row r="209" spans="52:52" x14ac:dyDescent="0.3">
      <c r="AZ209" s="216">
        <v>2.0799999999999999E-2</v>
      </c>
    </row>
    <row r="210" spans="52:52" x14ac:dyDescent="0.3">
      <c r="AZ210" s="216">
        <v>2.0899999999999998E-2</v>
      </c>
    </row>
    <row r="211" spans="52:52" x14ac:dyDescent="0.3">
      <c r="AZ211" s="216">
        <v>2.1000000000000001E-2</v>
      </c>
    </row>
    <row r="212" spans="52:52" x14ac:dyDescent="0.3">
      <c r="AZ212" s="216">
        <v>2.1100000000000001E-2</v>
      </c>
    </row>
    <row r="213" spans="52:52" x14ac:dyDescent="0.3">
      <c r="AZ213" s="216">
        <v>2.12E-2</v>
      </c>
    </row>
    <row r="214" spans="52:52" x14ac:dyDescent="0.3">
      <c r="AZ214" s="216">
        <v>2.1299999999999999E-2</v>
      </c>
    </row>
    <row r="215" spans="52:52" x14ac:dyDescent="0.3">
      <c r="AZ215" s="216">
        <v>2.1399999999999999E-2</v>
      </c>
    </row>
    <row r="216" spans="52:52" x14ac:dyDescent="0.3">
      <c r="AZ216" s="216">
        <v>2.1499999999999998E-2</v>
      </c>
    </row>
    <row r="217" spans="52:52" x14ac:dyDescent="0.3">
      <c r="AZ217" s="216">
        <v>2.1600000000000001E-2</v>
      </c>
    </row>
    <row r="218" spans="52:52" x14ac:dyDescent="0.3">
      <c r="AZ218" s="216">
        <v>2.1700000000000001E-2</v>
      </c>
    </row>
    <row r="219" spans="52:52" x14ac:dyDescent="0.3">
      <c r="AZ219" s="216">
        <v>2.18E-2</v>
      </c>
    </row>
    <row r="220" spans="52:52" x14ac:dyDescent="0.3">
      <c r="AZ220" s="216">
        <v>2.1899999999999999E-2</v>
      </c>
    </row>
    <row r="221" spans="52:52" x14ac:dyDescent="0.3">
      <c r="AZ221" s="216">
        <v>2.1999999999999999E-2</v>
      </c>
    </row>
    <row r="222" spans="52:52" x14ac:dyDescent="0.3">
      <c r="AZ222" s="216">
        <v>2.2100000000000002E-2</v>
      </c>
    </row>
    <row r="223" spans="52:52" x14ac:dyDescent="0.3">
      <c r="AZ223" s="216">
        <v>2.2200000000000001E-2</v>
      </c>
    </row>
    <row r="224" spans="52:52" x14ac:dyDescent="0.3">
      <c r="AZ224" s="216">
        <v>2.23E-2</v>
      </c>
    </row>
    <row r="225" spans="52:52" x14ac:dyDescent="0.3">
      <c r="AZ225" s="216">
        <v>2.24E-2</v>
      </c>
    </row>
    <row r="226" spans="52:52" x14ac:dyDescent="0.3">
      <c r="AZ226" s="216">
        <v>2.2499999999999999E-2</v>
      </c>
    </row>
    <row r="227" spans="52:52" x14ac:dyDescent="0.3">
      <c r="AZ227" s="216">
        <v>2.2599999999999999E-2</v>
      </c>
    </row>
    <row r="228" spans="52:52" x14ac:dyDescent="0.3">
      <c r="AZ228" s="216">
        <v>2.2700000000000001E-2</v>
      </c>
    </row>
    <row r="229" spans="52:52" x14ac:dyDescent="0.3">
      <c r="AZ229" s="216">
        <v>2.2800000000000001E-2</v>
      </c>
    </row>
    <row r="230" spans="52:52" x14ac:dyDescent="0.3">
      <c r="AZ230" s="216">
        <v>2.29E-2</v>
      </c>
    </row>
    <row r="231" spans="52:52" x14ac:dyDescent="0.3">
      <c r="AZ231" s="216">
        <v>2.3E-2</v>
      </c>
    </row>
    <row r="232" spans="52:52" x14ac:dyDescent="0.3">
      <c r="AZ232" s="216">
        <v>2.3099999999999999E-2</v>
      </c>
    </row>
    <row r="233" spans="52:52" x14ac:dyDescent="0.3">
      <c r="AZ233" s="216">
        <v>2.3199999999999998E-2</v>
      </c>
    </row>
    <row r="234" spans="52:52" x14ac:dyDescent="0.3">
      <c r="AZ234" s="216">
        <v>2.3300000000000001E-2</v>
      </c>
    </row>
    <row r="235" spans="52:52" x14ac:dyDescent="0.3">
      <c r="AZ235" s="216">
        <v>2.3400000000000001E-2</v>
      </c>
    </row>
    <row r="236" spans="52:52" x14ac:dyDescent="0.3">
      <c r="AZ236" s="216">
        <v>2.35E-2</v>
      </c>
    </row>
    <row r="237" spans="52:52" x14ac:dyDescent="0.3">
      <c r="AZ237" s="216">
        <v>2.3599999999999999E-2</v>
      </c>
    </row>
    <row r="238" spans="52:52" x14ac:dyDescent="0.3">
      <c r="AZ238" s="216">
        <v>2.3699999999999999E-2</v>
      </c>
    </row>
    <row r="239" spans="52:52" x14ac:dyDescent="0.3">
      <c r="AZ239" s="216">
        <v>2.3800000000000002E-2</v>
      </c>
    </row>
    <row r="240" spans="52:52" x14ac:dyDescent="0.3">
      <c r="AZ240" s="216">
        <v>2.3900000000000001E-2</v>
      </c>
    </row>
    <row r="241" spans="52:52" x14ac:dyDescent="0.3">
      <c r="AZ241" s="216">
        <v>2.4E-2</v>
      </c>
    </row>
    <row r="242" spans="52:52" x14ac:dyDescent="0.3">
      <c r="AZ242" s="216">
        <v>2.41E-2</v>
      </c>
    </row>
    <row r="243" spans="52:52" x14ac:dyDescent="0.3">
      <c r="AZ243" s="216">
        <v>2.4199999999999999E-2</v>
      </c>
    </row>
    <row r="244" spans="52:52" x14ac:dyDescent="0.3">
      <c r="AZ244" s="216">
        <v>2.4299999999999999E-2</v>
      </c>
    </row>
    <row r="245" spans="52:52" x14ac:dyDescent="0.3">
      <c r="AZ245" s="216">
        <v>2.4400000000000002E-2</v>
      </c>
    </row>
    <row r="246" spans="52:52" x14ac:dyDescent="0.3">
      <c r="AZ246" s="216">
        <v>2.4500000000000001E-2</v>
      </c>
    </row>
    <row r="247" spans="52:52" x14ac:dyDescent="0.3">
      <c r="AZ247" s="216">
        <v>2.46E-2</v>
      </c>
    </row>
    <row r="248" spans="52:52" x14ac:dyDescent="0.3">
      <c r="AZ248" s="216">
        <v>2.47E-2</v>
      </c>
    </row>
    <row r="249" spans="52:52" x14ac:dyDescent="0.3">
      <c r="AZ249" s="216">
        <v>2.4799999999999999E-2</v>
      </c>
    </row>
    <row r="250" spans="52:52" x14ac:dyDescent="0.3">
      <c r="AZ250" s="216">
        <v>2.4899999999999999E-2</v>
      </c>
    </row>
    <row r="251" spans="52:52" x14ac:dyDescent="0.3">
      <c r="AZ251" s="216">
        <v>2.5000000000000001E-2</v>
      </c>
    </row>
    <row r="252" spans="52:52" x14ac:dyDescent="0.3">
      <c r="AZ252" s="216">
        <v>2.5100000000000001E-2</v>
      </c>
    </row>
    <row r="253" spans="52:52" x14ac:dyDescent="0.3">
      <c r="AZ253" s="216">
        <v>2.52E-2</v>
      </c>
    </row>
    <row r="254" spans="52:52" x14ac:dyDescent="0.3">
      <c r="AZ254" s="216">
        <v>2.53E-2</v>
      </c>
    </row>
    <row r="255" spans="52:52" x14ac:dyDescent="0.3">
      <c r="AZ255" s="216">
        <v>2.5399999999999999E-2</v>
      </c>
    </row>
    <row r="256" spans="52:52" x14ac:dyDescent="0.3">
      <c r="AZ256" s="216">
        <v>2.5499999999999998E-2</v>
      </c>
    </row>
    <row r="257" spans="52:52" x14ac:dyDescent="0.3">
      <c r="AZ257" s="216">
        <v>2.5600000000000001E-2</v>
      </c>
    </row>
    <row r="258" spans="52:52" x14ac:dyDescent="0.3">
      <c r="AZ258" s="216">
        <v>2.5700000000000001E-2</v>
      </c>
    </row>
    <row r="259" spans="52:52" x14ac:dyDescent="0.3">
      <c r="AZ259" s="216">
        <v>2.58E-2</v>
      </c>
    </row>
    <row r="260" spans="52:52" x14ac:dyDescent="0.3">
      <c r="AZ260" s="216">
        <v>2.5899999999999999E-2</v>
      </c>
    </row>
    <row r="261" spans="52:52" x14ac:dyDescent="0.3">
      <c r="AZ261" s="216">
        <v>2.5999999999999999E-2</v>
      </c>
    </row>
    <row r="262" spans="52:52" x14ac:dyDescent="0.3">
      <c r="AZ262" s="216">
        <v>2.6100000000000002E-2</v>
      </c>
    </row>
    <row r="263" spans="52:52" x14ac:dyDescent="0.3">
      <c r="AZ263" s="216">
        <v>2.6200000000000001E-2</v>
      </c>
    </row>
    <row r="264" spans="52:52" x14ac:dyDescent="0.3">
      <c r="AZ264" s="216">
        <v>2.63E-2</v>
      </c>
    </row>
    <row r="265" spans="52:52" x14ac:dyDescent="0.3">
      <c r="AZ265" s="216">
        <v>2.64E-2</v>
      </c>
    </row>
    <row r="266" spans="52:52" x14ac:dyDescent="0.3">
      <c r="AZ266" s="216">
        <v>2.6499999999999999E-2</v>
      </c>
    </row>
    <row r="267" spans="52:52" x14ac:dyDescent="0.3">
      <c r="AZ267" s="216">
        <v>2.6599999999999999E-2</v>
      </c>
    </row>
    <row r="268" spans="52:52" x14ac:dyDescent="0.3">
      <c r="AZ268" s="216">
        <v>2.6700000000000002E-2</v>
      </c>
    </row>
    <row r="269" spans="52:52" x14ac:dyDescent="0.3">
      <c r="AZ269" s="216">
        <v>2.6800000000000001E-2</v>
      </c>
    </row>
    <row r="270" spans="52:52" x14ac:dyDescent="0.3">
      <c r="AZ270" s="216">
        <v>2.69E-2</v>
      </c>
    </row>
    <row r="271" spans="52:52" x14ac:dyDescent="0.3">
      <c r="AZ271" s="216">
        <v>2.7E-2</v>
      </c>
    </row>
    <row r="272" spans="52:52" x14ac:dyDescent="0.3">
      <c r="AZ272" s="216">
        <v>2.7099999999999999E-2</v>
      </c>
    </row>
    <row r="273" spans="52:52" x14ac:dyDescent="0.3">
      <c r="AZ273" s="216">
        <v>2.7199999999999998E-2</v>
      </c>
    </row>
    <row r="274" spans="52:52" x14ac:dyDescent="0.3">
      <c r="AZ274" s="216">
        <v>2.7300000000000001E-2</v>
      </c>
    </row>
    <row r="275" spans="52:52" x14ac:dyDescent="0.3">
      <c r="AZ275" s="216">
        <v>2.7400000000000001E-2</v>
      </c>
    </row>
    <row r="276" spans="52:52" x14ac:dyDescent="0.3">
      <c r="AZ276" s="216">
        <v>2.75E-2</v>
      </c>
    </row>
    <row r="277" spans="52:52" x14ac:dyDescent="0.3">
      <c r="AZ277" s="216">
        <v>2.76E-2</v>
      </c>
    </row>
    <row r="278" spans="52:52" x14ac:dyDescent="0.3">
      <c r="AZ278" s="216">
        <v>2.7699999999999999E-2</v>
      </c>
    </row>
    <row r="279" spans="52:52" x14ac:dyDescent="0.3">
      <c r="AZ279" s="216">
        <v>2.7799999999999998E-2</v>
      </c>
    </row>
    <row r="280" spans="52:52" x14ac:dyDescent="0.3">
      <c r="AZ280" s="216">
        <v>2.7900000000000001E-2</v>
      </c>
    </row>
    <row r="281" spans="52:52" x14ac:dyDescent="0.3">
      <c r="AZ281" s="216">
        <v>2.8000000000000001E-2</v>
      </c>
    </row>
    <row r="282" spans="52:52" x14ac:dyDescent="0.3">
      <c r="AZ282" s="216">
        <v>2.81E-2</v>
      </c>
    </row>
    <row r="283" spans="52:52" x14ac:dyDescent="0.3">
      <c r="AZ283" s="216">
        <v>2.8199999999999999E-2</v>
      </c>
    </row>
    <row r="284" spans="52:52" x14ac:dyDescent="0.3">
      <c r="AZ284" s="216">
        <v>2.8299999999999999E-2</v>
      </c>
    </row>
    <row r="285" spans="52:52" x14ac:dyDescent="0.3">
      <c r="AZ285" s="216">
        <v>2.8400000000000002E-2</v>
      </c>
    </row>
    <row r="286" spans="52:52" x14ac:dyDescent="0.3">
      <c r="AZ286" s="216">
        <v>2.8500000000000001E-2</v>
      </c>
    </row>
    <row r="287" spans="52:52" x14ac:dyDescent="0.3">
      <c r="AZ287" s="216">
        <v>2.86E-2</v>
      </c>
    </row>
    <row r="288" spans="52:52" x14ac:dyDescent="0.3">
      <c r="AZ288" s="216">
        <v>2.87E-2</v>
      </c>
    </row>
    <row r="289" spans="52:52" x14ac:dyDescent="0.3">
      <c r="AZ289" s="216">
        <v>2.8799999999999999E-2</v>
      </c>
    </row>
    <row r="290" spans="52:52" x14ac:dyDescent="0.3">
      <c r="AZ290" s="216">
        <v>2.8899999999999999E-2</v>
      </c>
    </row>
    <row r="291" spans="52:52" x14ac:dyDescent="0.3">
      <c r="AZ291" s="216">
        <v>2.9000000000000001E-2</v>
      </c>
    </row>
    <row r="292" spans="52:52" x14ac:dyDescent="0.3">
      <c r="AZ292" s="216">
        <v>2.9100000000000001E-2</v>
      </c>
    </row>
    <row r="293" spans="52:52" x14ac:dyDescent="0.3">
      <c r="AZ293" s="216">
        <v>2.92E-2</v>
      </c>
    </row>
    <row r="294" spans="52:52" x14ac:dyDescent="0.3">
      <c r="AZ294" s="216">
        <v>2.93E-2</v>
      </c>
    </row>
    <row r="295" spans="52:52" x14ac:dyDescent="0.3">
      <c r="AZ295" s="216">
        <v>2.9399999999999999E-2</v>
      </c>
    </row>
    <row r="296" spans="52:52" x14ac:dyDescent="0.3">
      <c r="AZ296" s="216">
        <v>2.9499999999999998E-2</v>
      </c>
    </row>
    <row r="297" spans="52:52" x14ac:dyDescent="0.3">
      <c r="AZ297" s="216">
        <v>2.9600000000000001E-2</v>
      </c>
    </row>
    <row r="298" spans="52:52" x14ac:dyDescent="0.3">
      <c r="AZ298" s="216">
        <v>2.9700000000000001E-2</v>
      </c>
    </row>
    <row r="299" spans="52:52" x14ac:dyDescent="0.3">
      <c r="AZ299" s="216">
        <v>2.98E-2</v>
      </c>
    </row>
    <row r="300" spans="52:52" x14ac:dyDescent="0.3">
      <c r="AZ300" s="216">
        <v>2.9899999999999999E-2</v>
      </c>
    </row>
    <row r="301" spans="52:52" x14ac:dyDescent="0.3">
      <c r="AZ301" s="216">
        <v>0.03</v>
      </c>
    </row>
    <row r="302" spans="52:52" x14ac:dyDescent="0.3">
      <c r="AZ302" s="216">
        <v>3.0099999999999998E-2</v>
      </c>
    </row>
    <row r="303" spans="52:52" x14ac:dyDescent="0.3">
      <c r="AZ303" s="216">
        <v>3.0200000000000001E-2</v>
      </c>
    </row>
    <row r="304" spans="52:52" x14ac:dyDescent="0.3">
      <c r="AZ304" s="216">
        <v>3.0300000000000001E-2</v>
      </c>
    </row>
    <row r="305" spans="52:52" x14ac:dyDescent="0.3">
      <c r="AZ305" s="216">
        <v>3.04E-2</v>
      </c>
    </row>
    <row r="306" spans="52:52" x14ac:dyDescent="0.3">
      <c r="AZ306" s="216">
        <v>3.0499999999999999E-2</v>
      </c>
    </row>
    <row r="307" spans="52:52" x14ac:dyDescent="0.3">
      <c r="AZ307" s="216">
        <v>3.0599999999999999E-2</v>
      </c>
    </row>
    <row r="308" spans="52:52" x14ac:dyDescent="0.3">
      <c r="AZ308" s="216">
        <v>3.0700000000000002E-2</v>
      </c>
    </row>
    <row r="309" spans="52:52" x14ac:dyDescent="0.3">
      <c r="AZ309" s="216">
        <v>3.0800000000000001E-2</v>
      </c>
    </row>
    <row r="310" spans="52:52" x14ac:dyDescent="0.3">
      <c r="AZ310" s="216">
        <v>3.09E-2</v>
      </c>
    </row>
    <row r="311" spans="52:52" x14ac:dyDescent="0.3">
      <c r="AZ311" s="216">
        <v>3.1E-2</v>
      </c>
    </row>
    <row r="312" spans="52:52" x14ac:dyDescent="0.3">
      <c r="AZ312" s="216">
        <v>3.1099999999999999E-2</v>
      </c>
    </row>
    <row r="313" spans="52:52" x14ac:dyDescent="0.3">
      <c r="AZ313" s="216">
        <v>3.1199999999999999E-2</v>
      </c>
    </row>
    <row r="314" spans="52:52" x14ac:dyDescent="0.3">
      <c r="AZ314" s="216">
        <v>3.1300000000000001E-2</v>
      </c>
    </row>
    <row r="315" spans="52:52" x14ac:dyDescent="0.3">
      <c r="AZ315" s="216">
        <v>3.1399999999999997E-2</v>
      </c>
    </row>
    <row r="316" spans="52:52" x14ac:dyDescent="0.3">
      <c r="AZ316" s="216">
        <v>3.15E-2</v>
      </c>
    </row>
    <row r="317" spans="52:52" x14ac:dyDescent="0.3">
      <c r="AZ317" s="216">
        <v>3.1600000000000003E-2</v>
      </c>
    </row>
    <row r="318" spans="52:52" x14ac:dyDescent="0.3">
      <c r="AZ318" s="216">
        <v>3.1699999999999999E-2</v>
      </c>
    </row>
    <row r="319" spans="52:52" x14ac:dyDescent="0.3">
      <c r="AZ319" s="216">
        <v>3.1800000000000002E-2</v>
      </c>
    </row>
    <row r="320" spans="52:52" x14ac:dyDescent="0.3">
      <c r="AZ320" s="216">
        <v>3.1899999999999998E-2</v>
      </c>
    </row>
    <row r="321" spans="52:52" x14ac:dyDescent="0.3">
      <c r="AZ321" s="216">
        <v>3.2000000000000001E-2</v>
      </c>
    </row>
    <row r="322" spans="52:52" x14ac:dyDescent="0.3">
      <c r="AZ322" s="216">
        <v>3.2099999999999997E-2</v>
      </c>
    </row>
    <row r="323" spans="52:52" x14ac:dyDescent="0.3">
      <c r="AZ323" s="216">
        <v>3.2199999999999999E-2</v>
      </c>
    </row>
    <row r="324" spans="52:52" x14ac:dyDescent="0.3">
      <c r="AZ324" s="216">
        <v>3.2300000000000002E-2</v>
      </c>
    </row>
    <row r="325" spans="52:52" x14ac:dyDescent="0.3">
      <c r="AZ325" s="216">
        <v>3.2399999999999998E-2</v>
      </c>
    </row>
    <row r="326" spans="52:52" x14ac:dyDescent="0.3">
      <c r="AZ326" s="216">
        <v>3.2500000000000001E-2</v>
      </c>
    </row>
    <row r="327" spans="52:52" x14ac:dyDescent="0.3">
      <c r="AZ327" s="216">
        <v>3.2599999999999997E-2</v>
      </c>
    </row>
    <row r="328" spans="52:52" x14ac:dyDescent="0.3">
      <c r="AZ328" s="216">
        <v>3.27E-2</v>
      </c>
    </row>
    <row r="329" spans="52:52" x14ac:dyDescent="0.3">
      <c r="AZ329" s="216">
        <v>3.2800000000000003E-2</v>
      </c>
    </row>
    <row r="330" spans="52:52" x14ac:dyDescent="0.3">
      <c r="AZ330" s="216">
        <v>3.2899999999999999E-2</v>
      </c>
    </row>
    <row r="331" spans="52:52" x14ac:dyDescent="0.3">
      <c r="AZ331" s="216">
        <v>3.3000000000000002E-2</v>
      </c>
    </row>
    <row r="332" spans="52:52" x14ac:dyDescent="0.3">
      <c r="AZ332" s="216">
        <v>3.3099999999999997E-2</v>
      </c>
    </row>
    <row r="333" spans="52:52" x14ac:dyDescent="0.3">
      <c r="AZ333" s="216">
        <v>3.32E-2</v>
      </c>
    </row>
    <row r="334" spans="52:52" x14ac:dyDescent="0.3">
      <c r="AZ334" s="216">
        <v>3.3300000000000003E-2</v>
      </c>
    </row>
    <row r="335" spans="52:52" x14ac:dyDescent="0.3">
      <c r="AZ335" s="216">
        <v>3.3399999999999999E-2</v>
      </c>
    </row>
    <row r="336" spans="52:52" x14ac:dyDescent="0.3">
      <c r="AZ336" s="216">
        <v>3.3500000000000002E-2</v>
      </c>
    </row>
    <row r="337" spans="52:52" x14ac:dyDescent="0.3">
      <c r="AZ337" s="216">
        <v>3.3599999999999998E-2</v>
      </c>
    </row>
    <row r="338" spans="52:52" x14ac:dyDescent="0.3">
      <c r="AZ338" s="216">
        <v>3.3700000000000001E-2</v>
      </c>
    </row>
    <row r="339" spans="52:52" x14ac:dyDescent="0.3">
      <c r="AZ339" s="216">
        <v>3.3799999999999997E-2</v>
      </c>
    </row>
    <row r="340" spans="52:52" x14ac:dyDescent="0.3">
      <c r="AZ340" s="216">
        <v>3.39E-2</v>
      </c>
    </row>
    <row r="341" spans="52:52" x14ac:dyDescent="0.3">
      <c r="AZ341" s="216">
        <v>3.4000000000000002E-2</v>
      </c>
    </row>
    <row r="342" spans="52:52" x14ac:dyDescent="0.3">
      <c r="AZ342" s="216">
        <v>3.4099999999999998E-2</v>
      </c>
    </row>
    <row r="343" spans="52:52" x14ac:dyDescent="0.3">
      <c r="AZ343" s="216">
        <v>3.4200000000000001E-2</v>
      </c>
    </row>
    <row r="344" spans="52:52" x14ac:dyDescent="0.3">
      <c r="AZ344" s="216">
        <v>3.4299999999999997E-2</v>
      </c>
    </row>
    <row r="345" spans="52:52" x14ac:dyDescent="0.3">
      <c r="AZ345" s="216">
        <v>3.44E-2</v>
      </c>
    </row>
    <row r="346" spans="52:52" x14ac:dyDescent="0.3">
      <c r="AZ346" s="216">
        <v>3.4500000000000003E-2</v>
      </c>
    </row>
    <row r="347" spans="52:52" x14ac:dyDescent="0.3">
      <c r="AZ347" s="216">
        <v>3.4599999999999999E-2</v>
      </c>
    </row>
    <row r="348" spans="52:52" x14ac:dyDescent="0.3">
      <c r="AZ348" s="216">
        <v>3.4700000000000002E-2</v>
      </c>
    </row>
    <row r="349" spans="52:52" x14ac:dyDescent="0.3">
      <c r="AZ349" s="216">
        <v>3.4799999999999998E-2</v>
      </c>
    </row>
    <row r="350" spans="52:52" x14ac:dyDescent="0.3">
      <c r="AZ350" s="216">
        <v>3.49E-2</v>
      </c>
    </row>
    <row r="351" spans="52:52" x14ac:dyDescent="0.3">
      <c r="AZ351" s="216">
        <v>3.5000000000000003E-2</v>
      </c>
    </row>
    <row r="352" spans="52:52" x14ac:dyDescent="0.3">
      <c r="AZ352" s="216">
        <v>3.5099999999999999E-2</v>
      </c>
    </row>
    <row r="353" spans="52:52" x14ac:dyDescent="0.3">
      <c r="AZ353" s="216">
        <v>3.5200000000000002E-2</v>
      </c>
    </row>
    <row r="354" spans="52:52" x14ac:dyDescent="0.3">
      <c r="AZ354" s="216">
        <v>3.5299999999999998E-2</v>
      </c>
    </row>
    <row r="355" spans="52:52" x14ac:dyDescent="0.3">
      <c r="AZ355" s="216">
        <v>3.5400000000000001E-2</v>
      </c>
    </row>
    <row r="356" spans="52:52" x14ac:dyDescent="0.3">
      <c r="AZ356" s="216">
        <v>3.5499999999999997E-2</v>
      </c>
    </row>
    <row r="357" spans="52:52" x14ac:dyDescent="0.3">
      <c r="AZ357" s="216">
        <v>3.56E-2</v>
      </c>
    </row>
    <row r="358" spans="52:52" x14ac:dyDescent="0.3">
      <c r="AZ358" s="216">
        <v>3.5700000000000003E-2</v>
      </c>
    </row>
    <row r="359" spans="52:52" x14ac:dyDescent="0.3">
      <c r="AZ359" s="216">
        <v>3.5799999999999998E-2</v>
      </c>
    </row>
    <row r="360" spans="52:52" x14ac:dyDescent="0.3">
      <c r="AZ360" s="216">
        <v>3.5900000000000001E-2</v>
      </c>
    </row>
    <row r="361" spans="52:52" x14ac:dyDescent="0.3">
      <c r="AZ361" s="216">
        <v>3.5999999999999997E-2</v>
      </c>
    </row>
    <row r="362" spans="52:52" x14ac:dyDescent="0.3">
      <c r="AZ362" s="216">
        <v>3.61E-2</v>
      </c>
    </row>
    <row r="363" spans="52:52" x14ac:dyDescent="0.3">
      <c r="AZ363" s="216">
        <v>3.6200000000000003E-2</v>
      </c>
    </row>
    <row r="364" spans="52:52" x14ac:dyDescent="0.3">
      <c r="AZ364" s="216">
        <v>3.6299999999999999E-2</v>
      </c>
    </row>
    <row r="365" spans="52:52" x14ac:dyDescent="0.3">
      <c r="AZ365" s="216">
        <v>3.6400000000000002E-2</v>
      </c>
    </row>
    <row r="366" spans="52:52" x14ac:dyDescent="0.3">
      <c r="AZ366" s="216">
        <v>3.6499999999999998E-2</v>
      </c>
    </row>
    <row r="367" spans="52:52" x14ac:dyDescent="0.3">
      <c r="AZ367" s="216">
        <v>3.6600000000000001E-2</v>
      </c>
    </row>
    <row r="368" spans="52:52" x14ac:dyDescent="0.3">
      <c r="AZ368" s="216">
        <v>3.6700000000000003E-2</v>
      </c>
    </row>
    <row r="369" spans="52:52" x14ac:dyDescent="0.3">
      <c r="AZ369" s="216">
        <v>3.6799999999999999E-2</v>
      </c>
    </row>
    <row r="370" spans="52:52" x14ac:dyDescent="0.3">
      <c r="AZ370" s="216">
        <v>3.6900000000000002E-2</v>
      </c>
    </row>
    <row r="371" spans="52:52" x14ac:dyDescent="0.3">
      <c r="AZ371" s="216">
        <v>3.6999999999999998E-2</v>
      </c>
    </row>
    <row r="372" spans="52:52" x14ac:dyDescent="0.3">
      <c r="AZ372" s="216">
        <v>3.7100000000000001E-2</v>
      </c>
    </row>
    <row r="373" spans="52:52" x14ac:dyDescent="0.3">
      <c r="AZ373" s="216">
        <v>3.7199999999999997E-2</v>
      </c>
    </row>
    <row r="374" spans="52:52" x14ac:dyDescent="0.3">
      <c r="AZ374" s="216">
        <v>3.73E-2</v>
      </c>
    </row>
    <row r="375" spans="52:52" x14ac:dyDescent="0.3">
      <c r="AZ375" s="216">
        <v>3.7400000000000003E-2</v>
      </c>
    </row>
    <row r="376" spans="52:52" x14ac:dyDescent="0.3">
      <c r="AZ376" s="216">
        <v>3.7499999999999999E-2</v>
      </c>
    </row>
    <row r="377" spans="52:52" x14ac:dyDescent="0.3">
      <c r="AZ377" s="216">
        <v>3.7600000000000001E-2</v>
      </c>
    </row>
    <row r="378" spans="52:52" x14ac:dyDescent="0.3">
      <c r="AZ378" s="216">
        <v>3.7699999999999997E-2</v>
      </c>
    </row>
    <row r="379" spans="52:52" x14ac:dyDescent="0.3">
      <c r="AZ379" s="216">
        <v>3.78E-2</v>
      </c>
    </row>
    <row r="380" spans="52:52" x14ac:dyDescent="0.3">
      <c r="AZ380" s="216">
        <v>3.7900000000000003E-2</v>
      </c>
    </row>
    <row r="381" spans="52:52" x14ac:dyDescent="0.3">
      <c r="AZ381" s="216">
        <v>3.7999999999999999E-2</v>
      </c>
    </row>
    <row r="382" spans="52:52" x14ac:dyDescent="0.3">
      <c r="AZ382" s="216">
        <v>3.8100000000000002E-2</v>
      </c>
    </row>
    <row r="383" spans="52:52" x14ac:dyDescent="0.3">
      <c r="AZ383" s="216">
        <v>3.8199999999999998E-2</v>
      </c>
    </row>
    <row r="384" spans="52:52" x14ac:dyDescent="0.3">
      <c r="AZ384" s="216">
        <v>3.8300000000000001E-2</v>
      </c>
    </row>
    <row r="385" spans="52:52" x14ac:dyDescent="0.3">
      <c r="AZ385" s="216">
        <v>3.8399999999999997E-2</v>
      </c>
    </row>
    <row r="386" spans="52:52" x14ac:dyDescent="0.3">
      <c r="AZ386" s="216">
        <v>3.85E-2</v>
      </c>
    </row>
    <row r="387" spans="52:52" x14ac:dyDescent="0.3">
      <c r="AZ387" s="216">
        <v>3.8600000000000002E-2</v>
      </c>
    </row>
    <row r="388" spans="52:52" x14ac:dyDescent="0.3">
      <c r="AZ388" s="216">
        <v>3.8699999999999998E-2</v>
      </c>
    </row>
    <row r="389" spans="52:52" x14ac:dyDescent="0.3">
      <c r="AZ389" s="216">
        <v>3.8800000000000001E-2</v>
      </c>
    </row>
    <row r="390" spans="52:52" x14ac:dyDescent="0.3">
      <c r="AZ390" s="216">
        <v>3.8899999999999997E-2</v>
      </c>
    </row>
    <row r="391" spans="52:52" x14ac:dyDescent="0.3">
      <c r="AZ391" s="216">
        <v>3.9E-2</v>
      </c>
    </row>
    <row r="392" spans="52:52" x14ac:dyDescent="0.3">
      <c r="AZ392" s="216">
        <v>3.9100000000000003E-2</v>
      </c>
    </row>
    <row r="393" spans="52:52" x14ac:dyDescent="0.3">
      <c r="AZ393" s="216">
        <v>3.9199999999999999E-2</v>
      </c>
    </row>
    <row r="394" spans="52:52" x14ac:dyDescent="0.3">
      <c r="AZ394" s="216">
        <v>3.9300000000000002E-2</v>
      </c>
    </row>
    <row r="395" spans="52:52" x14ac:dyDescent="0.3">
      <c r="AZ395" s="216">
        <v>3.9399999999999998E-2</v>
      </c>
    </row>
    <row r="396" spans="52:52" x14ac:dyDescent="0.3">
      <c r="AZ396" s="216">
        <v>3.95E-2</v>
      </c>
    </row>
    <row r="397" spans="52:52" x14ac:dyDescent="0.3">
      <c r="AZ397" s="216">
        <v>3.9600000000000003E-2</v>
      </c>
    </row>
    <row r="398" spans="52:52" x14ac:dyDescent="0.3">
      <c r="AZ398" s="216">
        <v>3.9699999999999999E-2</v>
      </c>
    </row>
    <row r="399" spans="52:52" x14ac:dyDescent="0.3">
      <c r="AZ399" s="216">
        <v>3.9800000000000002E-2</v>
      </c>
    </row>
    <row r="400" spans="52:52" x14ac:dyDescent="0.3">
      <c r="AZ400" s="216">
        <v>3.9899999999999998E-2</v>
      </c>
    </row>
    <row r="401" spans="52:52" x14ac:dyDescent="0.3">
      <c r="AZ401" s="216">
        <v>0.04</v>
      </c>
    </row>
    <row r="402" spans="52:52" x14ac:dyDescent="0.3">
      <c r="AZ402" s="216">
        <v>4.0099999999999997E-2</v>
      </c>
    </row>
    <row r="403" spans="52:52" x14ac:dyDescent="0.3">
      <c r="AZ403" s="216">
        <v>4.02E-2</v>
      </c>
    </row>
    <row r="404" spans="52:52" x14ac:dyDescent="0.3">
      <c r="AZ404" s="216">
        <v>4.0300000000000002E-2</v>
      </c>
    </row>
    <row r="405" spans="52:52" x14ac:dyDescent="0.3">
      <c r="AZ405" s="216">
        <v>4.0399999999999998E-2</v>
      </c>
    </row>
    <row r="406" spans="52:52" x14ac:dyDescent="0.3">
      <c r="AZ406" s="216">
        <v>4.0500000000000001E-2</v>
      </c>
    </row>
    <row r="407" spans="52:52" x14ac:dyDescent="0.3">
      <c r="AZ407" s="216">
        <v>4.0599999999999997E-2</v>
      </c>
    </row>
    <row r="408" spans="52:52" x14ac:dyDescent="0.3">
      <c r="AZ408" s="216">
        <v>4.07E-2</v>
      </c>
    </row>
    <row r="409" spans="52:52" x14ac:dyDescent="0.3">
      <c r="AZ409" s="216">
        <v>4.0800000000000003E-2</v>
      </c>
    </row>
    <row r="410" spans="52:52" x14ac:dyDescent="0.3">
      <c r="AZ410" s="216">
        <v>4.0899999999999999E-2</v>
      </c>
    </row>
    <row r="411" spans="52:52" x14ac:dyDescent="0.3">
      <c r="AZ411" s="216">
        <v>4.1000000000000002E-2</v>
      </c>
    </row>
    <row r="412" spans="52:52" x14ac:dyDescent="0.3">
      <c r="AZ412" s="216">
        <v>4.1099999999999998E-2</v>
      </c>
    </row>
    <row r="413" spans="52:52" x14ac:dyDescent="0.3">
      <c r="AZ413" s="216">
        <v>4.1200000000000001E-2</v>
      </c>
    </row>
    <row r="414" spans="52:52" x14ac:dyDescent="0.3">
      <c r="AZ414" s="216">
        <v>4.1300000000000003E-2</v>
      </c>
    </row>
    <row r="415" spans="52:52" x14ac:dyDescent="0.3">
      <c r="AZ415" s="216">
        <v>4.1399999999999999E-2</v>
      </c>
    </row>
    <row r="416" spans="52:52" x14ac:dyDescent="0.3">
      <c r="AZ416" s="216">
        <v>4.1500000000000002E-2</v>
      </c>
    </row>
    <row r="417" spans="52:52" x14ac:dyDescent="0.3">
      <c r="AZ417" s="216">
        <v>4.1599999999999998E-2</v>
      </c>
    </row>
    <row r="418" spans="52:52" x14ac:dyDescent="0.3">
      <c r="AZ418" s="216">
        <v>4.1700000000000001E-2</v>
      </c>
    </row>
    <row r="419" spans="52:52" x14ac:dyDescent="0.3">
      <c r="AZ419" s="216">
        <v>4.1799999999999997E-2</v>
      </c>
    </row>
    <row r="420" spans="52:52" x14ac:dyDescent="0.3">
      <c r="AZ420" s="216">
        <v>4.19E-2</v>
      </c>
    </row>
    <row r="421" spans="52:52" x14ac:dyDescent="0.3">
      <c r="AZ421" s="216">
        <v>4.2000000000000003E-2</v>
      </c>
    </row>
    <row r="422" spans="52:52" x14ac:dyDescent="0.3">
      <c r="AZ422" s="216">
        <v>4.2099999999999999E-2</v>
      </c>
    </row>
    <row r="423" spans="52:52" x14ac:dyDescent="0.3">
      <c r="AZ423" s="216">
        <v>4.2200000000000001E-2</v>
      </c>
    </row>
    <row r="424" spans="52:52" x14ac:dyDescent="0.3">
      <c r="AZ424" s="216">
        <v>4.2299999999999997E-2</v>
      </c>
    </row>
    <row r="425" spans="52:52" x14ac:dyDescent="0.3">
      <c r="AZ425" s="216">
        <v>4.24E-2</v>
      </c>
    </row>
    <row r="426" spans="52:52" x14ac:dyDescent="0.3">
      <c r="AZ426" s="216">
        <v>4.2500000000000003E-2</v>
      </c>
    </row>
    <row r="427" spans="52:52" x14ac:dyDescent="0.3">
      <c r="AZ427" s="216">
        <v>4.2599999999999999E-2</v>
      </c>
    </row>
    <row r="428" spans="52:52" x14ac:dyDescent="0.3">
      <c r="AZ428" s="216">
        <v>4.2700000000000002E-2</v>
      </c>
    </row>
    <row r="429" spans="52:52" x14ac:dyDescent="0.3">
      <c r="AZ429" s="216">
        <v>4.2799999999999998E-2</v>
      </c>
    </row>
    <row r="430" spans="52:52" x14ac:dyDescent="0.3">
      <c r="AZ430" s="216">
        <v>4.2900000000000001E-2</v>
      </c>
    </row>
    <row r="431" spans="52:52" x14ac:dyDescent="0.3">
      <c r="AZ431" s="216">
        <v>4.2999999999999997E-2</v>
      </c>
    </row>
    <row r="432" spans="52:52" x14ac:dyDescent="0.3">
      <c r="AZ432" s="216">
        <v>4.3099999999999999E-2</v>
      </c>
    </row>
    <row r="433" spans="52:52" x14ac:dyDescent="0.3">
      <c r="AZ433" s="216">
        <v>4.3200000000000002E-2</v>
      </c>
    </row>
    <row r="434" spans="52:52" x14ac:dyDescent="0.3">
      <c r="AZ434" s="216">
        <v>4.3299999999999998E-2</v>
      </c>
    </row>
    <row r="435" spans="52:52" x14ac:dyDescent="0.3">
      <c r="AZ435" s="216">
        <v>4.3400000000000001E-2</v>
      </c>
    </row>
    <row r="436" spans="52:52" x14ac:dyDescent="0.3">
      <c r="AZ436" s="216">
        <v>4.3499999999999997E-2</v>
      </c>
    </row>
    <row r="437" spans="52:52" x14ac:dyDescent="0.3">
      <c r="AZ437" s="216">
        <v>4.36E-2</v>
      </c>
    </row>
    <row r="438" spans="52:52" x14ac:dyDescent="0.3">
      <c r="AZ438" s="216">
        <v>4.3700000000000003E-2</v>
      </c>
    </row>
    <row r="439" spans="52:52" x14ac:dyDescent="0.3">
      <c r="AZ439" s="216">
        <v>4.3799999999999999E-2</v>
      </c>
    </row>
    <row r="440" spans="52:52" x14ac:dyDescent="0.3">
      <c r="AZ440" s="216">
        <v>4.3900000000000002E-2</v>
      </c>
    </row>
    <row r="441" spans="52:52" x14ac:dyDescent="0.3">
      <c r="AZ441" s="216">
        <v>4.3999999999999997E-2</v>
      </c>
    </row>
    <row r="442" spans="52:52" x14ac:dyDescent="0.3">
      <c r="AZ442" s="216">
        <v>4.41E-2</v>
      </c>
    </row>
    <row r="443" spans="52:52" x14ac:dyDescent="0.3">
      <c r="AZ443" s="216">
        <v>4.4200000000000003E-2</v>
      </c>
    </row>
    <row r="444" spans="52:52" x14ac:dyDescent="0.3">
      <c r="AZ444" s="216">
        <v>4.4299999999999999E-2</v>
      </c>
    </row>
    <row r="445" spans="52:52" x14ac:dyDescent="0.3">
      <c r="AZ445" s="216">
        <v>4.4400000000000002E-2</v>
      </c>
    </row>
    <row r="446" spans="52:52" x14ac:dyDescent="0.3">
      <c r="AZ446" s="216">
        <v>4.4499999999999998E-2</v>
      </c>
    </row>
    <row r="447" spans="52:52" x14ac:dyDescent="0.3">
      <c r="AZ447" s="216">
        <v>4.4600000000000001E-2</v>
      </c>
    </row>
    <row r="448" spans="52:52" x14ac:dyDescent="0.3">
      <c r="AZ448" s="216">
        <v>4.4699999999999997E-2</v>
      </c>
    </row>
    <row r="449" spans="52:52" x14ac:dyDescent="0.3">
      <c r="AZ449" s="216">
        <v>4.48E-2</v>
      </c>
    </row>
    <row r="450" spans="52:52" x14ac:dyDescent="0.3">
      <c r="AZ450" s="216">
        <v>4.4900000000000002E-2</v>
      </c>
    </row>
    <row r="451" spans="52:52" x14ac:dyDescent="0.3">
      <c r="AZ451" s="216">
        <v>4.4999999999999998E-2</v>
      </c>
    </row>
    <row r="452" spans="52:52" x14ac:dyDescent="0.3">
      <c r="AZ452" s="216">
        <v>4.5100000000000001E-2</v>
      </c>
    </row>
    <row r="453" spans="52:52" x14ac:dyDescent="0.3">
      <c r="AZ453" s="216">
        <v>4.5199999999999997E-2</v>
      </c>
    </row>
    <row r="454" spans="52:52" x14ac:dyDescent="0.3">
      <c r="AZ454" s="216">
        <v>4.53E-2</v>
      </c>
    </row>
    <row r="455" spans="52:52" x14ac:dyDescent="0.3">
      <c r="AZ455" s="216">
        <v>4.5400000000000003E-2</v>
      </c>
    </row>
    <row r="456" spans="52:52" x14ac:dyDescent="0.3">
      <c r="AZ456" s="216">
        <v>4.5499999999999999E-2</v>
      </c>
    </row>
    <row r="457" spans="52:52" x14ac:dyDescent="0.3">
      <c r="AZ457" s="216">
        <v>4.5600000000000002E-2</v>
      </c>
    </row>
    <row r="458" spans="52:52" x14ac:dyDescent="0.3">
      <c r="AZ458" s="216">
        <v>4.5699999999999998E-2</v>
      </c>
    </row>
    <row r="459" spans="52:52" x14ac:dyDescent="0.3">
      <c r="AZ459" s="216">
        <v>4.58E-2</v>
      </c>
    </row>
    <row r="460" spans="52:52" x14ac:dyDescent="0.3">
      <c r="AZ460" s="216">
        <v>4.5900000000000003E-2</v>
      </c>
    </row>
    <row r="461" spans="52:52" x14ac:dyDescent="0.3">
      <c r="AZ461" s="216">
        <v>4.5999999999999999E-2</v>
      </c>
    </row>
    <row r="462" spans="52:52" x14ac:dyDescent="0.3">
      <c r="AZ462" s="216">
        <v>4.6100000000000002E-2</v>
      </c>
    </row>
    <row r="463" spans="52:52" x14ac:dyDescent="0.3">
      <c r="AZ463" s="216">
        <v>4.6199999999999998E-2</v>
      </c>
    </row>
    <row r="464" spans="52:52" x14ac:dyDescent="0.3">
      <c r="AZ464" s="216">
        <v>4.6300000000000001E-2</v>
      </c>
    </row>
    <row r="465" spans="52:52" x14ac:dyDescent="0.3">
      <c r="AZ465" s="216">
        <v>4.6399999999999997E-2</v>
      </c>
    </row>
    <row r="466" spans="52:52" x14ac:dyDescent="0.3">
      <c r="AZ466" s="216">
        <v>4.65E-2</v>
      </c>
    </row>
    <row r="467" spans="52:52" x14ac:dyDescent="0.3">
      <c r="AZ467" s="216">
        <v>4.6600000000000003E-2</v>
      </c>
    </row>
    <row r="468" spans="52:52" x14ac:dyDescent="0.3">
      <c r="AZ468" s="216">
        <v>4.6699999999999998E-2</v>
      </c>
    </row>
    <row r="469" spans="52:52" x14ac:dyDescent="0.3">
      <c r="AZ469" s="216">
        <v>4.6800000000000001E-2</v>
      </c>
    </row>
    <row r="470" spans="52:52" x14ac:dyDescent="0.3">
      <c r="AZ470" s="216">
        <v>4.6899999999999997E-2</v>
      </c>
    </row>
    <row r="471" spans="52:52" x14ac:dyDescent="0.3">
      <c r="AZ471" s="216">
        <v>4.7E-2</v>
      </c>
    </row>
    <row r="472" spans="52:52" x14ac:dyDescent="0.3">
      <c r="AZ472" s="216">
        <v>4.7100000000000003E-2</v>
      </c>
    </row>
    <row r="473" spans="52:52" x14ac:dyDescent="0.3">
      <c r="AZ473" s="216">
        <v>4.7199999999999999E-2</v>
      </c>
    </row>
    <row r="474" spans="52:52" x14ac:dyDescent="0.3">
      <c r="AZ474" s="216">
        <v>4.7300000000000002E-2</v>
      </c>
    </row>
    <row r="475" spans="52:52" x14ac:dyDescent="0.3">
      <c r="AZ475" s="216">
        <v>4.7399999999999998E-2</v>
      </c>
    </row>
    <row r="476" spans="52:52" x14ac:dyDescent="0.3">
      <c r="AZ476" s="216">
        <v>4.7500000000000001E-2</v>
      </c>
    </row>
    <row r="477" spans="52:52" x14ac:dyDescent="0.3">
      <c r="AZ477" s="216">
        <v>4.7600000000000003E-2</v>
      </c>
    </row>
    <row r="478" spans="52:52" x14ac:dyDescent="0.3">
      <c r="AZ478" s="216">
        <v>4.7699999999999999E-2</v>
      </c>
    </row>
    <row r="479" spans="52:52" x14ac:dyDescent="0.3">
      <c r="AZ479" s="216">
        <v>4.7800000000000002E-2</v>
      </c>
    </row>
    <row r="480" spans="52:52" x14ac:dyDescent="0.3">
      <c r="AZ480" s="216">
        <v>4.7899999999999998E-2</v>
      </c>
    </row>
    <row r="481" spans="52:52" x14ac:dyDescent="0.3">
      <c r="AZ481" s="216">
        <v>4.8000000000000001E-2</v>
      </c>
    </row>
    <row r="482" spans="52:52" x14ac:dyDescent="0.3">
      <c r="AZ482" s="216">
        <v>4.8099999999999997E-2</v>
      </c>
    </row>
    <row r="483" spans="52:52" x14ac:dyDescent="0.3">
      <c r="AZ483" s="216">
        <v>4.82E-2</v>
      </c>
    </row>
    <row r="484" spans="52:52" x14ac:dyDescent="0.3">
      <c r="AZ484" s="216">
        <v>4.8300000000000003E-2</v>
      </c>
    </row>
    <row r="485" spans="52:52" x14ac:dyDescent="0.3">
      <c r="AZ485" s="216">
        <v>4.8399999999999999E-2</v>
      </c>
    </row>
    <row r="486" spans="52:52" x14ac:dyDescent="0.3">
      <c r="AZ486" s="216">
        <v>4.8500000000000001E-2</v>
      </c>
    </row>
    <row r="487" spans="52:52" x14ac:dyDescent="0.3">
      <c r="AZ487" s="216">
        <v>4.8599999999999997E-2</v>
      </c>
    </row>
    <row r="488" spans="52:52" x14ac:dyDescent="0.3">
      <c r="AZ488" s="216">
        <v>4.87E-2</v>
      </c>
    </row>
    <row r="489" spans="52:52" x14ac:dyDescent="0.3">
      <c r="AZ489" s="216">
        <v>4.8800000000000003E-2</v>
      </c>
    </row>
    <row r="490" spans="52:52" x14ac:dyDescent="0.3">
      <c r="AZ490" s="216">
        <v>4.8899999999999999E-2</v>
      </c>
    </row>
    <row r="491" spans="52:52" x14ac:dyDescent="0.3">
      <c r="AZ491" s="216">
        <v>4.9000000000000002E-2</v>
      </c>
    </row>
    <row r="492" spans="52:52" x14ac:dyDescent="0.3">
      <c r="AZ492" s="216">
        <v>4.9099999999999998E-2</v>
      </c>
    </row>
    <row r="493" spans="52:52" x14ac:dyDescent="0.3">
      <c r="AZ493" s="216">
        <v>4.9200000000000001E-2</v>
      </c>
    </row>
    <row r="494" spans="52:52" x14ac:dyDescent="0.3">
      <c r="AZ494" s="216">
        <v>4.9299999999999997E-2</v>
      </c>
    </row>
    <row r="495" spans="52:52" x14ac:dyDescent="0.3">
      <c r="AZ495" s="216">
        <v>4.9399999999999999E-2</v>
      </c>
    </row>
    <row r="496" spans="52:52" x14ac:dyDescent="0.3">
      <c r="AZ496" s="216">
        <v>4.9500000000000002E-2</v>
      </c>
    </row>
    <row r="497" spans="52:52" x14ac:dyDescent="0.3">
      <c r="AZ497" s="216">
        <v>4.9599999999999998E-2</v>
      </c>
    </row>
    <row r="498" spans="52:52" x14ac:dyDescent="0.3">
      <c r="AZ498" s="216">
        <v>4.9700000000000001E-2</v>
      </c>
    </row>
    <row r="499" spans="52:52" x14ac:dyDescent="0.3">
      <c r="AZ499" s="216">
        <v>4.9799999999999997E-2</v>
      </c>
    </row>
    <row r="500" spans="52:52" x14ac:dyDescent="0.3">
      <c r="AZ500" s="216">
        <v>4.99E-2</v>
      </c>
    </row>
    <row r="501" spans="52:52" x14ac:dyDescent="0.3">
      <c r="AZ501" s="216">
        <v>0.05</v>
      </c>
    </row>
    <row r="502" spans="52:52" x14ac:dyDescent="0.3">
      <c r="AZ502" s="216">
        <v>5.0099999999999999E-2</v>
      </c>
    </row>
    <row r="503" spans="52:52" x14ac:dyDescent="0.3">
      <c r="AZ503" s="216">
        <v>5.0200000000000002E-2</v>
      </c>
    </row>
    <row r="504" spans="52:52" x14ac:dyDescent="0.3">
      <c r="AZ504" s="216">
        <v>5.0299999999999997E-2</v>
      </c>
    </row>
    <row r="505" spans="52:52" x14ac:dyDescent="0.3">
      <c r="AZ505" s="216">
        <v>5.04E-2</v>
      </c>
    </row>
    <row r="506" spans="52:52" x14ac:dyDescent="0.3">
      <c r="AZ506" s="216">
        <v>5.0500000000000003E-2</v>
      </c>
    </row>
    <row r="507" spans="52:52" x14ac:dyDescent="0.3">
      <c r="AZ507" s="216">
        <v>5.0599999999999999E-2</v>
      </c>
    </row>
    <row r="508" spans="52:52" x14ac:dyDescent="0.3">
      <c r="AZ508" s="216">
        <v>5.0700000000000002E-2</v>
      </c>
    </row>
    <row r="509" spans="52:52" x14ac:dyDescent="0.3">
      <c r="AZ509" s="216">
        <v>5.0799999999999998E-2</v>
      </c>
    </row>
    <row r="510" spans="52:52" x14ac:dyDescent="0.3">
      <c r="AZ510" s="216">
        <v>5.0900000000000001E-2</v>
      </c>
    </row>
    <row r="511" spans="52:52" x14ac:dyDescent="0.3">
      <c r="AZ511" s="216">
        <v>5.0999999999999997E-2</v>
      </c>
    </row>
    <row r="512" spans="52:52" x14ac:dyDescent="0.3">
      <c r="AZ512" s="216">
        <v>5.11E-2</v>
      </c>
    </row>
    <row r="513" spans="52:52" x14ac:dyDescent="0.3">
      <c r="AZ513" s="216">
        <v>5.1200000000000002E-2</v>
      </c>
    </row>
    <row r="514" spans="52:52" x14ac:dyDescent="0.3">
      <c r="AZ514" s="216">
        <v>5.1299999999999998E-2</v>
      </c>
    </row>
    <row r="515" spans="52:52" x14ac:dyDescent="0.3">
      <c r="AZ515" s="216">
        <v>5.1400000000000001E-2</v>
      </c>
    </row>
    <row r="516" spans="52:52" x14ac:dyDescent="0.3">
      <c r="AZ516" s="216">
        <v>5.1499999999999997E-2</v>
      </c>
    </row>
    <row r="517" spans="52:52" x14ac:dyDescent="0.3">
      <c r="AZ517" s="216">
        <v>5.16E-2</v>
      </c>
    </row>
    <row r="518" spans="52:52" x14ac:dyDescent="0.3">
      <c r="AZ518" s="216">
        <v>5.1700000000000003E-2</v>
      </c>
    </row>
    <row r="519" spans="52:52" x14ac:dyDescent="0.3">
      <c r="AZ519" s="216">
        <v>5.1799999999999999E-2</v>
      </c>
    </row>
    <row r="520" spans="52:52" x14ac:dyDescent="0.3">
      <c r="AZ520" s="216">
        <v>5.1900000000000002E-2</v>
      </c>
    </row>
    <row r="521" spans="52:52" x14ac:dyDescent="0.3">
      <c r="AZ521" s="216">
        <v>5.1999999999999998E-2</v>
      </c>
    </row>
    <row r="522" spans="52:52" x14ac:dyDescent="0.3">
      <c r="AZ522" s="216">
        <v>5.21E-2</v>
      </c>
    </row>
    <row r="523" spans="52:52" x14ac:dyDescent="0.3">
      <c r="AZ523" s="216">
        <v>5.2200000000000003E-2</v>
      </c>
    </row>
    <row r="524" spans="52:52" x14ac:dyDescent="0.3">
      <c r="AZ524" s="216">
        <v>5.2299999999999999E-2</v>
      </c>
    </row>
    <row r="525" spans="52:52" x14ac:dyDescent="0.3">
      <c r="AZ525" s="216">
        <v>5.2400000000000002E-2</v>
      </c>
    </row>
    <row r="526" spans="52:52" x14ac:dyDescent="0.3">
      <c r="AZ526" s="216">
        <v>5.2499999999999998E-2</v>
      </c>
    </row>
    <row r="527" spans="52:52" x14ac:dyDescent="0.3">
      <c r="AZ527" s="216">
        <v>5.2600000000000001E-2</v>
      </c>
    </row>
    <row r="528" spans="52:52" x14ac:dyDescent="0.3">
      <c r="AZ528" s="216">
        <v>5.2699999999999997E-2</v>
      </c>
    </row>
    <row r="529" spans="52:52" x14ac:dyDescent="0.3">
      <c r="AZ529" s="216">
        <v>5.28E-2</v>
      </c>
    </row>
    <row r="530" spans="52:52" x14ac:dyDescent="0.3">
      <c r="AZ530" s="216">
        <v>5.2900000000000003E-2</v>
      </c>
    </row>
    <row r="531" spans="52:52" x14ac:dyDescent="0.3">
      <c r="AZ531" s="216">
        <v>5.2999999999999999E-2</v>
      </c>
    </row>
    <row r="532" spans="52:52" x14ac:dyDescent="0.3">
      <c r="AZ532" s="216">
        <v>5.3100000000000001E-2</v>
      </c>
    </row>
    <row r="533" spans="52:52" x14ac:dyDescent="0.3">
      <c r="AZ533" s="216">
        <v>5.3199999999999997E-2</v>
      </c>
    </row>
    <row r="534" spans="52:52" x14ac:dyDescent="0.3">
      <c r="AZ534" s="216">
        <v>5.33E-2</v>
      </c>
    </row>
    <row r="535" spans="52:52" x14ac:dyDescent="0.3">
      <c r="AZ535" s="216">
        <v>5.3400000000000003E-2</v>
      </c>
    </row>
    <row r="536" spans="52:52" x14ac:dyDescent="0.3">
      <c r="AZ536" s="216">
        <v>5.3499999999999999E-2</v>
      </c>
    </row>
    <row r="537" spans="52:52" x14ac:dyDescent="0.3">
      <c r="AZ537" s="216">
        <v>5.3600000000000002E-2</v>
      </c>
    </row>
    <row r="538" spans="52:52" x14ac:dyDescent="0.3">
      <c r="AZ538" s="216">
        <v>5.3699999999999998E-2</v>
      </c>
    </row>
    <row r="539" spans="52:52" x14ac:dyDescent="0.3">
      <c r="AZ539" s="216">
        <v>5.3800000000000001E-2</v>
      </c>
    </row>
    <row r="540" spans="52:52" x14ac:dyDescent="0.3">
      <c r="AZ540" s="216">
        <v>5.3900000000000003E-2</v>
      </c>
    </row>
    <row r="541" spans="52:52" x14ac:dyDescent="0.3">
      <c r="AZ541" s="216">
        <v>5.3999999999999999E-2</v>
      </c>
    </row>
    <row r="542" spans="52:52" x14ac:dyDescent="0.3">
      <c r="AZ542" s="216">
        <v>5.4100000000000002E-2</v>
      </c>
    </row>
    <row r="543" spans="52:52" x14ac:dyDescent="0.3">
      <c r="AZ543" s="216">
        <v>5.4199999999999998E-2</v>
      </c>
    </row>
    <row r="544" spans="52:52" x14ac:dyDescent="0.3">
      <c r="AZ544" s="216">
        <v>5.4300000000000001E-2</v>
      </c>
    </row>
    <row r="545" spans="52:52" x14ac:dyDescent="0.3">
      <c r="AZ545" s="216">
        <v>5.4399999999999997E-2</v>
      </c>
    </row>
    <row r="546" spans="52:52" x14ac:dyDescent="0.3">
      <c r="AZ546" s="216">
        <v>5.45E-2</v>
      </c>
    </row>
    <row r="547" spans="52:52" x14ac:dyDescent="0.3">
      <c r="AZ547" s="216">
        <v>5.4600000000000003E-2</v>
      </c>
    </row>
    <row r="548" spans="52:52" x14ac:dyDescent="0.3">
      <c r="AZ548" s="216">
        <v>5.4699999999999999E-2</v>
      </c>
    </row>
    <row r="549" spans="52:52" x14ac:dyDescent="0.3">
      <c r="AZ549" s="216">
        <v>5.4800000000000001E-2</v>
      </c>
    </row>
    <row r="550" spans="52:52" x14ac:dyDescent="0.3">
      <c r="AZ550" s="216">
        <v>5.4899999999999997E-2</v>
      </c>
    </row>
    <row r="551" spans="52:52" x14ac:dyDescent="0.3">
      <c r="AZ551" s="216">
        <v>5.5E-2</v>
      </c>
    </row>
    <row r="552" spans="52:52" x14ac:dyDescent="0.3">
      <c r="AZ552" s="216">
        <v>5.5100000000000003E-2</v>
      </c>
    </row>
    <row r="553" spans="52:52" x14ac:dyDescent="0.3">
      <c r="AZ553" s="216">
        <v>5.5199999999999999E-2</v>
      </c>
    </row>
    <row r="554" spans="52:52" x14ac:dyDescent="0.3">
      <c r="AZ554" s="216">
        <v>5.5300000000000002E-2</v>
      </c>
    </row>
    <row r="555" spans="52:52" x14ac:dyDescent="0.3">
      <c r="AZ555" s="216">
        <v>5.5399999999999998E-2</v>
      </c>
    </row>
    <row r="556" spans="52:52" x14ac:dyDescent="0.3">
      <c r="AZ556" s="216">
        <v>5.5500000000000001E-2</v>
      </c>
    </row>
    <row r="557" spans="52:52" x14ac:dyDescent="0.3">
      <c r="AZ557" s="216">
        <v>5.5599999999999997E-2</v>
      </c>
    </row>
    <row r="558" spans="52:52" x14ac:dyDescent="0.3">
      <c r="AZ558" s="216">
        <v>5.57E-2</v>
      </c>
    </row>
    <row r="559" spans="52:52" x14ac:dyDescent="0.3">
      <c r="AZ559" s="216">
        <v>5.5800000000000002E-2</v>
      </c>
    </row>
    <row r="560" spans="52:52" x14ac:dyDescent="0.3">
      <c r="AZ560" s="216">
        <v>5.5899999999999998E-2</v>
      </c>
    </row>
    <row r="561" spans="52:52" x14ac:dyDescent="0.3">
      <c r="AZ561" s="216">
        <v>5.6000000000000001E-2</v>
      </c>
    </row>
    <row r="562" spans="52:52" x14ac:dyDescent="0.3">
      <c r="AZ562" s="216">
        <v>5.6099999999999997E-2</v>
      </c>
    </row>
    <row r="563" spans="52:52" x14ac:dyDescent="0.3">
      <c r="AZ563" s="216">
        <v>5.62E-2</v>
      </c>
    </row>
    <row r="564" spans="52:52" x14ac:dyDescent="0.3">
      <c r="AZ564" s="216">
        <v>5.6300000000000003E-2</v>
      </c>
    </row>
    <row r="565" spans="52:52" x14ac:dyDescent="0.3">
      <c r="AZ565" s="216">
        <v>5.6399999999999999E-2</v>
      </c>
    </row>
    <row r="566" spans="52:52" x14ac:dyDescent="0.3">
      <c r="AZ566" s="216">
        <v>5.6500000000000002E-2</v>
      </c>
    </row>
    <row r="567" spans="52:52" x14ac:dyDescent="0.3">
      <c r="AZ567" s="216">
        <v>5.6599999999999998E-2</v>
      </c>
    </row>
    <row r="568" spans="52:52" x14ac:dyDescent="0.3">
      <c r="AZ568" s="216">
        <v>5.67E-2</v>
      </c>
    </row>
    <row r="569" spans="52:52" x14ac:dyDescent="0.3">
      <c r="AZ569" s="216">
        <v>5.6800000000000003E-2</v>
      </c>
    </row>
    <row r="570" spans="52:52" x14ac:dyDescent="0.3">
      <c r="AZ570" s="216">
        <v>5.6899999999999999E-2</v>
      </c>
    </row>
    <row r="571" spans="52:52" x14ac:dyDescent="0.3">
      <c r="AZ571" s="216">
        <v>5.7000000000000002E-2</v>
      </c>
    </row>
    <row r="572" spans="52:52" x14ac:dyDescent="0.3">
      <c r="AZ572" s="216">
        <v>5.7099999999999998E-2</v>
      </c>
    </row>
    <row r="573" spans="52:52" x14ac:dyDescent="0.3">
      <c r="AZ573" s="216">
        <v>5.7200000000000001E-2</v>
      </c>
    </row>
    <row r="574" spans="52:52" x14ac:dyDescent="0.3">
      <c r="AZ574" s="216">
        <v>5.7299999999999997E-2</v>
      </c>
    </row>
    <row r="575" spans="52:52" x14ac:dyDescent="0.3">
      <c r="AZ575" s="216">
        <v>5.74E-2</v>
      </c>
    </row>
    <row r="576" spans="52:52" x14ac:dyDescent="0.3">
      <c r="AZ576" s="216">
        <v>5.7500000000000002E-2</v>
      </c>
    </row>
    <row r="577" spans="52:52" x14ac:dyDescent="0.3">
      <c r="AZ577" s="216">
        <v>5.7599999999999998E-2</v>
      </c>
    </row>
    <row r="578" spans="52:52" x14ac:dyDescent="0.3">
      <c r="AZ578" s="216">
        <v>5.7700000000000001E-2</v>
      </c>
    </row>
    <row r="579" spans="52:52" x14ac:dyDescent="0.3">
      <c r="AZ579" s="216">
        <v>5.7799999999999997E-2</v>
      </c>
    </row>
    <row r="580" spans="52:52" x14ac:dyDescent="0.3">
      <c r="AZ580" s="216">
        <v>5.79E-2</v>
      </c>
    </row>
    <row r="581" spans="52:52" x14ac:dyDescent="0.3">
      <c r="AZ581" s="216">
        <v>5.8000000000000003E-2</v>
      </c>
    </row>
    <row r="582" spans="52:52" x14ac:dyDescent="0.3">
      <c r="AZ582" s="216">
        <v>5.8099999999999999E-2</v>
      </c>
    </row>
    <row r="583" spans="52:52" x14ac:dyDescent="0.3">
      <c r="AZ583" s="216">
        <v>5.8200000000000002E-2</v>
      </c>
    </row>
    <row r="584" spans="52:52" x14ac:dyDescent="0.3">
      <c r="AZ584" s="216">
        <v>5.8299999999999998E-2</v>
      </c>
    </row>
    <row r="585" spans="52:52" x14ac:dyDescent="0.3">
      <c r="AZ585" s="216">
        <v>5.8400000000000001E-2</v>
      </c>
    </row>
    <row r="586" spans="52:52" x14ac:dyDescent="0.3">
      <c r="AZ586" s="216">
        <v>5.8500000000000003E-2</v>
      </c>
    </row>
    <row r="587" spans="52:52" x14ac:dyDescent="0.3">
      <c r="AZ587" s="216">
        <v>5.8599999999999999E-2</v>
      </c>
    </row>
    <row r="588" spans="52:52" x14ac:dyDescent="0.3">
      <c r="AZ588" s="216">
        <v>5.8700000000000002E-2</v>
      </c>
    </row>
    <row r="589" spans="52:52" x14ac:dyDescent="0.3">
      <c r="AZ589" s="216">
        <v>5.8799999999999998E-2</v>
      </c>
    </row>
    <row r="590" spans="52:52" x14ac:dyDescent="0.3">
      <c r="AZ590" s="216">
        <v>5.8900000000000001E-2</v>
      </c>
    </row>
    <row r="591" spans="52:52" x14ac:dyDescent="0.3">
      <c r="AZ591" s="216">
        <v>5.8999999999999997E-2</v>
      </c>
    </row>
    <row r="592" spans="52:52" x14ac:dyDescent="0.3">
      <c r="AZ592" s="216">
        <v>5.91E-2</v>
      </c>
    </row>
    <row r="593" spans="52:52" x14ac:dyDescent="0.3">
      <c r="AZ593" s="216">
        <v>5.9200000000000003E-2</v>
      </c>
    </row>
    <row r="594" spans="52:52" x14ac:dyDescent="0.3">
      <c r="AZ594" s="216">
        <v>5.9299999999999999E-2</v>
      </c>
    </row>
    <row r="595" spans="52:52" x14ac:dyDescent="0.3">
      <c r="AZ595" s="216">
        <v>5.9400000000000001E-2</v>
      </c>
    </row>
    <row r="596" spans="52:52" x14ac:dyDescent="0.3">
      <c r="AZ596" s="216">
        <v>5.9499999999999997E-2</v>
      </c>
    </row>
    <row r="597" spans="52:52" x14ac:dyDescent="0.3">
      <c r="AZ597" s="216">
        <v>5.96E-2</v>
      </c>
    </row>
    <row r="598" spans="52:52" x14ac:dyDescent="0.3">
      <c r="AZ598" s="216">
        <v>5.9700000000000003E-2</v>
      </c>
    </row>
    <row r="599" spans="52:52" x14ac:dyDescent="0.3">
      <c r="AZ599" s="216">
        <v>5.9799999999999999E-2</v>
      </c>
    </row>
    <row r="600" spans="52:52" x14ac:dyDescent="0.3">
      <c r="AZ600" s="216">
        <v>5.9900000000000002E-2</v>
      </c>
    </row>
    <row r="601" spans="52:52" x14ac:dyDescent="0.3">
      <c r="AZ601" s="216">
        <v>0.06</v>
      </c>
    </row>
    <row r="602" spans="52:52" x14ac:dyDescent="0.3">
      <c r="AZ602" s="216">
        <v>6.0100000000000001E-2</v>
      </c>
    </row>
    <row r="603" spans="52:52" x14ac:dyDescent="0.3">
      <c r="AZ603" s="216">
        <v>6.0199999999999997E-2</v>
      </c>
    </row>
    <row r="604" spans="52:52" x14ac:dyDescent="0.3">
      <c r="AZ604" s="216">
        <v>6.0299999999999999E-2</v>
      </c>
    </row>
    <row r="605" spans="52:52" x14ac:dyDescent="0.3">
      <c r="AZ605" s="216">
        <v>6.0400000000000002E-2</v>
      </c>
    </row>
    <row r="606" spans="52:52" x14ac:dyDescent="0.3">
      <c r="AZ606" s="216">
        <v>6.0499999999999998E-2</v>
      </c>
    </row>
    <row r="607" spans="52:52" x14ac:dyDescent="0.3">
      <c r="AZ607" s="216">
        <v>6.0600000000000001E-2</v>
      </c>
    </row>
    <row r="608" spans="52:52" x14ac:dyDescent="0.3">
      <c r="AZ608" s="216">
        <v>6.0699999999999997E-2</v>
      </c>
    </row>
    <row r="609" spans="52:52" x14ac:dyDescent="0.3">
      <c r="AZ609" s="216">
        <v>6.08E-2</v>
      </c>
    </row>
    <row r="610" spans="52:52" x14ac:dyDescent="0.3">
      <c r="AZ610" s="216">
        <v>6.0900000000000003E-2</v>
      </c>
    </row>
    <row r="611" spans="52:52" x14ac:dyDescent="0.3">
      <c r="AZ611" s="216">
        <v>6.0999999999999999E-2</v>
      </c>
    </row>
    <row r="612" spans="52:52" x14ac:dyDescent="0.3">
      <c r="AZ612" s="216">
        <v>6.1100000000000002E-2</v>
      </c>
    </row>
    <row r="613" spans="52:52" x14ac:dyDescent="0.3">
      <c r="AZ613" s="216">
        <v>6.1199999999999997E-2</v>
      </c>
    </row>
    <row r="614" spans="52:52" x14ac:dyDescent="0.3">
      <c r="AZ614" s="216">
        <v>6.13E-2</v>
      </c>
    </row>
    <row r="615" spans="52:52" x14ac:dyDescent="0.3">
      <c r="AZ615" s="216">
        <v>6.1400000000000003E-2</v>
      </c>
    </row>
    <row r="616" spans="52:52" x14ac:dyDescent="0.3">
      <c r="AZ616" s="216">
        <v>6.1499999999999999E-2</v>
      </c>
    </row>
    <row r="617" spans="52:52" x14ac:dyDescent="0.3">
      <c r="AZ617" s="216">
        <v>6.1600000000000002E-2</v>
      </c>
    </row>
    <row r="618" spans="52:52" x14ac:dyDescent="0.3">
      <c r="AZ618" s="216">
        <v>6.1699999999999998E-2</v>
      </c>
    </row>
    <row r="619" spans="52:52" x14ac:dyDescent="0.3">
      <c r="AZ619" s="216">
        <v>6.1800000000000001E-2</v>
      </c>
    </row>
    <row r="620" spans="52:52" x14ac:dyDescent="0.3">
      <c r="AZ620" s="216">
        <v>6.1899999999999997E-2</v>
      </c>
    </row>
    <row r="621" spans="52:52" x14ac:dyDescent="0.3">
      <c r="AZ621" s="216">
        <v>6.2E-2</v>
      </c>
    </row>
    <row r="622" spans="52:52" x14ac:dyDescent="0.3">
      <c r="AZ622" s="216">
        <v>6.2100000000000002E-2</v>
      </c>
    </row>
    <row r="623" spans="52:52" x14ac:dyDescent="0.3">
      <c r="AZ623" s="216">
        <v>6.2199999999999998E-2</v>
      </c>
    </row>
    <row r="624" spans="52:52" x14ac:dyDescent="0.3">
      <c r="AZ624" s="216">
        <v>6.2300000000000001E-2</v>
      </c>
    </row>
    <row r="625" spans="52:52" x14ac:dyDescent="0.3">
      <c r="AZ625" s="216">
        <v>6.2399999999999997E-2</v>
      </c>
    </row>
    <row r="626" spans="52:52" x14ac:dyDescent="0.3">
      <c r="AZ626" s="216">
        <v>6.25E-2</v>
      </c>
    </row>
    <row r="627" spans="52:52" x14ac:dyDescent="0.3">
      <c r="AZ627" s="216">
        <v>6.2600000000000003E-2</v>
      </c>
    </row>
    <row r="628" spans="52:52" x14ac:dyDescent="0.3">
      <c r="AZ628" s="216">
        <v>6.2700000000000006E-2</v>
      </c>
    </row>
    <row r="629" spans="52:52" x14ac:dyDescent="0.3">
      <c r="AZ629" s="216">
        <v>6.2799999999999995E-2</v>
      </c>
    </row>
    <row r="630" spans="52:52" x14ac:dyDescent="0.3">
      <c r="AZ630" s="216">
        <v>6.2899999999999998E-2</v>
      </c>
    </row>
    <row r="631" spans="52:52" x14ac:dyDescent="0.3">
      <c r="AZ631" s="216">
        <v>6.3E-2</v>
      </c>
    </row>
    <row r="632" spans="52:52" x14ac:dyDescent="0.3">
      <c r="AZ632" s="216">
        <v>6.3100000000000003E-2</v>
      </c>
    </row>
    <row r="633" spans="52:52" x14ac:dyDescent="0.3">
      <c r="AZ633" s="216">
        <v>6.3200000000000006E-2</v>
      </c>
    </row>
    <row r="634" spans="52:52" x14ac:dyDescent="0.3">
      <c r="AZ634" s="216">
        <v>6.3299999999999995E-2</v>
      </c>
    </row>
    <row r="635" spans="52:52" x14ac:dyDescent="0.3">
      <c r="AZ635" s="216">
        <v>6.3399999999999998E-2</v>
      </c>
    </row>
    <row r="636" spans="52:52" x14ac:dyDescent="0.3">
      <c r="AZ636" s="216">
        <v>6.3500000000000001E-2</v>
      </c>
    </row>
    <row r="637" spans="52:52" x14ac:dyDescent="0.3">
      <c r="AZ637" s="216">
        <v>6.3600000000000004E-2</v>
      </c>
    </row>
    <row r="638" spans="52:52" x14ac:dyDescent="0.3">
      <c r="AZ638" s="216">
        <v>6.3700000000000007E-2</v>
      </c>
    </row>
    <row r="639" spans="52:52" x14ac:dyDescent="0.3">
      <c r="AZ639" s="216">
        <v>6.3799999999999996E-2</v>
      </c>
    </row>
    <row r="640" spans="52:52" x14ac:dyDescent="0.3">
      <c r="AZ640" s="216">
        <v>6.3899999999999998E-2</v>
      </c>
    </row>
    <row r="641" spans="52:52" x14ac:dyDescent="0.3">
      <c r="AZ641" s="216">
        <v>6.4000000000000001E-2</v>
      </c>
    </row>
    <row r="642" spans="52:52" x14ac:dyDescent="0.3">
      <c r="AZ642" s="216">
        <v>6.4100000000000004E-2</v>
      </c>
    </row>
    <row r="643" spans="52:52" x14ac:dyDescent="0.3">
      <c r="AZ643" s="216">
        <v>6.4199999999999993E-2</v>
      </c>
    </row>
    <row r="644" spans="52:52" x14ac:dyDescent="0.3">
      <c r="AZ644" s="216">
        <v>6.4299999999999996E-2</v>
      </c>
    </row>
    <row r="645" spans="52:52" x14ac:dyDescent="0.3">
      <c r="AZ645" s="216">
        <v>6.4399999999999999E-2</v>
      </c>
    </row>
    <row r="646" spans="52:52" x14ac:dyDescent="0.3">
      <c r="AZ646" s="216">
        <v>6.4500000000000002E-2</v>
      </c>
    </row>
    <row r="647" spans="52:52" x14ac:dyDescent="0.3">
      <c r="AZ647" s="216">
        <v>6.4600000000000005E-2</v>
      </c>
    </row>
    <row r="648" spans="52:52" x14ac:dyDescent="0.3">
      <c r="AZ648" s="216">
        <v>6.4699999999999994E-2</v>
      </c>
    </row>
    <row r="649" spans="52:52" x14ac:dyDescent="0.3">
      <c r="AZ649" s="216">
        <v>6.4799999999999996E-2</v>
      </c>
    </row>
    <row r="650" spans="52:52" x14ac:dyDescent="0.3">
      <c r="AZ650" s="216">
        <v>6.4899999999999999E-2</v>
      </c>
    </row>
    <row r="651" spans="52:52" x14ac:dyDescent="0.3">
      <c r="AZ651" s="216">
        <v>6.5000000000000002E-2</v>
      </c>
    </row>
    <row r="652" spans="52:52" x14ac:dyDescent="0.3">
      <c r="AZ652" s="216">
        <v>6.5100000000000005E-2</v>
      </c>
    </row>
    <row r="653" spans="52:52" x14ac:dyDescent="0.3">
      <c r="AZ653" s="216">
        <v>6.5199999999999994E-2</v>
      </c>
    </row>
    <row r="654" spans="52:52" x14ac:dyDescent="0.3">
      <c r="AZ654" s="216">
        <v>6.5299999999999997E-2</v>
      </c>
    </row>
    <row r="655" spans="52:52" x14ac:dyDescent="0.3">
      <c r="AZ655" s="216">
        <v>6.54E-2</v>
      </c>
    </row>
    <row r="656" spans="52:52" x14ac:dyDescent="0.3">
      <c r="AZ656" s="216">
        <v>6.5500000000000003E-2</v>
      </c>
    </row>
    <row r="657" spans="52:52" x14ac:dyDescent="0.3">
      <c r="AZ657" s="216">
        <v>6.5600000000000006E-2</v>
      </c>
    </row>
    <row r="658" spans="52:52" x14ac:dyDescent="0.3">
      <c r="AZ658" s="216">
        <v>6.5699999999999995E-2</v>
      </c>
    </row>
    <row r="659" spans="52:52" x14ac:dyDescent="0.3">
      <c r="AZ659" s="216">
        <v>6.5799999999999997E-2</v>
      </c>
    </row>
    <row r="660" spans="52:52" x14ac:dyDescent="0.3">
      <c r="AZ660" s="216">
        <v>6.59E-2</v>
      </c>
    </row>
    <row r="661" spans="52:52" x14ac:dyDescent="0.3">
      <c r="AZ661" s="216">
        <v>6.6000000000000003E-2</v>
      </c>
    </row>
    <row r="662" spans="52:52" x14ac:dyDescent="0.3">
      <c r="AZ662" s="216">
        <v>6.6100000000000006E-2</v>
      </c>
    </row>
    <row r="663" spans="52:52" x14ac:dyDescent="0.3">
      <c r="AZ663" s="216">
        <v>6.6199999999999995E-2</v>
      </c>
    </row>
    <row r="664" spans="52:52" x14ac:dyDescent="0.3">
      <c r="AZ664" s="216">
        <v>6.6299999999999998E-2</v>
      </c>
    </row>
    <row r="665" spans="52:52" x14ac:dyDescent="0.3">
      <c r="AZ665" s="216">
        <v>6.6400000000000001E-2</v>
      </c>
    </row>
    <row r="666" spans="52:52" x14ac:dyDescent="0.3">
      <c r="AZ666" s="216">
        <v>6.6500000000000004E-2</v>
      </c>
    </row>
    <row r="667" spans="52:52" x14ac:dyDescent="0.3">
      <c r="AZ667" s="216">
        <v>6.6600000000000006E-2</v>
      </c>
    </row>
    <row r="668" spans="52:52" x14ac:dyDescent="0.3">
      <c r="AZ668" s="216">
        <v>6.6699999999999995E-2</v>
      </c>
    </row>
    <row r="669" spans="52:52" x14ac:dyDescent="0.3">
      <c r="AZ669" s="216">
        <v>6.6799999999999998E-2</v>
      </c>
    </row>
    <row r="670" spans="52:52" x14ac:dyDescent="0.3">
      <c r="AZ670" s="216">
        <v>6.6900000000000001E-2</v>
      </c>
    </row>
    <row r="671" spans="52:52" x14ac:dyDescent="0.3">
      <c r="AZ671" s="216">
        <v>6.7000000000000004E-2</v>
      </c>
    </row>
    <row r="672" spans="52:52" x14ac:dyDescent="0.3">
      <c r="AZ672" s="216">
        <v>6.7100000000000007E-2</v>
      </c>
    </row>
    <row r="673" spans="52:52" x14ac:dyDescent="0.3">
      <c r="AZ673" s="216">
        <v>6.7199999999999996E-2</v>
      </c>
    </row>
    <row r="674" spans="52:52" x14ac:dyDescent="0.3">
      <c r="AZ674" s="216">
        <v>6.7299999999999999E-2</v>
      </c>
    </row>
    <row r="675" spans="52:52" x14ac:dyDescent="0.3">
      <c r="AZ675" s="216">
        <v>6.7400000000000002E-2</v>
      </c>
    </row>
    <row r="676" spans="52:52" x14ac:dyDescent="0.3">
      <c r="AZ676" s="216">
        <v>6.7500000000000004E-2</v>
      </c>
    </row>
    <row r="677" spans="52:52" x14ac:dyDescent="0.3">
      <c r="AZ677" s="216">
        <v>6.7599999999999993E-2</v>
      </c>
    </row>
    <row r="678" spans="52:52" x14ac:dyDescent="0.3">
      <c r="AZ678" s="216">
        <v>6.7699999999999996E-2</v>
      </c>
    </row>
    <row r="679" spans="52:52" x14ac:dyDescent="0.3">
      <c r="AZ679" s="216">
        <v>6.7799999999999999E-2</v>
      </c>
    </row>
    <row r="680" spans="52:52" x14ac:dyDescent="0.3">
      <c r="AZ680" s="216">
        <v>6.7900000000000002E-2</v>
      </c>
    </row>
    <row r="681" spans="52:52" x14ac:dyDescent="0.3">
      <c r="AZ681" s="216">
        <v>6.8000000000000005E-2</v>
      </c>
    </row>
    <row r="682" spans="52:52" x14ac:dyDescent="0.3">
      <c r="AZ682" s="216">
        <v>6.8099999999999994E-2</v>
      </c>
    </row>
    <row r="683" spans="52:52" x14ac:dyDescent="0.3">
      <c r="AZ683" s="216">
        <v>6.8199999999999997E-2</v>
      </c>
    </row>
    <row r="684" spans="52:52" x14ac:dyDescent="0.3">
      <c r="AZ684" s="216">
        <v>6.83E-2</v>
      </c>
    </row>
    <row r="685" spans="52:52" x14ac:dyDescent="0.3">
      <c r="AZ685" s="216">
        <v>6.8400000000000002E-2</v>
      </c>
    </row>
    <row r="686" spans="52:52" x14ac:dyDescent="0.3">
      <c r="AZ686" s="216">
        <v>6.8500000000000005E-2</v>
      </c>
    </row>
    <row r="687" spans="52:52" x14ac:dyDescent="0.3">
      <c r="AZ687" s="216">
        <v>6.8599999999999994E-2</v>
      </c>
    </row>
    <row r="688" spans="52:52" x14ac:dyDescent="0.3">
      <c r="AZ688" s="216">
        <v>6.8699999999999997E-2</v>
      </c>
    </row>
    <row r="689" spans="52:52" x14ac:dyDescent="0.3">
      <c r="AZ689" s="216">
        <v>6.88E-2</v>
      </c>
    </row>
    <row r="690" spans="52:52" x14ac:dyDescent="0.3">
      <c r="AZ690" s="216">
        <v>6.8900000000000003E-2</v>
      </c>
    </row>
    <row r="691" spans="52:52" x14ac:dyDescent="0.3">
      <c r="AZ691" s="216">
        <v>6.9000000000000006E-2</v>
      </c>
    </row>
    <row r="692" spans="52:52" x14ac:dyDescent="0.3">
      <c r="AZ692" s="216">
        <v>6.9099999999999995E-2</v>
      </c>
    </row>
    <row r="693" spans="52:52" x14ac:dyDescent="0.3">
      <c r="AZ693" s="216">
        <v>6.9199999999999998E-2</v>
      </c>
    </row>
    <row r="694" spans="52:52" x14ac:dyDescent="0.3">
      <c r="AZ694" s="216">
        <v>6.93E-2</v>
      </c>
    </row>
    <row r="695" spans="52:52" x14ac:dyDescent="0.3">
      <c r="AZ695" s="216">
        <v>6.9400000000000003E-2</v>
      </c>
    </row>
    <row r="696" spans="52:52" x14ac:dyDescent="0.3">
      <c r="AZ696" s="216">
        <v>6.9500000000000006E-2</v>
      </c>
    </row>
    <row r="697" spans="52:52" x14ac:dyDescent="0.3">
      <c r="AZ697" s="216">
        <v>6.9599999999999995E-2</v>
      </c>
    </row>
    <row r="698" spans="52:52" x14ac:dyDescent="0.3">
      <c r="AZ698" s="216">
        <v>6.9699999999999998E-2</v>
      </c>
    </row>
    <row r="699" spans="52:52" x14ac:dyDescent="0.3">
      <c r="AZ699" s="216">
        <v>6.9800000000000001E-2</v>
      </c>
    </row>
    <row r="700" spans="52:52" x14ac:dyDescent="0.3">
      <c r="AZ700" s="216">
        <v>6.9900000000000004E-2</v>
      </c>
    </row>
    <row r="701" spans="52:52" x14ac:dyDescent="0.3">
      <c r="AZ701" s="216">
        <v>7.0000000000000007E-2</v>
      </c>
    </row>
    <row r="702" spans="52:52" x14ac:dyDescent="0.3">
      <c r="AZ702" s="216">
        <v>7.0099999999999996E-2</v>
      </c>
    </row>
    <row r="703" spans="52:52" x14ac:dyDescent="0.3">
      <c r="AZ703" s="216">
        <v>7.0199999999999999E-2</v>
      </c>
    </row>
    <row r="704" spans="52:52" x14ac:dyDescent="0.3">
      <c r="AZ704" s="216">
        <v>7.0300000000000001E-2</v>
      </c>
    </row>
    <row r="705" spans="52:52" x14ac:dyDescent="0.3">
      <c r="AZ705" s="216">
        <v>7.0400000000000004E-2</v>
      </c>
    </row>
    <row r="706" spans="52:52" x14ac:dyDescent="0.3">
      <c r="AZ706" s="216">
        <v>7.0499999999999993E-2</v>
      </c>
    </row>
    <row r="707" spans="52:52" x14ac:dyDescent="0.3">
      <c r="AZ707" s="216">
        <v>7.0599999999999996E-2</v>
      </c>
    </row>
    <row r="708" spans="52:52" x14ac:dyDescent="0.3">
      <c r="AZ708" s="216">
        <v>7.0699999999999999E-2</v>
      </c>
    </row>
    <row r="709" spans="52:52" x14ac:dyDescent="0.3">
      <c r="AZ709" s="216">
        <v>7.0800000000000002E-2</v>
      </c>
    </row>
    <row r="710" spans="52:52" x14ac:dyDescent="0.3">
      <c r="AZ710" s="216">
        <v>7.0900000000000005E-2</v>
      </c>
    </row>
    <row r="711" spans="52:52" x14ac:dyDescent="0.3">
      <c r="AZ711" s="216">
        <v>7.0999999999999994E-2</v>
      </c>
    </row>
    <row r="712" spans="52:52" x14ac:dyDescent="0.3">
      <c r="AZ712" s="216">
        <v>7.1099999999999997E-2</v>
      </c>
    </row>
    <row r="713" spans="52:52" x14ac:dyDescent="0.3">
      <c r="AZ713" s="216">
        <v>7.1199999999999999E-2</v>
      </c>
    </row>
    <row r="714" spans="52:52" x14ac:dyDescent="0.3">
      <c r="AZ714" s="216">
        <v>7.1300000000000002E-2</v>
      </c>
    </row>
    <row r="715" spans="52:52" x14ac:dyDescent="0.3">
      <c r="AZ715" s="216">
        <v>7.1400000000000005E-2</v>
      </c>
    </row>
    <row r="716" spans="52:52" x14ac:dyDescent="0.3">
      <c r="AZ716" s="216">
        <v>7.1499999999999994E-2</v>
      </c>
    </row>
    <row r="717" spans="52:52" x14ac:dyDescent="0.3">
      <c r="AZ717" s="216">
        <v>7.1599999999999997E-2</v>
      </c>
    </row>
    <row r="718" spans="52:52" x14ac:dyDescent="0.3">
      <c r="AZ718" s="216">
        <v>7.17E-2</v>
      </c>
    </row>
    <row r="719" spans="52:52" x14ac:dyDescent="0.3">
      <c r="AZ719" s="216">
        <v>7.1800000000000003E-2</v>
      </c>
    </row>
    <row r="720" spans="52:52" x14ac:dyDescent="0.3">
      <c r="AZ720" s="216">
        <v>7.1900000000000006E-2</v>
      </c>
    </row>
    <row r="721" spans="52:52" x14ac:dyDescent="0.3">
      <c r="AZ721" s="216">
        <v>7.1999999999999995E-2</v>
      </c>
    </row>
    <row r="722" spans="52:52" x14ac:dyDescent="0.3">
      <c r="AZ722" s="216">
        <v>7.2099999999999997E-2</v>
      </c>
    </row>
    <row r="723" spans="52:52" x14ac:dyDescent="0.3">
      <c r="AZ723" s="216">
        <v>7.22E-2</v>
      </c>
    </row>
    <row r="724" spans="52:52" x14ac:dyDescent="0.3">
      <c r="AZ724" s="216">
        <v>7.2300000000000003E-2</v>
      </c>
    </row>
    <row r="725" spans="52:52" x14ac:dyDescent="0.3">
      <c r="AZ725" s="216">
        <v>7.2400000000000006E-2</v>
      </c>
    </row>
    <row r="726" spans="52:52" x14ac:dyDescent="0.3">
      <c r="AZ726" s="216">
        <v>7.2499999999999995E-2</v>
      </c>
    </row>
    <row r="727" spans="52:52" x14ac:dyDescent="0.3">
      <c r="AZ727" s="216">
        <v>7.2599999999999998E-2</v>
      </c>
    </row>
    <row r="728" spans="52:52" x14ac:dyDescent="0.3">
      <c r="AZ728" s="216">
        <v>7.2700000000000001E-2</v>
      </c>
    </row>
    <row r="729" spans="52:52" x14ac:dyDescent="0.3">
      <c r="AZ729" s="216">
        <v>7.2800000000000004E-2</v>
      </c>
    </row>
    <row r="730" spans="52:52" x14ac:dyDescent="0.3">
      <c r="AZ730" s="216">
        <v>7.2900000000000006E-2</v>
      </c>
    </row>
    <row r="731" spans="52:52" x14ac:dyDescent="0.3">
      <c r="AZ731" s="216">
        <v>7.2999999999999995E-2</v>
      </c>
    </row>
    <row r="732" spans="52:52" x14ac:dyDescent="0.3">
      <c r="AZ732" s="216">
        <v>7.3099999999999998E-2</v>
      </c>
    </row>
    <row r="733" spans="52:52" x14ac:dyDescent="0.3">
      <c r="AZ733" s="216">
        <v>7.3200000000000001E-2</v>
      </c>
    </row>
    <row r="734" spans="52:52" x14ac:dyDescent="0.3">
      <c r="AZ734" s="216">
        <v>7.3300000000000004E-2</v>
      </c>
    </row>
    <row r="735" spans="52:52" x14ac:dyDescent="0.3">
      <c r="AZ735" s="216">
        <v>7.3400000000000007E-2</v>
      </c>
    </row>
    <row r="736" spans="52:52" x14ac:dyDescent="0.3">
      <c r="AZ736" s="216">
        <v>7.3499999999999996E-2</v>
      </c>
    </row>
    <row r="737" spans="52:52" x14ac:dyDescent="0.3">
      <c r="AZ737" s="216">
        <v>7.3599999999999999E-2</v>
      </c>
    </row>
    <row r="738" spans="52:52" x14ac:dyDescent="0.3">
      <c r="AZ738" s="216">
        <v>7.3700000000000002E-2</v>
      </c>
    </row>
    <row r="739" spans="52:52" x14ac:dyDescent="0.3">
      <c r="AZ739" s="216">
        <v>7.3800000000000004E-2</v>
      </c>
    </row>
    <row r="740" spans="52:52" x14ac:dyDescent="0.3">
      <c r="AZ740" s="216">
        <v>7.3899999999999993E-2</v>
      </c>
    </row>
    <row r="741" spans="52:52" x14ac:dyDescent="0.3">
      <c r="AZ741" s="216">
        <v>7.3999999999999996E-2</v>
      </c>
    </row>
    <row r="742" spans="52:52" x14ac:dyDescent="0.3">
      <c r="AZ742" s="216">
        <v>7.4099999999999999E-2</v>
      </c>
    </row>
    <row r="743" spans="52:52" x14ac:dyDescent="0.3">
      <c r="AZ743" s="216">
        <v>7.4200000000000002E-2</v>
      </c>
    </row>
    <row r="744" spans="52:52" x14ac:dyDescent="0.3">
      <c r="AZ744" s="216">
        <v>7.4300000000000005E-2</v>
      </c>
    </row>
    <row r="745" spans="52:52" x14ac:dyDescent="0.3">
      <c r="AZ745" s="216">
        <v>7.4399999999999994E-2</v>
      </c>
    </row>
    <row r="746" spans="52:52" x14ac:dyDescent="0.3">
      <c r="AZ746" s="216">
        <v>7.4499999999999997E-2</v>
      </c>
    </row>
    <row r="747" spans="52:52" x14ac:dyDescent="0.3">
      <c r="AZ747" s="216">
        <v>7.46E-2</v>
      </c>
    </row>
    <row r="748" spans="52:52" x14ac:dyDescent="0.3">
      <c r="AZ748" s="216">
        <v>7.4700000000000003E-2</v>
      </c>
    </row>
    <row r="749" spans="52:52" x14ac:dyDescent="0.3">
      <c r="AZ749" s="216">
        <v>7.4800000000000005E-2</v>
      </c>
    </row>
    <row r="750" spans="52:52" x14ac:dyDescent="0.3">
      <c r="AZ750" s="216">
        <v>7.4899999999999994E-2</v>
      </c>
    </row>
    <row r="751" spans="52:52" x14ac:dyDescent="0.3">
      <c r="AZ751" s="216">
        <v>7.4999999999999997E-2</v>
      </c>
    </row>
    <row r="752" spans="52:52" x14ac:dyDescent="0.3">
      <c r="AZ752" s="216">
        <v>7.51E-2</v>
      </c>
    </row>
    <row r="753" spans="52:52" x14ac:dyDescent="0.3">
      <c r="AZ753" s="216">
        <v>7.5200000000000003E-2</v>
      </c>
    </row>
    <row r="754" spans="52:52" x14ac:dyDescent="0.3">
      <c r="AZ754" s="216">
        <v>7.5300000000000006E-2</v>
      </c>
    </row>
    <row r="755" spans="52:52" x14ac:dyDescent="0.3">
      <c r="AZ755" s="216">
        <v>7.5399999999999995E-2</v>
      </c>
    </row>
    <row r="756" spans="52:52" x14ac:dyDescent="0.3">
      <c r="AZ756" s="216">
        <v>7.5499999999999998E-2</v>
      </c>
    </row>
    <row r="757" spans="52:52" x14ac:dyDescent="0.3">
      <c r="AZ757" s="216">
        <v>7.5600000000000001E-2</v>
      </c>
    </row>
    <row r="758" spans="52:52" x14ac:dyDescent="0.3">
      <c r="AZ758" s="216">
        <v>7.5700000000000003E-2</v>
      </c>
    </row>
    <row r="759" spans="52:52" x14ac:dyDescent="0.3">
      <c r="AZ759" s="216">
        <v>7.5800000000000006E-2</v>
      </c>
    </row>
    <row r="760" spans="52:52" x14ac:dyDescent="0.3">
      <c r="AZ760" s="216">
        <v>7.5899999999999995E-2</v>
      </c>
    </row>
    <row r="761" spans="52:52" x14ac:dyDescent="0.3">
      <c r="AZ761" s="216">
        <v>7.5999999999999998E-2</v>
      </c>
    </row>
    <row r="762" spans="52:52" x14ac:dyDescent="0.3">
      <c r="AZ762" s="216">
        <v>7.6100000000000001E-2</v>
      </c>
    </row>
    <row r="763" spans="52:52" x14ac:dyDescent="0.3">
      <c r="AZ763" s="216">
        <v>7.6200000000000004E-2</v>
      </c>
    </row>
    <row r="764" spans="52:52" x14ac:dyDescent="0.3">
      <c r="AZ764" s="216">
        <v>7.6300000000000007E-2</v>
      </c>
    </row>
    <row r="765" spans="52:52" x14ac:dyDescent="0.3">
      <c r="AZ765" s="216">
        <v>7.6399999999999996E-2</v>
      </c>
    </row>
    <row r="766" spans="52:52" x14ac:dyDescent="0.3">
      <c r="AZ766" s="216">
        <v>7.6499999999999999E-2</v>
      </c>
    </row>
    <row r="767" spans="52:52" x14ac:dyDescent="0.3">
      <c r="AZ767" s="216">
        <v>7.6600000000000001E-2</v>
      </c>
    </row>
    <row r="768" spans="52:52" x14ac:dyDescent="0.3">
      <c r="AZ768" s="216">
        <v>7.6700000000000004E-2</v>
      </c>
    </row>
    <row r="769" spans="52:52" x14ac:dyDescent="0.3">
      <c r="AZ769" s="216">
        <v>7.6799999999999993E-2</v>
      </c>
    </row>
    <row r="770" spans="52:52" x14ac:dyDescent="0.3">
      <c r="AZ770" s="216">
        <v>7.6899999999999996E-2</v>
      </c>
    </row>
    <row r="771" spans="52:52" x14ac:dyDescent="0.3">
      <c r="AZ771" s="216">
        <v>7.6999999999999999E-2</v>
      </c>
    </row>
    <row r="772" spans="52:52" x14ac:dyDescent="0.3">
      <c r="AZ772" s="216">
        <v>7.7100000000000002E-2</v>
      </c>
    </row>
    <row r="773" spans="52:52" x14ac:dyDescent="0.3">
      <c r="AZ773" s="216">
        <v>7.7200000000000005E-2</v>
      </c>
    </row>
    <row r="774" spans="52:52" x14ac:dyDescent="0.3">
      <c r="AZ774" s="216">
        <v>7.7299999999999994E-2</v>
      </c>
    </row>
    <row r="775" spans="52:52" x14ac:dyDescent="0.3">
      <c r="AZ775" s="216">
        <v>7.7399999999999997E-2</v>
      </c>
    </row>
    <row r="776" spans="52:52" x14ac:dyDescent="0.3">
      <c r="AZ776" s="216">
        <v>7.7499999999999999E-2</v>
      </c>
    </row>
    <row r="777" spans="52:52" x14ac:dyDescent="0.3">
      <c r="AZ777" s="216">
        <v>7.7600000000000002E-2</v>
      </c>
    </row>
    <row r="778" spans="52:52" x14ac:dyDescent="0.3">
      <c r="AZ778" s="216">
        <v>7.7700000000000005E-2</v>
      </c>
    </row>
    <row r="779" spans="52:52" x14ac:dyDescent="0.3">
      <c r="AZ779" s="216">
        <v>7.7799999999999994E-2</v>
      </c>
    </row>
    <row r="780" spans="52:52" x14ac:dyDescent="0.3">
      <c r="AZ780" s="216">
        <v>7.7899999999999997E-2</v>
      </c>
    </row>
    <row r="781" spans="52:52" x14ac:dyDescent="0.3">
      <c r="AZ781" s="216">
        <v>7.8E-2</v>
      </c>
    </row>
    <row r="782" spans="52:52" x14ac:dyDescent="0.3">
      <c r="AZ782" s="216">
        <v>7.8100000000000003E-2</v>
      </c>
    </row>
    <row r="783" spans="52:52" x14ac:dyDescent="0.3">
      <c r="AZ783" s="216">
        <v>7.8200000000000006E-2</v>
      </c>
    </row>
    <row r="784" spans="52:52" x14ac:dyDescent="0.3">
      <c r="AZ784" s="216">
        <v>7.8299999999999995E-2</v>
      </c>
    </row>
    <row r="785" spans="52:52" x14ac:dyDescent="0.3">
      <c r="AZ785" s="216">
        <v>7.8399999999999997E-2</v>
      </c>
    </row>
    <row r="786" spans="52:52" x14ac:dyDescent="0.3">
      <c r="AZ786" s="216">
        <v>7.85E-2</v>
      </c>
    </row>
    <row r="787" spans="52:52" x14ac:dyDescent="0.3">
      <c r="AZ787" s="216">
        <v>7.8600000000000003E-2</v>
      </c>
    </row>
    <row r="788" spans="52:52" x14ac:dyDescent="0.3">
      <c r="AZ788" s="216">
        <v>7.8700000000000006E-2</v>
      </c>
    </row>
    <row r="789" spans="52:52" x14ac:dyDescent="0.3">
      <c r="AZ789" s="216">
        <v>7.8799999999999995E-2</v>
      </c>
    </row>
    <row r="790" spans="52:52" x14ac:dyDescent="0.3">
      <c r="AZ790" s="216">
        <v>7.8899999999999998E-2</v>
      </c>
    </row>
    <row r="791" spans="52:52" x14ac:dyDescent="0.3">
      <c r="AZ791" s="216">
        <v>7.9000000000000001E-2</v>
      </c>
    </row>
    <row r="792" spans="52:52" x14ac:dyDescent="0.3">
      <c r="AZ792" s="216">
        <v>7.9100000000000004E-2</v>
      </c>
    </row>
    <row r="793" spans="52:52" x14ac:dyDescent="0.3">
      <c r="AZ793" s="216">
        <v>7.9200000000000007E-2</v>
      </c>
    </row>
    <row r="794" spans="52:52" x14ac:dyDescent="0.3">
      <c r="AZ794" s="216">
        <v>7.9299999999999995E-2</v>
      </c>
    </row>
    <row r="795" spans="52:52" x14ac:dyDescent="0.3">
      <c r="AZ795" s="216">
        <v>7.9399999999999998E-2</v>
      </c>
    </row>
    <row r="796" spans="52:52" x14ac:dyDescent="0.3">
      <c r="AZ796" s="216">
        <v>7.9500000000000001E-2</v>
      </c>
    </row>
    <row r="797" spans="52:52" x14ac:dyDescent="0.3">
      <c r="AZ797" s="216">
        <v>7.9600000000000004E-2</v>
      </c>
    </row>
    <row r="798" spans="52:52" x14ac:dyDescent="0.3">
      <c r="AZ798" s="216">
        <v>7.9699999999999993E-2</v>
      </c>
    </row>
    <row r="799" spans="52:52" x14ac:dyDescent="0.3">
      <c r="AZ799" s="216">
        <v>7.9799999999999996E-2</v>
      </c>
    </row>
    <row r="800" spans="52:52" x14ac:dyDescent="0.3">
      <c r="AZ800" s="216">
        <v>7.9899999999999999E-2</v>
      </c>
    </row>
    <row r="801" spans="52:52" x14ac:dyDescent="0.3">
      <c r="AZ801" s="216">
        <v>0.08</v>
      </c>
    </row>
    <row r="802" spans="52:52" x14ac:dyDescent="0.3">
      <c r="AZ802" s="216">
        <v>8.0100000000000005E-2</v>
      </c>
    </row>
    <row r="803" spans="52:52" x14ac:dyDescent="0.3">
      <c r="AZ803" s="216">
        <v>8.0199999999999994E-2</v>
      </c>
    </row>
    <row r="804" spans="52:52" x14ac:dyDescent="0.3">
      <c r="AZ804" s="216">
        <v>8.0299999999999996E-2</v>
      </c>
    </row>
    <row r="805" spans="52:52" x14ac:dyDescent="0.3">
      <c r="AZ805" s="216">
        <v>8.0399999999999999E-2</v>
      </c>
    </row>
    <row r="806" spans="52:52" x14ac:dyDescent="0.3">
      <c r="AZ806" s="216">
        <v>8.0500000000000002E-2</v>
      </c>
    </row>
    <row r="807" spans="52:52" x14ac:dyDescent="0.3">
      <c r="AZ807" s="216">
        <v>8.0600000000000005E-2</v>
      </c>
    </row>
    <row r="808" spans="52:52" x14ac:dyDescent="0.3">
      <c r="AZ808" s="216">
        <v>8.0699999999999994E-2</v>
      </c>
    </row>
    <row r="809" spans="52:52" x14ac:dyDescent="0.3">
      <c r="AZ809" s="216">
        <v>8.0799999999999997E-2</v>
      </c>
    </row>
    <row r="810" spans="52:52" x14ac:dyDescent="0.3">
      <c r="AZ810" s="216">
        <v>8.09E-2</v>
      </c>
    </row>
    <row r="811" spans="52:52" x14ac:dyDescent="0.3">
      <c r="AZ811" s="216">
        <v>8.1000000000000003E-2</v>
      </c>
    </row>
    <row r="812" spans="52:52" x14ac:dyDescent="0.3">
      <c r="AZ812" s="216">
        <v>8.1100000000000005E-2</v>
      </c>
    </row>
    <row r="813" spans="52:52" x14ac:dyDescent="0.3">
      <c r="AZ813" s="216">
        <v>8.1199999999999994E-2</v>
      </c>
    </row>
    <row r="814" spans="52:52" x14ac:dyDescent="0.3">
      <c r="AZ814" s="216">
        <v>8.1299999999999997E-2</v>
      </c>
    </row>
    <row r="815" spans="52:52" x14ac:dyDescent="0.3">
      <c r="AZ815" s="216">
        <v>8.14E-2</v>
      </c>
    </row>
    <row r="816" spans="52:52" x14ac:dyDescent="0.3">
      <c r="AZ816" s="216">
        <v>8.1500000000000003E-2</v>
      </c>
    </row>
    <row r="817" spans="52:52" x14ac:dyDescent="0.3">
      <c r="AZ817" s="216">
        <v>8.1600000000000006E-2</v>
      </c>
    </row>
    <row r="818" spans="52:52" x14ac:dyDescent="0.3">
      <c r="AZ818" s="216">
        <v>8.1699999999999995E-2</v>
      </c>
    </row>
    <row r="819" spans="52:52" x14ac:dyDescent="0.3">
      <c r="AZ819" s="216">
        <v>8.1799999999999998E-2</v>
      </c>
    </row>
    <row r="820" spans="52:52" x14ac:dyDescent="0.3">
      <c r="AZ820" s="216">
        <v>8.1900000000000001E-2</v>
      </c>
    </row>
    <row r="821" spans="52:52" x14ac:dyDescent="0.3">
      <c r="AZ821" s="216">
        <v>8.2000000000000003E-2</v>
      </c>
    </row>
    <row r="822" spans="52:52" x14ac:dyDescent="0.3">
      <c r="AZ822" s="216">
        <v>8.2100000000000006E-2</v>
      </c>
    </row>
    <row r="823" spans="52:52" x14ac:dyDescent="0.3">
      <c r="AZ823" s="216">
        <v>8.2199999999999995E-2</v>
      </c>
    </row>
    <row r="824" spans="52:52" x14ac:dyDescent="0.3">
      <c r="AZ824" s="216">
        <v>8.2299999999999998E-2</v>
      </c>
    </row>
    <row r="825" spans="52:52" x14ac:dyDescent="0.3">
      <c r="AZ825" s="216">
        <v>8.2400000000000001E-2</v>
      </c>
    </row>
    <row r="826" spans="52:52" x14ac:dyDescent="0.3">
      <c r="AZ826" s="216">
        <v>8.2500000000000004E-2</v>
      </c>
    </row>
    <row r="827" spans="52:52" x14ac:dyDescent="0.3">
      <c r="AZ827" s="216">
        <v>8.2600000000000007E-2</v>
      </c>
    </row>
    <row r="828" spans="52:52" x14ac:dyDescent="0.3">
      <c r="AZ828" s="216">
        <v>8.2699999999999996E-2</v>
      </c>
    </row>
    <row r="829" spans="52:52" x14ac:dyDescent="0.3">
      <c r="AZ829" s="216">
        <v>8.2799999999999999E-2</v>
      </c>
    </row>
    <row r="830" spans="52:52" x14ac:dyDescent="0.3">
      <c r="AZ830" s="216">
        <v>8.2900000000000001E-2</v>
      </c>
    </row>
    <row r="831" spans="52:52" x14ac:dyDescent="0.3">
      <c r="AZ831" s="216">
        <v>8.3000000000000004E-2</v>
      </c>
    </row>
    <row r="832" spans="52:52" x14ac:dyDescent="0.3">
      <c r="AZ832" s="216">
        <v>8.3099999999999993E-2</v>
      </c>
    </row>
    <row r="833" spans="52:52" x14ac:dyDescent="0.3">
      <c r="AZ833" s="216">
        <v>8.3199999999999996E-2</v>
      </c>
    </row>
    <row r="834" spans="52:52" x14ac:dyDescent="0.3">
      <c r="AZ834" s="216">
        <v>8.3299999999999999E-2</v>
      </c>
    </row>
    <row r="835" spans="52:52" x14ac:dyDescent="0.3">
      <c r="AZ835" s="216">
        <v>8.3400000000000002E-2</v>
      </c>
    </row>
    <row r="836" spans="52:52" x14ac:dyDescent="0.3">
      <c r="AZ836" s="216">
        <v>8.3500000000000005E-2</v>
      </c>
    </row>
    <row r="837" spans="52:52" x14ac:dyDescent="0.3">
      <c r="AZ837" s="216">
        <v>8.3599999999999994E-2</v>
      </c>
    </row>
    <row r="838" spans="52:52" x14ac:dyDescent="0.3">
      <c r="AZ838" s="216">
        <v>8.3699999999999997E-2</v>
      </c>
    </row>
    <row r="839" spans="52:52" x14ac:dyDescent="0.3">
      <c r="AZ839" s="216">
        <v>8.3799999999999999E-2</v>
      </c>
    </row>
    <row r="840" spans="52:52" x14ac:dyDescent="0.3">
      <c r="AZ840" s="216">
        <v>8.3900000000000002E-2</v>
      </c>
    </row>
    <row r="841" spans="52:52" x14ac:dyDescent="0.3">
      <c r="AZ841" s="216">
        <v>8.4000000000000005E-2</v>
      </c>
    </row>
    <row r="842" spans="52:52" x14ac:dyDescent="0.3">
      <c r="AZ842" s="216">
        <v>8.4099999999999994E-2</v>
      </c>
    </row>
    <row r="843" spans="52:52" x14ac:dyDescent="0.3">
      <c r="AZ843" s="216">
        <v>8.4199999999999997E-2</v>
      </c>
    </row>
    <row r="844" spans="52:52" x14ac:dyDescent="0.3">
      <c r="AZ844" s="216">
        <v>8.43E-2</v>
      </c>
    </row>
    <row r="845" spans="52:52" x14ac:dyDescent="0.3">
      <c r="AZ845" s="216">
        <v>8.4400000000000003E-2</v>
      </c>
    </row>
    <row r="846" spans="52:52" x14ac:dyDescent="0.3">
      <c r="AZ846" s="216">
        <v>8.4500000000000006E-2</v>
      </c>
    </row>
    <row r="847" spans="52:52" x14ac:dyDescent="0.3">
      <c r="AZ847" s="216">
        <v>8.4599999999999995E-2</v>
      </c>
    </row>
    <row r="848" spans="52:52" x14ac:dyDescent="0.3">
      <c r="AZ848" s="216">
        <v>8.4699999999999998E-2</v>
      </c>
    </row>
    <row r="849" spans="52:52" x14ac:dyDescent="0.3">
      <c r="AZ849" s="216">
        <v>8.48E-2</v>
      </c>
    </row>
    <row r="850" spans="52:52" x14ac:dyDescent="0.3">
      <c r="AZ850" s="216">
        <v>8.4900000000000003E-2</v>
      </c>
    </row>
    <row r="851" spans="52:52" x14ac:dyDescent="0.3">
      <c r="AZ851" s="216">
        <v>8.5000000000000006E-2</v>
      </c>
    </row>
    <row r="852" spans="52:52" x14ac:dyDescent="0.3">
      <c r="AZ852" s="216">
        <v>8.5099999999999995E-2</v>
      </c>
    </row>
    <row r="853" spans="52:52" x14ac:dyDescent="0.3">
      <c r="AZ853" s="216">
        <v>8.5199999999999998E-2</v>
      </c>
    </row>
    <row r="854" spans="52:52" x14ac:dyDescent="0.3">
      <c r="AZ854" s="216">
        <v>8.5300000000000001E-2</v>
      </c>
    </row>
    <row r="855" spans="52:52" x14ac:dyDescent="0.3">
      <c r="AZ855" s="216">
        <v>8.5400000000000004E-2</v>
      </c>
    </row>
    <row r="856" spans="52:52" x14ac:dyDescent="0.3">
      <c r="AZ856" s="216">
        <v>8.5500000000000007E-2</v>
      </c>
    </row>
    <row r="857" spans="52:52" x14ac:dyDescent="0.3">
      <c r="AZ857" s="216">
        <v>8.5599999999999996E-2</v>
      </c>
    </row>
    <row r="858" spans="52:52" x14ac:dyDescent="0.3">
      <c r="AZ858" s="216">
        <v>8.5699999999999998E-2</v>
      </c>
    </row>
    <row r="859" spans="52:52" x14ac:dyDescent="0.3">
      <c r="AZ859" s="216">
        <v>8.5800000000000001E-2</v>
      </c>
    </row>
    <row r="860" spans="52:52" x14ac:dyDescent="0.3">
      <c r="AZ860" s="216">
        <v>8.5900000000000004E-2</v>
      </c>
    </row>
    <row r="861" spans="52:52" x14ac:dyDescent="0.3">
      <c r="AZ861" s="216">
        <v>8.5999999999999993E-2</v>
      </c>
    </row>
    <row r="862" spans="52:52" x14ac:dyDescent="0.3">
      <c r="AZ862" s="216">
        <v>8.6099999999999996E-2</v>
      </c>
    </row>
    <row r="863" spans="52:52" x14ac:dyDescent="0.3">
      <c r="AZ863" s="216">
        <v>8.6199999999999999E-2</v>
      </c>
    </row>
    <row r="864" spans="52:52" x14ac:dyDescent="0.3">
      <c r="AZ864" s="216">
        <v>8.6300000000000002E-2</v>
      </c>
    </row>
    <row r="865" spans="52:52" x14ac:dyDescent="0.3">
      <c r="AZ865" s="216">
        <v>8.6400000000000005E-2</v>
      </c>
    </row>
    <row r="866" spans="52:52" x14ac:dyDescent="0.3">
      <c r="AZ866" s="216">
        <v>8.6499999999999994E-2</v>
      </c>
    </row>
    <row r="867" spans="52:52" x14ac:dyDescent="0.3">
      <c r="AZ867" s="216">
        <v>8.6599999999999996E-2</v>
      </c>
    </row>
    <row r="868" spans="52:52" x14ac:dyDescent="0.3">
      <c r="AZ868" s="216">
        <v>8.6699999999999999E-2</v>
      </c>
    </row>
    <row r="869" spans="52:52" x14ac:dyDescent="0.3">
      <c r="AZ869" s="216">
        <v>8.6800000000000002E-2</v>
      </c>
    </row>
    <row r="870" spans="52:52" x14ac:dyDescent="0.3">
      <c r="AZ870" s="216">
        <v>8.6900000000000005E-2</v>
      </c>
    </row>
    <row r="871" spans="52:52" x14ac:dyDescent="0.3">
      <c r="AZ871" s="216">
        <v>8.6999999999999994E-2</v>
      </c>
    </row>
    <row r="872" spans="52:52" x14ac:dyDescent="0.3">
      <c r="AZ872" s="216">
        <v>8.7099999999999997E-2</v>
      </c>
    </row>
    <row r="873" spans="52:52" x14ac:dyDescent="0.3">
      <c r="AZ873" s="216">
        <v>8.72E-2</v>
      </c>
    </row>
    <row r="874" spans="52:52" x14ac:dyDescent="0.3">
      <c r="AZ874" s="216">
        <v>8.7300000000000003E-2</v>
      </c>
    </row>
    <row r="875" spans="52:52" x14ac:dyDescent="0.3">
      <c r="AZ875" s="216">
        <v>8.7400000000000005E-2</v>
      </c>
    </row>
    <row r="876" spans="52:52" x14ac:dyDescent="0.3">
      <c r="AZ876" s="216">
        <v>8.7499999999999994E-2</v>
      </c>
    </row>
    <row r="877" spans="52:52" x14ac:dyDescent="0.3">
      <c r="AZ877" s="216">
        <v>8.7599999999999997E-2</v>
      </c>
    </row>
    <row r="878" spans="52:52" x14ac:dyDescent="0.3">
      <c r="AZ878" s="216">
        <v>8.77E-2</v>
      </c>
    </row>
    <row r="879" spans="52:52" x14ac:dyDescent="0.3">
      <c r="AZ879" s="216">
        <v>8.7800000000000003E-2</v>
      </c>
    </row>
    <row r="880" spans="52:52" x14ac:dyDescent="0.3">
      <c r="AZ880" s="216">
        <v>8.7900000000000006E-2</v>
      </c>
    </row>
    <row r="881" spans="52:52" x14ac:dyDescent="0.3">
      <c r="AZ881" s="216">
        <v>8.7999999999999995E-2</v>
      </c>
    </row>
    <row r="882" spans="52:52" x14ac:dyDescent="0.3">
      <c r="AZ882" s="216">
        <v>8.8099999999999998E-2</v>
      </c>
    </row>
    <row r="883" spans="52:52" x14ac:dyDescent="0.3">
      <c r="AZ883" s="216">
        <v>8.8200000000000001E-2</v>
      </c>
    </row>
    <row r="884" spans="52:52" x14ac:dyDescent="0.3">
      <c r="AZ884" s="216">
        <v>8.8300000000000003E-2</v>
      </c>
    </row>
    <row r="885" spans="52:52" x14ac:dyDescent="0.3">
      <c r="AZ885" s="216">
        <v>8.8400000000000006E-2</v>
      </c>
    </row>
    <row r="886" spans="52:52" x14ac:dyDescent="0.3">
      <c r="AZ886" s="216">
        <v>8.8499999999999995E-2</v>
      </c>
    </row>
    <row r="887" spans="52:52" x14ac:dyDescent="0.3">
      <c r="AZ887" s="216">
        <v>8.8599999999999998E-2</v>
      </c>
    </row>
    <row r="888" spans="52:52" x14ac:dyDescent="0.3">
      <c r="AZ888" s="216">
        <v>8.8700000000000001E-2</v>
      </c>
    </row>
    <row r="889" spans="52:52" x14ac:dyDescent="0.3">
      <c r="AZ889" s="216">
        <v>8.8800000000000004E-2</v>
      </c>
    </row>
    <row r="890" spans="52:52" x14ac:dyDescent="0.3">
      <c r="AZ890" s="216">
        <v>8.8900000000000007E-2</v>
      </c>
    </row>
    <row r="891" spans="52:52" x14ac:dyDescent="0.3">
      <c r="AZ891" s="216">
        <v>8.8999999999999996E-2</v>
      </c>
    </row>
    <row r="892" spans="52:52" x14ac:dyDescent="0.3">
      <c r="AZ892" s="216">
        <v>8.9099999999999999E-2</v>
      </c>
    </row>
    <row r="893" spans="52:52" x14ac:dyDescent="0.3">
      <c r="AZ893" s="216">
        <v>8.9200000000000002E-2</v>
      </c>
    </row>
    <row r="894" spans="52:52" x14ac:dyDescent="0.3">
      <c r="AZ894" s="216">
        <v>8.9300000000000004E-2</v>
      </c>
    </row>
    <row r="895" spans="52:52" x14ac:dyDescent="0.3">
      <c r="AZ895" s="216">
        <v>8.9399999999999993E-2</v>
      </c>
    </row>
    <row r="896" spans="52:52" x14ac:dyDescent="0.3">
      <c r="AZ896" s="216">
        <v>8.9499999999999996E-2</v>
      </c>
    </row>
    <row r="897" spans="52:52" x14ac:dyDescent="0.3">
      <c r="AZ897" s="216">
        <v>8.9599999999999999E-2</v>
      </c>
    </row>
    <row r="898" spans="52:52" x14ac:dyDescent="0.3">
      <c r="AZ898" s="216">
        <v>8.9700000000000002E-2</v>
      </c>
    </row>
    <row r="899" spans="52:52" x14ac:dyDescent="0.3">
      <c r="AZ899" s="216">
        <v>8.9800000000000005E-2</v>
      </c>
    </row>
    <row r="900" spans="52:52" x14ac:dyDescent="0.3">
      <c r="AZ900" s="216">
        <v>8.9899999999999994E-2</v>
      </c>
    </row>
    <row r="901" spans="52:52" x14ac:dyDescent="0.3">
      <c r="AZ901" s="216">
        <v>0.09</v>
      </c>
    </row>
    <row r="902" spans="52:52" x14ac:dyDescent="0.3">
      <c r="AZ902" s="216">
        <v>9.01E-2</v>
      </c>
    </row>
    <row r="903" spans="52:52" x14ac:dyDescent="0.3">
      <c r="AZ903" s="216">
        <v>9.0200000000000002E-2</v>
      </c>
    </row>
    <row r="904" spans="52:52" x14ac:dyDescent="0.3">
      <c r="AZ904" s="216">
        <v>9.0300000000000005E-2</v>
      </c>
    </row>
    <row r="905" spans="52:52" x14ac:dyDescent="0.3">
      <c r="AZ905" s="216">
        <v>9.0399999999999994E-2</v>
      </c>
    </row>
    <row r="906" spans="52:52" x14ac:dyDescent="0.3">
      <c r="AZ906" s="216">
        <v>9.0499999999999997E-2</v>
      </c>
    </row>
    <row r="907" spans="52:52" x14ac:dyDescent="0.3">
      <c r="AZ907" s="216">
        <v>9.06E-2</v>
      </c>
    </row>
    <row r="908" spans="52:52" x14ac:dyDescent="0.3">
      <c r="AZ908" s="216">
        <v>9.0700000000000003E-2</v>
      </c>
    </row>
    <row r="909" spans="52:52" x14ac:dyDescent="0.3">
      <c r="AZ909" s="216">
        <v>9.0800000000000006E-2</v>
      </c>
    </row>
    <row r="910" spans="52:52" x14ac:dyDescent="0.3">
      <c r="AZ910" s="216">
        <v>9.0899999999999995E-2</v>
      </c>
    </row>
    <row r="911" spans="52:52" x14ac:dyDescent="0.3">
      <c r="AZ911" s="216">
        <v>9.0999999999999998E-2</v>
      </c>
    </row>
    <row r="912" spans="52:52" x14ac:dyDescent="0.3">
      <c r="AZ912" s="216">
        <v>9.11E-2</v>
      </c>
    </row>
    <row r="913" spans="52:52" x14ac:dyDescent="0.3">
      <c r="AZ913" s="216">
        <v>9.1200000000000003E-2</v>
      </c>
    </row>
    <row r="914" spans="52:52" x14ac:dyDescent="0.3">
      <c r="AZ914" s="216">
        <v>9.1300000000000006E-2</v>
      </c>
    </row>
    <row r="915" spans="52:52" x14ac:dyDescent="0.3">
      <c r="AZ915" s="216">
        <v>9.1399999999999995E-2</v>
      </c>
    </row>
    <row r="916" spans="52:52" x14ac:dyDescent="0.3">
      <c r="AZ916" s="216">
        <v>9.1499999999999998E-2</v>
      </c>
    </row>
    <row r="917" spans="52:52" x14ac:dyDescent="0.3">
      <c r="AZ917" s="216">
        <v>9.1600000000000001E-2</v>
      </c>
    </row>
    <row r="918" spans="52:52" x14ac:dyDescent="0.3">
      <c r="AZ918" s="216">
        <v>9.1700000000000004E-2</v>
      </c>
    </row>
    <row r="919" spans="52:52" x14ac:dyDescent="0.3">
      <c r="AZ919" s="216">
        <v>9.1800000000000007E-2</v>
      </c>
    </row>
    <row r="920" spans="52:52" x14ac:dyDescent="0.3">
      <c r="AZ920" s="216">
        <v>9.1899999999999996E-2</v>
      </c>
    </row>
    <row r="921" spans="52:52" x14ac:dyDescent="0.3">
      <c r="AZ921" s="216">
        <v>9.1999999999999998E-2</v>
      </c>
    </row>
    <row r="922" spans="52:52" x14ac:dyDescent="0.3">
      <c r="AZ922" s="216">
        <v>9.2100000000000001E-2</v>
      </c>
    </row>
    <row r="923" spans="52:52" x14ac:dyDescent="0.3">
      <c r="AZ923" s="216">
        <v>9.2200000000000004E-2</v>
      </c>
    </row>
    <row r="924" spans="52:52" x14ac:dyDescent="0.3">
      <c r="AZ924" s="216">
        <v>9.2299999999999993E-2</v>
      </c>
    </row>
    <row r="925" spans="52:52" x14ac:dyDescent="0.3">
      <c r="AZ925" s="216">
        <v>9.2399999999999996E-2</v>
      </c>
    </row>
    <row r="926" spans="52:52" x14ac:dyDescent="0.3">
      <c r="AZ926" s="216">
        <v>9.2499999999999999E-2</v>
      </c>
    </row>
    <row r="927" spans="52:52" x14ac:dyDescent="0.3">
      <c r="AZ927" s="216">
        <v>9.2600000000000002E-2</v>
      </c>
    </row>
    <row r="928" spans="52:52" x14ac:dyDescent="0.3">
      <c r="AZ928" s="216">
        <v>9.2700000000000005E-2</v>
      </c>
    </row>
    <row r="929" spans="52:52" x14ac:dyDescent="0.3">
      <c r="AZ929" s="216">
        <v>9.2799999999999994E-2</v>
      </c>
    </row>
    <row r="930" spans="52:52" x14ac:dyDescent="0.3">
      <c r="AZ930" s="216">
        <v>9.2899999999999996E-2</v>
      </c>
    </row>
    <row r="931" spans="52:52" x14ac:dyDescent="0.3">
      <c r="AZ931" s="216">
        <v>9.2999999999999999E-2</v>
      </c>
    </row>
    <row r="932" spans="52:52" x14ac:dyDescent="0.3">
      <c r="AZ932" s="216">
        <v>9.3100000000000002E-2</v>
      </c>
    </row>
    <row r="933" spans="52:52" x14ac:dyDescent="0.3">
      <c r="AZ933" s="216">
        <v>9.3200000000000005E-2</v>
      </c>
    </row>
    <row r="934" spans="52:52" x14ac:dyDescent="0.3">
      <c r="AZ934" s="216">
        <v>9.3299999999999994E-2</v>
      </c>
    </row>
    <row r="935" spans="52:52" x14ac:dyDescent="0.3">
      <c r="AZ935" s="216">
        <v>9.3399999999999997E-2</v>
      </c>
    </row>
    <row r="936" spans="52:52" x14ac:dyDescent="0.3">
      <c r="AZ936" s="216">
        <v>9.35E-2</v>
      </c>
    </row>
    <row r="937" spans="52:52" x14ac:dyDescent="0.3">
      <c r="AZ937" s="216">
        <v>9.3600000000000003E-2</v>
      </c>
    </row>
    <row r="938" spans="52:52" x14ac:dyDescent="0.3">
      <c r="AZ938" s="216">
        <v>9.3700000000000006E-2</v>
      </c>
    </row>
    <row r="939" spans="52:52" x14ac:dyDescent="0.3">
      <c r="AZ939" s="216">
        <v>9.3799999999999994E-2</v>
      </c>
    </row>
    <row r="940" spans="52:52" x14ac:dyDescent="0.3">
      <c r="AZ940" s="216">
        <v>9.3899999999999997E-2</v>
      </c>
    </row>
    <row r="941" spans="52:52" x14ac:dyDescent="0.3">
      <c r="AZ941" s="216">
        <v>9.4E-2</v>
      </c>
    </row>
    <row r="942" spans="52:52" x14ac:dyDescent="0.3">
      <c r="AZ942" s="216">
        <v>9.4100000000000003E-2</v>
      </c>
    </row>
    <row r="943" spans="52:52" x14ac:dyDescent="0.3">
      <c r="AZ943" s="216">
        <v>9.4200000000000006E-2</v>
      </c>
    </row>
    <row r="944" spans="52:52" x14ac:dyDescent="0.3">
      <c r="AZ944" s="216">
        <v>9.4299999999999995E-2</v>
      </c>
    </row>
    <row r="945" spans="52:52" x14ac:dyDescent="0.3">
      <c r="AZ945" s="216">
        <v>9.4399999999999998E-2</v>
      </c>
    </row>
    <row r="946" spans="52:52" x14ac:dyDescent="0.3">
      <c r="AZ946" s="216">
        <v>9.4500000000000001E-2</v>
      </c>
    </row>
    <row r="947" spans="52:52" x14ac:dyDescent="0.3">
      <c r="AZ947" s="216">
        <v>9.4600000000000004E-2</v>
      </c>
    </row>
    <row r="948" spans="52:52" x14ac:dyDescent="0.3">
      <c r="AZ948" s="216">
        <v>9.4700000000000006E-2</v>
      </c>
    </row>
    <row r="949" spans="52:52" x14ac:dyDescent="0.3">
      <c r="AZ949" s="216">
        <v>9.4799999999999995E-2</v>
      </c>
    </row>
    <row r="950" spans="52:52" x14ac:dyDescent="0.3">
      <c r="AZ950" s="216">
        <v>9.4899999999999998E-2</v>
      </c>
    </row>
    <row r="951" spans="52:52" x14ac:dyDescent="0.3">
      <c r="AZ951" s="216">
        <v>9.5000000000000001E-2</v>
      </c>
    </row>
    <row r="952" spans="52:52" x14ac:dyDescent="0.3">
      <c r="AZ952" s="216">
        <v>9.5100000000000004E-2</v>
      </c>
    </row>
    <row r="953" spans="52:52" x14ac:dyDescent="0.3">
      <c r="AZ953" s="216">
        <v>9.5200000000000007E-2</v>
      </c>
    </row>
    <row r="954" spans="52:52" x14ac:dyDescent="0.3">
      <c r="AZ954" s="216">
        <v>9.5299999999999996E-2</v>
      </c>
    </row>
    <row r="955" spans="52:52" x14ac:dyDescent="0.3">
      <c r="AZ955" s="216">
        <v>9.5399999999999999E-2</v>
      </c>
    </row>
    <row r="956" spans="52:52" x14ac:dyDescent="0.3">
      <c r="AZ956" s="216">
        <v>9.5500000000000002E-2</v>
      </c>
    </row>
    <row r="957" spans="52:52" x14ac:dyDescent="0.3">
      <c r="AZ957" s="216">
        <v>9.5600000000000004E-2</v>
      </c>
    </row>
    <row r="958" spans="52:52" x14ac:dyDescent="0.3">
      <c r="AZ958" s="216">
        <v>9.5699999999999993E-2</v>
      </c>
    </row>
    <row r="959" spans="52:52" x14ac:dyDescent="0.3">
      <c r="AZ959" s="216">
        <v>9.5799999999999996E-2</v>
      </c>
    </row>
    <row r="960" spans="52:52" x14ac:dyDescent="0.3">
      <c r="AZ960" s="216">
        <v>9.5899999999999999E-2</v>
      </c>
    </row>
    <row r="961" spans="52:52" x14ac:dyDescent="0.3">
      <c r="AZ961" s="216">
        <v>9.6000000000000002E-2</v>
      </c>
    </row>
    <row r="962" spans="52:52" x14ac:dyDescent="0.3">
      <c r="AZ962" s="216">
        <v>9.6100000000000005E-2</v>
      </c>
    </row>
    <row r="963" spans="52:52" x14ac:dyDescent="0.3">
      <c r="AZ963" s="216">
        <v>9.6199999999999994E-2</v>
      </c>
    </row>
    <row r="964" spans="52:52" x14ac:dyDescent="0.3">
      <c r="AZ964" s="216">
        <v>9.6299999999999997E-2</v>
      </c>
    </row>
    <row r="965" spans="52:52" x14ac:dyDescent="0.3">
      <c r="AZ965" s="216">
        <v>9.64E-2</v>
      </c>
    </row>
    <row r="966" spans="52:52" x14ac:dyDescent="0.3">
      <c r="AZ966" s="216">
        <v>9.6500000000000002E-2</v>
      </c>
    </row>
    <row r="967" spans="52:52" x14ac:dyDescent="0.3">
      <c r="AZ967" s="216">
        <v>9.6600000000000005E-2</v>
      </c>
    </row>
    <row r="968" spans="52:52" x14ac:dyDescent="0.3">
      <c r="AZ968" s="216">
        <v>9.6699999999999994E-2</v>
      </c>
    </row>
    <row r="969" spans="52:52" x14ac:dyDescent="0.3">
      <c r="AZ969" s="216">
        <v>9.6799999999999997E-2</v>
      </c>
    </row>
    <row r="970" spans="52:52" x14ac:dyDescent="0.3">
      <c r="AZ970" s="216">
        <v>9.69E-2</v>
      </c>
    </row>
    <row r="971" spans="52:52" x14ac:dyDescent="0.3">
      <c r="AZ971" s="216">
        <v>9.7000000000000003E-2</v>
      </c>
    </row>
    <row r="972" spans="52:52" x14ac:dyDescent="0.3">
      <c r="AZ972" s="216">
        <v>9.7100000000000006E-2</v>
      </c>
    </row>
    <row r="973" spans="52:52" x14ac:dyDescent="0.3">
      <c r="AZ973" s="216">
        <v>9.7199999999999995E-2</v>
      </c>
    </row>
    <row r="974" spans="52:52" x14ac:dyDescent="0.3">
      <c r="AZ974" s="216">
        <v>9.7299999999999998E-2</v>
      </c>
    </row>
    <row r="975" spans="52:52" x14ac:dyDescent="0.3">
      <c r="AZ975" s="216">
        <v>9.74E-2</v>
      </c>
    </row>
    <row r="976" spans="52:52" x14ac:dyDescent="0.3">
      <c r="AZ976" s="216">
        <v>9.7500000000000003E-2</v>
      </c>
    </row>
    <row r="977" spans="52:52" x14ac:dyDescent="0.3">
      <c r="AZ977" s="216">
        <v>9.7600000000000006E-2</v>
      </c>
    </row>
    <row r="978" spans="52:52" x14ac:dyDescent="0.3">
      <c r="AZ978" s="216">
        <v>9.7699999999999995E-2</v>
      </c>
    </row>
    <row r="979" spans="52:52" x14ac:dyDescent="0.3">
      <c r="AZ979" s="216">
        <v>9.7799999999999998E-2</v>
      </c>
    </row>
    <row r="980" spans="52:52" x14ac:dyDescent="0.3">
      <c r="AZ980" s="216">
        <v>9.7900000000000001E-2</v>
      </c>
    </row>
    <row r="981" spans="52:52" x14ac:dyDescent="0.3">
      <c r="AZ981" s="216">
        <v>9.8000000000000004E-2</v>
      </c>
    </row>
    <row r="982" spans="52:52" x14ac:dyDescent="0.3">
      <c r="AZ982" s="216">
        <v>9.8100000000000007E-2</v>
      </c>
    </row>
    <row r="983" spans="52:52" x14ac:dyDescent="0.3">
      <c r="AZ983" s="216">
        <v>9.8199999999999996E-2</v>
      </c>
    </row>
    <row r="984" spans="52:52" x14ac:dyDescent="0.3">
      <c r="AZ984" s="216">
        <v>9.8299999999999998E-2</v>
      </c>
    </row>
    <row r="985" spans="52:52" x14ac:dyDescent="0.3">
      <c r="AZ985" s="216">
        <v>9.8400000000000001E-2</v>
      </c>
    </row>
    <row r="986" spans="52:52" x14ac:dyDescent="0.3">
      <c r="AZ986" s="216">
        <v>9.8500000000000004E-2</v>
      </c>
    </row>
    <row r="987" spans="52:52" x14ac:dyDescent="0.3">
      <c r="AZ987" s="216">
        <v>9.8599999999999993E-2</v>
      </c>
    </row>
    <row r="988" spans="52:52" x14ac:dyDescent="0.3">
      <c r="AZ988" s="216">
        <v>9.8699999999999996E-2</v>
      </c>
    </row>
    <row r="989" spans="52:52" x14ac:dyDescent="0.3">
      <c r="AZ989" s="216">
        <v>9.8799999999999999E-2</v>
      </c>
    </row>
    <row r="990" spans="52:52" x14ac:dyDescent="0.3">
      <c r="AZ990" s="216">
        <v>9.8900000000000002E-2</v>
      </c>
    </row>
    <row r="991" spans="52:52" x14ac:dyDescent="0.3">
      <c r="AZ991" s="216">
        <v>9.9000000000000005E-2</v>
      </c>
    </row>
    <row r="992" spans="52:52" x14ac:dyDescent="0.3">
      <c r="AZ992" s="216">
        <v>9.9099999999999994E-2</v>
      </c>
    </row>
    <row r="993" spans="52:52" x14ac:dyDescent="0.3">
      <c r="AZ993" s="216">
        <v>9.9199999999999997E-2</v>
      </c>
    </row>
    <row r="994" spans="52:52" x14ac:dyDescent="0.3">
      <c r="AZ994" s="216">
        <v>9.9299999999999999E-2</v>
      </c>
    </row>
    <row r="995" spans="52:52" x14ac:dyDescent="0.3">
      <c r="AZ995" s="216">
        <v>9.9400000000000002E-2</v>
      </c>
    </row>
    <row r="996" spans="52:52" x14ac:dyDescent="0.3">
      <c r="AZ996" s="216">
        <v>9.9500000000000005E-2</v>
      </c>
    </row>
    <row r="997" spans="52:52" x14ac:dyDescent="0.3">
      <c r="AZ997" s="216">
        <v>9.9599999999999994E-2</v>
      </c>
    </row>
    <row r="998" spans="52:52" x14ac:dyDescent="0.3">
      <c r="AZ998" s="216">
        <v>9.9699999999999997E-2</v>
      </c>
    </row>
    <row r="999" spans="52:52" x14ac:dyDescent="0.3">
      <c r="AZ999" s="216">
        <v>9.98E-2</v>
      </c>
    </row>
    <row r="1000" spans="52:52" x14ac:dyDescent="0.3">
      <c r="AZ1000" s="216">
        <v>9.9900000000000003E-2</v>
      </c>
    </row>
    <row r="1001" spans="52:52" x14ac:dyDescent="0.3">
      <c r="AZ1001" s="216">
        <v>0.1</v>
      </c>
    </row>
    <row r="1002" spans="52:52" x14ac:dyDescent="0.3">
      <c r="AZ1002" s="216">
        <v>0.10009999999999999</v>
      </c>
    </row>
    <row r="1003" spans="52:52" x14ac:dyDescent="0.3">
      <c r="AZ1003" s="216">
        <v>0.1002</v>
      </c>
    </row>
    <row r="1004" spans="52:52" x14ac:dyDescent="0.3">
      <c r="AZ1004" s="216">
        <v>0.1003</v>
      </c>
    </row>
    <row r="1005" spans="52:52" x14ac:dyDescent="0.3">
      <c r="AZ1005" s="216">
        <v>0.1004</v>
      </c>
    </row>
    <row r="1006" spans="52:52" x14ac:dyDescent="0.3">
      <c r="AZ1006" s="216">
        <v>0.10050000000000001</v>
      </c>
    </row>
    <row r="1007" spans="52:52" x14ac:dyDescent="0.3">
      <c r="AZ1007" s="216">
        <v>0.10059999999999999</v>
      </c>
    </row>
    <row r="1008" spans="52:52" x14ac:dyDescent="0.3">
      <c r="AZ1008" s="216">
        <v>0.1007</v>
      </c>
    </row>
    <row r="1009" spans="52:52" x14ac:dyDescent="0.3">
      <c r="AZ1009" s="216">
        <v>0.1008</v>
      </c>
    </row>
    <row r="1010" spans="52:52" x14ac:dyDescent="0.3">
      <c r="AZ1010" s="216">
        <v>0.1009</v>
      </c>
    </row>
    <row r="1011" spans="52:52" x14ac:dyDescent="0.3">
      <c r="AZ1011" s="216">
        <v>0.10100000000000001</v>
      </c>
    </row>
    <row r="1012" spans="52:52" x14ac:dyDescent="0.3">
      <c r="AZ1012" s="216">
        <v>0.1011</v>
      </c>
    </row>
    <row r="1013" spans="52:52" x14ac:dyDescent="0.3">
      <c r="AZ1013" s="216">
        <v>0.1012</v>
      </c>
    </row>
    <row r="1014" spans="52:52" x14ac:dyDescent="0.3">
      <c r="AZ1014" s="216">
        <v>0.1013</v>
      </c>
    </row>
    <row r="1015" spans="52:52" x14ac:dyDescent="0.3">
      <c r="AZ1015" s="216">
        <v>0.1014</v>
      </c>
    </row>
    <row r="1016" spans="52:52" x14ac:dyDescent="0.3">
      <c r="AZ1016" s="216">
        <v>0.10150000000000001</v>
      </c>
    </row>
    <row r="1017" spans="52:52" x14ac:dyDescent="0.3">
      <c r="AZ1017" s="216">
        <v>0.1016</v>
      </c>
    </row>
    <row r="1018" spans="52:52" x14ac:dyDescent="0.3">
      <c r="AZ1018" s="216">
        <v>0.1017</v>
      </c>
    </row>
    <row r="1019" spans="52:52" x14ac:dyDescent="0.3">
      <c r="AZ1019" s="216">
        <v>0.1018</v>
      </c>
    </row>
    <row r="1020" spans="52:52" x14ac:dyDescent="0.3">
      <c r="AZ1020" s="216">
        <v>0.1019</v>
      </c>
    </row>
    <row r="1021" spans="52:52" x14ac:dyDescent="0.3">
      <c r="AZ1021" s="216">
        <v>0.10199999999999999</v>
      </c>
    </row>
    <row r="1022" spans="52:52" x14ac:dyDescent="0.3">
      <c r="AZ1022" s="216">
        <v>0.1021</v>
      </c>
    </row>
    <row r="1023" spans="52:52" x14ac:dyDescent="0.3">
      <c r="AZ1023" s="216">
        <v>0.1022</v>
      </c>
    </row>
    <row r="1024" spans="52:52" x14ac:dyDescent="0.3">
      <c r="AZ1024" s="216">
        <v>0.1023</v>
      </c>
    </row>
    <row r="1025" spans="52:52" x14ac:dyDescent="0.3">
      <c r="AZ1025" s="216">
        <v>0.1024</v>
      </c>
    </row>
    <row r="1026" spans="52:52" x14ac:dyDescent="0.3">
      <c r="AZ1026" s="216">
        <v>0.10249999999999999</v>
      </c>
    </row>
    <row r="1027" spans="52:52" x14ac:dyDescent="0.3">
      <c r="AZ1027" s="216">
        <v>0.1026</v>
      </c>
    </row>
    <row r="1028" spans="52:52" x14ac:dyDescent="0.3">
      <c r="AZ1028" s="216">
        <v>0.1027</v>
      </c>
    </row>
    <row r="1029" spans="52:52" x14ac:dyDescent="0.3">
      <c r="AZ1029" s="216">
        <v>0.1028</v>
      </c>
    </row>
    <row r="1030" spans="52:52" x14ac:dyDescent="0.3">
      <c r="AZ1030" s="216">
        <v>0.10290000000000001</v>
      </c>
    </row>
    <row r="1031" spans="52:52" x14ac:dyDescent="0.3">
      <c r="AZ1031" s="216">
        <v>0.10299999999999999</v>
      </c>
    </row>
    <row r="1032" spans="52:52" x14ac:dyDescent="0.3">
      <c r="AZ1032" s="216">
        <v>0.1031</v>
      </c>
    </row>
    <row r="1033" spans="52:52" x14ac:dyDescent="0.3">
      <c r="AZ1033" s="216">
        <v>0.1032</v>
      </c>
    </row>
    <row r="1034" spans="52:52" x14ac:dyDescent="0.3">
      <c r="AZ1034" s="216">
        <v>0.1033</v>
      </c>
    </row>
    <row r="1035" spans="52:52" x14ac:dyDescent="0.3">
      <c r="AZ1035" s="216">
        <v>0.10340000000000001</v>
      </c>
    </row>
    <row r="1036" spans="52:52" x14ac:dyDescent="0.3">
      <c r="AZ1036" s="216">
        <v>0.10349999999999999</v>
      </c>
    </row>
    <row r="1037" spans="52:52" x14ac:dyDescent="0.3">
      <c r="AZ1037" s="216">
        <v>0.1036</v>
      </c>
    </row>
    <row r="1038" spans="52:52" x14ac:dyDescent="0.3">
      <c r="AZ1038" s="216">
        <v>0.1037</v>
      </c>
    </row>
    <row r="1039" spans="52:52" x14ac:dyDescent="0.3">
      <c r="AZ1039" s="216">
        <v>0.1038</v>
      </c>
    </row>
    <row r="1040" spans="52:52" x14ac:dyDescent="0.3">
      <c r="AZ1040" s="216">
        <v>0.10390000000000001</v>
      </c>
    </row>
    <row r="1041" spans="52:52" x14ac:dyDescent="0.3">
      <c r="AZ1041" s="216">
        <v>0.104</v>
      </c>
    </row>
    <row r="1042" spans="52:52" x14ac:dyDescent="0.3">
      <c r="AZ1042" s="216">
        <v>0.1041</v>
      </c>
    </row>
    <row r="1043" spans="52:52" x14ac:dyDescent="0.3">
      <c r="AZ1043" s="216">
        <v>0.1042</v>
      </c>
    </row>
    <row r="1044" spans="52:52" x14ac:dyDescent="0.3">
      <c r="AZ1044" s="216">
        <v>0.1043</v>
      </c>
    </row>
    <row r="1045" spans="52:52" x14ac:dyDescent="0.3">
      <c r="AZ1045" s="216">
        <v>0.10440000000000001</v>
      </c>
    </row>
    <row r="1046" spans="52:52" x14ac:dyDescent="0.3">
      <c r="AZ1046" s="216">
        <v>0.1045</v>
      </c>
    </row>
    <row r="1047" spans="52:52" x14ac:dyDescent="0.3">
      <c r="AZ1047" s="216">
        <v>0.1046</v>
      </c>
    </row>
    <row r="1048" spans="52:52" x14ac:dyDescent="0.3">
      <c r="AZ1048" s="216">
        <v>0.1047</v>
      </c>
    </row>
    <row r="1049" spans="52:52" x14ac:dyDescent="0.3">
      <c r="AZ1049" s="216">
        <v>0.1048</v>
      </c>
    </row>
    <row r="1050" spans="52:52" x14ac:dyDescent="0.3">
      <c r="AZ1050" s="216">
        <v>0.10489999999999999</v>
      </c>
    </row>
    <row r="1051" spans="52:52" x14ac:dyDescent="0.3">
      <c r="AZ1051" s="216">
        <v>0.105</v>
      </c>
    </row>
    <row r="1052" spans="52:52" x14ac:dyDescent="0.3">
      <c r="AZ1052" s="216">
        <v>0.1051</v>
      </c>
    </row>
    <row r="1053" spans="52:52" x14ac:dyDescent="0.3">
      <c r="AZ1053" s="216">
        <v>0.1052</v>
      </c>
    </row>
    <row r="1054" spans="52:52" x14ac:dyDescent="0.3">
      <c r="AZ1054" s="216">
        <v>0.1053</v>
      </c>
    </row>
    <row r="1055" spans="52:52" x14ac:dyDescent="0.3">
      <c r="AZ1055" s="216">
        <v>0.10539999999999999</v>
      </c>
    </row>
    <row r="1056" spans="52:52" x14ac:dyDescent="0.3">
      <c r="AZ1056" s="216">
        <v>0.1055</v>
      </c>
    </row>
    <row r="1057" spans="52:52" x14ac:dyDescent="0.3">
      <c r="AZ1057" s="216">
        <v>0.1056</v>
      </c>
    </row>
    <row r="1058" spans="52:52" x14ac:dyDescent="0.3">
      <c r="AZ1058" s="216">
        <v>0.1057</v>
      </c>
    </row>
    <row r="1059" spans="52:52" x14ac:dyDescent="0.3">
      <c r="AZ1059" s="216">
        <v>0.10580000000000001</v>
      </c>
    </row>
    <row r="1060" spans="52:52" x14ac:dyDescent="0.3">
      <c r="AZ1060" s="216">
        <v>0.10589999999999999</v>
      </c>
    </row>
    <row r="1061" spans="52:52" x14ac:dyDescent="0.3">
      <c r="AZ1061" s="216">
        <v>0.106</v>
      </c>
    </row>
    <row r="1062" spans="52:52" x14ac:dyDescent="0.3">
      <c r="AZ1062" s="216">
        <v>0.1061</v>
      </c>
    </row>
    <row r="1063" spans="52:52" x14ac:dyDescent="0.3">
      <c r="AZ1063" s="216">
        <v>0.1062</v>
      </c>
    </row>
    <row r="1064" spans="52:52" x14ac:dyDescent="0.3">
      <c r="AZ1064" s="216">
        <v>0.10630000000000001</v>
      </c>
    </row>
    <row r="1065" spans="52:52" x14ac:dyDescent="0.3">
      <c r="AZ1065" s="216">
        <v>0.10639999999999999</v>
      </c>
    </row>
    <row r="1066" spans="52:52" x14ac:dyDescent="0.3">
      <c r="AZ1066" s="216">
        <v>0.1065</v>
      </c>
    </row>
    <row r="1067" spans="52:52" x14ac:dyDescent="0.3">
      <c r="AZ1067" s="216">
        <v>0.1066</v>
      </c>
    </row>
    <row r="1068" spans="52:52" x14ac:dyDescent="0.3">
      <c r="AZ1068" s="216">
        <v>0.1067</v>
      </c>
    </row>
    <row r="1069" spans="52:52" x14ac:dyDescent="0.3">
      <c r="AZ1069" s="216">
        <v>0.10680000000000001</v>
      </c>
    </row>
    <row r="1070" spans="52:52" x14ac:dyDescent="0.3">
      <c r="AZ1070" s="216">
        <v>0.1069</v>
      </c>
    </row>
    <row r="1071" spans="52:52" x14ac:dyDescent="0.3">
      <c r="AZ1071" s="216">
        <v>0.107</v>
      </c>
    </row>
    <row r="1072" spans="52:52" x14ac:dyDescent="0.3">
      <c r="AZ1072" s="216">
        <v>0.1071</v>
      </c>
    </row>
    <row r="1073" spans="52:52" x14ac:dyDescent="0.3">
      <c r="AZ1073" s="216">
        <v>0.1072</v>
      </c>
    </row>
    <row r="1074" spans="52:52" x14ac:dyDescent="0.3">
      <c r="AZ1074" s="216">
        <v>0.10730000000000001</v>
      </c>
    </row>
    <row r="1075" spans="52:52" x14ac:dyDescent="0.3">
      <c r="AZ1075" s="216">
        <v>0.1074</v>
      </c>
    </row>
    <row r="1076" spans="52:52" x14ac:dyDescent="0.3">
      <c r="AZ1076" s="216">
        <v>0.1075</v>
      </c>
    </row>
    <row r="1077" spans="52:52" x14ac:dyDescent="0.3">
      <c r="AZ1077" s="216">
        <v>0.1076</v>
      </c>
    </row>
    <row r="1078" spans="52:52" x14ac:dyDescent="0.3">
      <c r="AZ1078" s="216">
        <v>0.1077</v>
      </c>
    </row>
    <row r="1079" spans="52:52" x14ac:dyDescent="0.3">
      <c r="AZ1079" s="216">
        <v>0.10780000000000001</v>
      </c>
    </row>
    <row r="1080" spans="52:52" x14ac:dyDescent="0.3">
      <c r="AZ1080" s="216">
        <v>0.1079</v>
      </c>
    </row>
    <row r="1081" spans="52:52" x14ac:dyDescent="0.3">
      <c r="AZ1081" s="216">
        <v>0.108</v>
      </c>
    </row>
    <row r="1082" spans="52:52" x14ac:dyDescent="0.3">
      <c r="AZ1082" s="216">
        <v>0.1081</v>
      </c>
    </row>
    <row r="1083" spans="52:52" x14ac:dyDescent="0.3">
      <c r="AZ1083" s="216">
        <v>0.1082</v>
      </c>
    </row>
    <row r="1084" spans="52:52" x14ac:dyDescent="0.3">
      <c r="AZ1084" s="216">
        <v>0.10829999999999999</v>
      </c>
    </row>
    <row r="1085" spans="52:52" x14ac:dyDescent="0.3">
      <c r="AZ1085" s="216">
        <v>0.1084</v>
      </c>
    </row>
    <row r="1086" spans="52:52" x14ac:dyDescent="0.3">
      <c r="AZ1086" s="216">
        <v>0.1085</v>
      </c>
    </row>
    <row r="1087" spans="52:52" x14ac:dyDescent="0.3">
      <c r="AZ1087" s="216">
        <v>0.1086</v>
      </c>
    </row>
    <row r="1088" spans="52:52" x14ac:dyDescent="0.3">
      <c r="AZ1088" s="216">
        <v>0.1087</v>
      </c>
    </row>
    <row r="1089" spans="52:52" x14ac:dyDescent="0.3">
      <c r="AZ1089" s="216">
        <v>0.10879999999999999</v>
      </c>
    </row>
    <row r="1090" spans="52:52" x14ac:dyDescent="0.3">
      <c r="AZ1090" s="216">
        <v>0.1089</v>
      </c>
    </row>
    <row r="1091" spans="52:52" x14ac:dyDescent="0.3">
      <c r="AZ1091" s="216">
        <v>0.109</v>
      </c>
    </row>
    <row r="1092" spans="52:52" x14ac:dyDescent="0.3">
      <c r="AZ1092" s="216">
        <v>0.1091</v>
      </c>
    </row>
    <row r="1093" spans="52:52" x14ac:dyDescent="0.3">
      <c r="AZ1093" s="216">
        <v>0.10920000000000001</v>
      </c>
    </row>
    <row r="1094" spans="52:52" x14ac:dyDescent="0.3">
      <c r="AZ1094" s="216">
        <v>0.10929999999999999</v>
      </c>
    </row>
    <row r="1095" spans="52:52" x14ac:dyDescent="0.3">
      <c r="AZ1095" s="216">
        <v>0.1094</v>
      </c>
    </row>
    <row r="1096" spans="52:52" x14ac:dyDescent="0.3">
      <c r="AZ1096" s="216">
        <v>0.1095</v>
      </c>
    </row>
    <row r="1097" spans="52:52" x14ac:dyDescent="0.3">
      <c r="AZ1097" s="216">
        <v>0.1096</v>
      </c>
    </row>
    <row r="1098" spans="52:52" x14ac:dyDescent="0.3">
      <c r="AZ1098" s="216">
        <v>0.10970000000000001</v>
      </c>
    </row>
    <row r="1099" spans="52:52" x14ac:dyDescent="0.3">
      <c r="AZ1099" s="216">
        <v>0.10979999999999999</v>
      </c>
    </row>
    <row r="1100" spans="52:52" x14ac:dyDescent="0.3">
      <c r="AZ1100" s="216">
        <v>0.1099</v>
      </c>
    </row>
    <row r="1101" spans="52:52" x14ac:dyDescent="0.3">
      <c r="AZ1101" s="216">
        <v>0.11</v>
      </c>
    </row>
    <row r="1102" spans="52:52" x14ac:dyDescent="0.3">
      <c r="AZ1102" s="216">
        <v>0.1101</v>
      </c>
    </row>
    <row r="1103" spans="52:52" x14ac:dyDescent="0.3">
      <c r="AZ1103" s="216">
        <v>0.11020000000000001</v>
      </c>
    </row>
    <row r="1104" spans="52:52" x14ac:dyDescent="0.3">
      <c r="AZ1104" s="216">
        <v>0.1103</v>
      </c>
    </row>
    <row r="1105" spans="52:52" x14ac:dyDescent="0.3">
      <c r="AZ1105" s="216">
        <v>0.1104</v>
      </c>
    </row>
    <row r="1106" spans="52:52" x14ac:dyDescent="0.3">
      <c r="AZ1106" s="216">
        <v>0.1105</v>
      </c>
    </row>
    <row r="1107" spans="52:52" x14ac:dyDescent="0.3">
      <c r="AZ1107" s="216">
        <v>0.1106</v>
      </c>
    </row>
    <row r="1108" spans="52:52" x14ac:dyDescent="0.3">
      <c r="AZ1108" s="216">
        <v>0.11070000000000001</v>
      </c>
    </row>
    <row r="1109" spans="52:52" x14ac:dyDescent="0.3">
      <c r="AZ1109" s="216">
        <v>0.1108</v>
      </c>
    </row>
    <row r="1110" spans="52:52" x14ac:dyDescent="0.3">
      <c r="AZ1110" s="216">
        <v>0.1109</v>
      </c>
    </row>
    <row r="1111" spans="52:52" x14ac:dyDescent="0.3">
      <c r="AZ1111" s="216">
        <v>0.111</v>
      </c>
    </row>
    <row r="1112" spans="52:52" x14ac:dyDescent="0.3">
      <c r="AZ1112" s="216">
        <v>0.1111</v>
      </c>
    </row>
    <row r="1113" spans="52:52" x14ac:dyDescent="0.3">
      <c r="AZ1113" s="216">
        <v>0.11119999999999999</v>
      </c>
    </row>
    <row r="1114" spans="52:52" x14ac:dyDescent="0.3">
      <c r="AZ1114" s="216">
        <v>0.1113</v>
      </c>
    </row>
    <row r="1115" spans="52:52" x14ac:dyDescent="0.3">
      <c r="AZ1115" s="216">
        <v>0.1114</v>
      </c>
    </row>
    <row r="1116" spans="52:52" x14ac:dyDescent="0.3">
      <c r="AZ1116" s="216">
        <v>0.1115</v>
      </c>
    </row>
    <row r="1117" spans="52:52" x14ac:dyDescent="0.3">
      <c r="AZ1117" s="216">
        <v>0.1116</v>
      </c>
    </row>
    <row r="1118" spans="52:52" x14ac:dyDescent="0.3">
      <c r="AZ1118" s="216">
        <v>0.11169999999999999</v>
      </c>
    </row>
    <row r="1119" spans="52:52" x14ac:dyDescent="0.3">
      <c r="AZ1119" s="216">
        <v>0.1118</v>
      </c>
    </row>
    <row r="1120" spans="52:52" x14ac:dyDescent="0.3">
      <c r="AZ1120" s="216">
        <v>0.1119</v>
      </c>
    </row>
    <row r="1121" spans="52:52" x14ac:dyDescent="0.3">
      <c r="AZ1121" s="216">
        <v>0.112</v>
      </c>
    </row>
    <row r="1122" spans="52:52" x14ac:dyDescent="0.3">
      <c r="AZ1122" s="216">
        <v>0.11210000000000001</v>
      </c>
    </row>
    <row r="1123" spans="52:52" x14ac:dyDescent="0.3">
      <c r="AZ1123" s="216">
        <v>0.11219999999999999</v>
      </c>
    </row>
    <row r="1124" spans="52:52" x14ac:dyDescent="0.3">
      <c r="AZ1124" s="216">
        <v>0.1123</v>
      </c>
    </row>
    <row r="1125" spans="52:52" x14ac:dyDescent="0.3">
      <c r="AZ1125" s="216">
        <v>0.1124</v>
      </c>
    </row>
    <row r="1126" spans="52:52" x14ac:dyDescent="0.3">
      <c r="AZ1126" s="216">
        <v>0.1125</v>
      </c>
    </row>
    <row r="1127" spans="52:52" x14ac:dyDescent="0.3">
      <c r="AZ1127" s="216">
        <v>0.11260000000000001</v>
      </c>
    </row>
    <row r="1128" spans="52:52" x14ac:dyDescent="0.3">
      <c r="AZ1128" s="216">
        <v>0.11269999999999999</v>
      </c>
    </row>
    <row r="1129" spans="52:52" x14ac:dyDescent="0.3">
      <c r="AZ1129" s="216">
        <v>0.1128</v>
      </c>
    </row>
    <row r="1130" spans="52:52" x14ac:dyDescent="0.3">
      <c r="AZ1130" s="216">
        <v>0.1129</v>
      </c>
    </row>
    <row r="1131" spans="52:52" x14ac:dyDescent="0.3">
      <c r="AZ1131" s="216">
        <v>0.113</v>
      </c>
    </row>
    <row r="1132" spans="52:52" x14ac:dyDescent="0.3">
      <c r="AZ1132" s="216">
        <v>0.11310000000000001</v>
      </c>
    </row>
    <row r="1133" spans="52:52" x14ac:dyDescent="0.3">
      <c r="AZ1133" s="216">
        <v>0.1132</v>
      </c>
    </row>
    <row r="1134" spans="52:52" x14ac:dyDescent="0.3">
      <c r="AZ1134" s="216">
        <v>0.1133</v>
      </c>
    </row>
    <row r="1135" spans="52:52" x14ac:dyDescent="0.3">
      <c r="AZ1135" s="216">
        <v>0.1134</v>
      </c>
    </row>
    <row r="1136" spans="52:52" x14ac:dyDescent="0.3">
      <c r="AZ1136" s="216">
        <v>0.1135</v>
      </c>
    </row>
    <row r="1137" spans="52:52" x14ac:dyDescent="0.3">
      <c r="AZ1137" s="216">
        <v>0.11360000000000001</v>
      </c>
    </row>
    <row r="1138" spans="52:52" x14ac:dyDescent="0.3">
      <c r="AZ1138" s="216">
        <v>0.1137</v>
      </c>
    </row>
    <row r="1139" spans="52:52" x14ac:dyDescent="0.3">
      <c r="AZ1139" s="216">
        <v>0.1138</v>
      </c>
    </row>
    <row r="1140" spans="52:52" x14ac:dyDescent="0.3">
      <c r="AZ1140" s="216">
        <v>0.1139</v>
      </c>
    </row>
    <row r="1141" spans="52:52" x14ac:dyDescent="0.3">
      <c r="AZ1141" s="216">
        <v>0.114</v>
      </c>
    </row>
    <row r="1142" spans="52:52" x14ac:dyDescent="0.3">
      <c r="AZ1142" s="216">
        <v>0.11409999999999999</v>
      </c>
    </row>
    <row r="1143" spans="52:52" x14ac:dyDescent="0.3">
      <c r="AZ1143" s="216">
        <v>0.1142</v>
      </c>
    </row>
    <row r="1144" spans="52:52" x14ac:dyDescent="0.3">
      <c r="AZ1144" s="216">
        <v>0.1143</v>
      </c>
    </row>
    <row r="1145" spans="52:52" x14ac:dyDescent="0.3">
      <c r="AZ1145" s="216">
        <v>0.1144</v>
      </c>
    </row>
    <row r="1146" spans="52:52" x14ac:dyDescent="0.3">
      <c r="AZ1146" s="216">
        <v>0.1145</v>
      </c>
    </row>
    <row r="1147" spans="52:52" x14ac:dyDescent="0.3">
      <c r="AZ1147" s="216">
        <v>0.11459999999999999</v>
      </c>
    </row>
    <row r="1148" spans="52:52" x14ac:dyDescent="0.3">
      <c r="AZ1148" s="216">
        <v>0.1147</v>
      </c>
    </row>
    <row r="1149" spans="52:52" x14ac:dyDescent="0.3">
      <c r="AZ1149" s="216">
        <v>0.1148</v>
      </c>
    </row>
    <row r="1150" spans="52:52" x14ac:dyDescent="0.3">
      <c r="AZ1150" s="216">
        <v>0.1149</v>
      </c>
    </row>
    <row r="1151" spans="52:52" x14ac:dyDescent="0.3">
      <c r="AZ1151" s="216">
        <v>0.115</v>
      </c>
    </row>
    <row r="1152" spans="52:52" x14ac:dyDescent="0.3">
      <c r="AZ1152" s="216">
        <v>0.11509999999999999</v>
      </c>
    </row>
    <row r="1153" spans="52:52" x14ac:dyDescent="0.3">
      <c r="AZ1153" s="216">
        <v>0.1152</v>
      </c>
    </row>
    <row r="1154" spans="52:52" x14ac:dyDescent="0.3">
      <c r="AZ1154" s="216">
        <v>0.1153</v>
      </c>
    </row>
    <row r="1155" spans="52:52" x14ac:dyDescent="0.3">
      <c r="AZ1155" s="216">
        <v>0.1154</v>
      </c>
    </row>
    <row r="1156" spans="52:52" x14ac:dyDescent="0.3">
      <c r="AZ1156" s="216">
        <v>0.11550000000000001</v>
      </c>
    </row>
    <row r="1157" spans="52:52" x14ac:dyDescent="0.3">
      <c r="AZ1157" s="216">
        <v>0.11559999999999999</v>
      </c>
    </row>
    <row r="1158" spans="52:52" x14ac:dyDescent="0.3">
      <c r="AZ1158" s="216">
        <v>0.1157</v>
      </c>
    </row>
    <row r="1159" spans="52:52" x14ac:dyDescent="0.3">
      <c r="AZ1159" s="216">
        <v>0.1158</v>
      </c>
    </row>
    <row r="1160" spans="52:52" x14ac:dyDescent="0.3">
      <c r="AZ1160" s="216">
        <v>0.1159</v>
      </c>
    </row>
    <row r="1161" spans="52:52" x14ac:dyDescent="0.3">
      <c r="AZ1161" s="216">
        <v>0.11600000000000001</v>
      </c>
    </row>
    <row r="1162" spans="52:52" x14ac:dyDescent="0.3">
      <c r="AZ1162" s="216">
        <v>0.11609999999999999</v>
      </c>
    </row>
    <row r="1163" spans="52:52" x14ac:dyDescent="0.3">
      <c r="AZ1163" s="216">
        <v>0.1162</v>
      </c>
    </row>
    <row r="1164" spans="52:52" x14ac:dyDescent="0.3">
      <c r="AZ1164" s="216">
        <v>0.1163</v>
      </c>
    </row>
    <row r="1165" spans="52:52" x14ac:dyDescent="0.3">
      <c r="AZ1165" s="216">
        <v>0.1164</v>
      </c>
    </row>
    <row r="1166" spans="52:52" x14ac:dyDescent="0.3">
      <c r="AZ1166" s="216">
        <v>0.11650000000000001</v>
      </c>
    </row>
    <row r="1167" spans="52:52" x14ac:dyDescent="0.3">
      <c r="AZ1167" s="216">
        <v>0.1166</v>
      </c>
    </row>
    <row r="1168" spans="52:52" x14ac:dyDescent="0.3">
      <c r="AZ1168" s="216">
        <v>0.1167</v>
      </c>
    </row>
    <row r="1169" spans="52:52" x14ac:dyDescent="0.3">
      <c r="AZ1169" s="216">
        <v>0.1168</v>
      </c>
    </row>
    <row r="1170" spans="52:52" x14ac:dyDescent="0.3">
      <c r="AZ1170" s="216">
        <v>0.1169</v>
      </c>
    </row>
    <row r="1171" spans="52:52" x14ac:dyDescent="0.3">
      <c r="AZ1171" s="216">
        <v>0.11700000000000001</v>
      </c>
    </row>
    <row r="1172" spans="52:52" x14ac:dyDescent="0.3">
      <c r="AZ1172" s="216">
        <v>0.1171</v>
      </c>
    </row>
    <row r="1173" spans="52:52" x14ac:dyDescent="0.3">
      <c r="AZ1173" s="216">
        <v>0.1172</v>
      </c>
    </row>
    <row r="1174" spans="52:52" x14ac:dyDescent="0.3">
      <c r="AZ1174" s="216">
        <v>0.1173</v>
      </c>
    </row>
    <row r="1175" spans="52:52" x14ac:dyDescent="0.3">
      <c r="AZ1175" s="216">
        <v>0.1174</v>
      </c>
    </row>
    <row r="1176" spans="52:52" x14ac:dyDescent="0.3">
      <c r="AZ1176" s="216">
        <v>0.11749999999999999</v>
      </c>
    </row>
    <row r="1177" spans="52:52" x14ac:dyDescent="0.3">
      <c r="AZ1177" s="216">
        <v>0.1176</v>
      </c>
    </row>
    <row r="1178" spans="52:52" x14ac:dyDescent="0.3">
      <c r="AZ1178" s="216">
        <v>0.1177</v>
      </c>
    </row>
    <row r="1179" spans="52:52" x14ac:dyDescent="0.3">
      <c r="AZ1179" s="216">
        <v>0.1178</v>
      </c>
    </row>
    <row r="1180" spans="52:52" x14ac:dyDescent="0.3">
      <c r="AZ1180" s="216">
        <v>0.1179</v>
      </c>
    </row>
    <row r="1181" spans="52:52" x14ac:dyDescent="0.3">
      <c r="AZ1181" s="216">
        <v>0.11799999999999999</v>
      </c>
    </row>
    <row r="1182" spans="52:52" x14ac:dyDescent="0.3">
      <c r="AZ1182" s="216">
        <v>0.1181</v>
      </c>
    </row>
    <row r="1183" spans="52:52" x14ac:dyDescent="0.3">
      <c r="AZ1183" s="216">
        <v>0.1182</v>
      </c>
    </row>
    <row r="1184" spans="52:52" x14ac:dyDescent="0.3">
      <c r="AZ1184" s="216">
        <v>0.1183</v>
      </c>
    </row>
    <row r="1185" spans="52:52" x14ac:dyDescent="0.3">
      <c r="AZ1185" s="216">
        <v>0.11840000000000001</v>
      </c>
    </row>
    <row r="1186" spans="52:52" x14ac:dyDescent="0.3">
      <c r="AZ1186" s="216">
        <v>0.11849999999999999</v>
      </c>
    </row>
    <row r="1187" spans="52:52" x14ac:dyDescent="0.3">
      <c r="AZ1187" s="216">
        <v>0.1186</v>
      </c>
    </row>
    <row r="1188" spans="52:52" x14ac:dyDescent="0.3">
      <c r="AZ1188" s="216">
        <v>0.1187</v>
      </c>
    </row>
    <row r="1189" spans="52:52" x14ac:dyDescent="0.3">
      <c r="AZ1189" s="216">
        <v>0.1188</v>
      </c>
    </row>
    <row r="1190" spans="52:52" x14ac:dyDescent="0.3">
      <c r="AZ1190" s="216">
        <v>0.11890000000000001</v>
      </c>
    </row>
    <row r="1191" spans="52:52" x14ac:dyDescent="0.3">
      <c r="AZ1191" s="216">
        <v>0.11899999999999999</v>
      </c>
    </row>
    <row r="1192" spans="52:52" x14ac:dyDescent="0.3">
      <c r="AZ1192" s="216">
        <v>0.1191</v>
      </c>
    </row>
    <row r="1193" spans="52:52" x14ac:dyDescent="0.3">
      <c r="AZ1193" s="216">
        <v>0.1192</v>
      </c>
    </row>
    <row r="1194" spans="52:52" x14ac:dyDescent="0.3">
      <c r="AZ1194" s="216">
        <v>0.1193</v>
      </c>
    </row>
    <row r="1195" spans="52:52" x14ac:dyDescent="0.3">
      <c r="AZ1195" s="216">
        <v>0.11940000000000001</v>
      </c>
    </row>
    <row r="1196" spans="52:52" x14ac:dyDescent="0.3">
      <c r="AZ1196" s="216">
        <v>0.1195</v>
      </c>
    </row>
    <row r="1197" spans="52:52" x14ac:dyDescent="0.3">
      <c r="AZ1197" s="216">
        <v>0.1196</v>
      </c>
    </row>
    <row r="1198" spans="52:52" x14ac:dyDescent="0.3">
      <c r="AZ1198" s="216">
        <v>0.1197</v>
      </c>
    </row>
    <row r="1199" spans="52:52" x14ac:dyDescent="0.3">
      <c r="AZ1199" s="216">
        <v>0.1198</v>
      </c>
    </row>
    <row r="1200" spans="52:52" x14ac:dyDescent="0.3">
      <c r="AZ1200" s="216">
        <v>0.11990000000000001</v>
      </c>
    </row>
    <row r="1201" spans="52:52" x14ac:dyDescent="0.3">
      <c r="AZ1201" s="216">
        <v>0.12</v>
      </c>
    </row>
    <row r="1202" spans="52:52" x14ac:dyDescent="0.3">
      <c r="AZ1202" s="216">
        <v>0.1201</v>
      </c>
    </row>
    <row r="1203" spans="52:52" x14ac:dyDescent="0.3">
      <c r="AZ1203" s="216">
        <v>0.1202</v>
      </c>
    </row>
    <row r="1204" spans="52:52" x14ac:dyDescent="0.3">
      <c r="AZ1204" s="216">
        <v>0.1203</v>
      </c>
    </row>
    <row r="1205" spans="52:52" x14ac:dyDescent="0.3">
      <c r="AZ1205" s="216">
        <v>0.12039999999999999</v>
      </c>
    </row>
    <row r="1206" spans="52:52" x14ac:dyDescent="0.3">
      <c r="AZ1206" s="216">
        <v>0.1205</v>
      </c>
    </row>
    <row r="1207" spans="52:52" x14ac:dyDescent="0.3">
      <c r="AZ1207" s="216">
        <v>0.1206</v>
      </c>
    </row>
    <row r="1208" spans="52:52" x14ac:dyDescent="0.3">
      <c r="AZ1208" s="216">
        <v>0.1207</v>
      </c>
    </row>
    <row r="1209" spans="52:52" x14ac:dyDescent="0.3">
      <c r="AZ1209" s="216">
        <v>0.1208</v>
      </c>
    </row>
    <row r="1210" spans="52:52" x14ac:dyDescent="0.3">
      <c r="AZ1210" s="216">
        <v>0.12089999999999999</v>
      </c>
    </row>
    <row r="1211" spans="52:52" x14ac:dyDescent="0.3">
      <c r="AZ1211" s="216">
        <v>0.121</v>
      </c>
    </row>
    <row r="1212" spans="52:52" x14ac:dyDescent="0.3">
      <c r="AZ1212" s="216">
        <v>0.1211</v>
      </c>
    </row>
    <row r="1213" spans="52:52" x14ac:dyDescent="0.3">
      <c r="AZ1213" s="216">
        <v>0.1212</v>
      </c>
    </row>
    <row r="1214" spans="52:52" x14ac:dyDescent="0.3">
      <c r="AZ1214" s="216">
        <v>0.12130000000000001</v>
      </c>
    </row>
    <row r="1215" spans="52:52" x14ac:dyDescent="0.3">
      <c r="AZ1215" s="216">
        <v>0.12139999999999999</v>
      </c>
    </row>
    <row r="1216" spans="52:52" x14ac:dyDescent="0.3">
      <c r="AZ1216" s="216">
        <v>0.1215</v>
      </c>
    </row>
    <row r="1217" spans="52:52" x14ac:dyDescent="0.3">
      <c r="AZ1217" s="216">
        <v>0.1216</v>
      </c>
    </row>
    <row r="1218" spans="52:52" x14ac:dyDescent="0.3">
      <c r="AZ1218" s="216">
        <v>0.1217</v>
      </c>
    </row>
    <row r="1219" spans="52:52" x14ac:dyDescent="0.3">
      <c r="AZ1219" s="216">
        <v>0.12180000000000001</v>
      </c>
    </row>
    <row r="1220" spans="52:52" x14ac:dyDescent="0.3">
      <c r="AZ1220" s="216">
        <v>0.12189999999999999</v>
      </c>
    </row>
    <row r="1221" spans="52:52" x14ac:dyDescent="0.3">
      <c r="AZ1221" s="216">
        <v>0.122</v>
      </c>
    </row>
    <row r="1222" spans="52:52" x14ac:dyDescent="0.3">
      <c r="AZ1222" s="216">
        <v>0.1221</v>
      </c>
    </row>
    <row r="1223" spans="52:52" x14ac:dyDescent="0.3">
      <c r="AZ1223" s="216">
        <v>0.1222</v>
      </c>
    </row>
    <row r="1224" spans="52:52" x14ac:dyDescent="0.3">
      <c r="AZ1224" s="216">
        <v>0.12230000000000001</v>
      </c>
    </row>
    <row r="1225" spans="52:52" x14ac:dyDescent="0.3">
      <c r="AZ1225" s="216">
        <v>0.12239999999999999</v>
      </c>
    </row>
    <row r="1226" spans="52:52" x14ac:dyDescent="0.3">
      <c r="AZ1226" s="216">
        <v>0.1225</v>
      </c>
    </row>
    <row r="1227" spans="52:52" x14ac:dyDescent="0.3">
      <c r="AZ1227" s="216">
        <v>0.1226</v>
      </c>
    </row>
    <row r="1228" spans="52:52" x14ac:dyDescent="0.3">
      <c r="AZ1228" s="216">
        <v>0.1227</v>
      </c>
    </row>
    <row r="1229" spans="52:52" x14ac:dyDescent="0.3">
      <c r="AZ1229" s="216">
        <v>0.12280000000000001</v>
      </c>
    </row>
    <row r="1230" spans="52:52" x14ac:dyDescent="0.3">
      <c r="AZ1230" s="216">
        <v>0.1229</v>
      </c>
    </row>
    <row r="1231" spans="52:52" x14ac:dyDescent="0.3">
      <c r="AZ1231" s="216">
        <v>0.123</v>
      </c>
    </row>
    <row r="1232" spans="52:52" x14ac:dyDescent="0.3">
      <c r="AZ1232" s="216">
        <v>0.1231</v>
      </c>
    </row>
    <row r="1233" spans="52:52" x14ac:dyDescent="0.3">
      <c r="AZ1233" s="216">
        <v>0.1232</v>
      </c>
    </row>
    <row r="1234" spans="52:52" x14ac:dyDescent="0.3">
      <c r="AZ1234" s="216">
        <v>0.12330000000000001</v>
      </c>
    </row>
    <row r="1235" spans="52:52" x14ac:dyDescent="0.3">
      <c r="AZ1235" s="216">
        <v>0.1234</v>
      </c>
    </row>
    <row r="1236" spans="52:52" x14ac:dyDescent="0.3">
      <c r="AZ1236" s="216">
        <v>0.1235</v>
      </c>
    </row>
    <row r="1237" spans="52:52" x14ac:dyDescent="0.3">
      <c r="AZ1237" s="216">
        <v>0.1236</v>
      </c>
    </row>
    <row r="1238" spans="52:52" x14ac:dyDescent="0.3">
      <c r="AZ1238" s="216">
        <v>0.1237</v>
      </c>
    </row>
    <row r="1239" spans="52:52" x14ac:dyDescent="0.3">
      <c r="AZ1239" s="216">
        <v>0.12379999999999999</v>
      </c>
    </row>
    <row r="1240" spans="52:52" x14ac:dyDescent="0.3">
      <c r="AZ1240" s="216">
        <v>0.1239</v>
      </c>
    </row>
    <row r="1241" spans="52:52" x14ac:dyDescent="0.3">
      <c r="AZ1241" s="216">
        <v>0.124</v>
      </c>
    </row>
    <row r="1242" spans="52:52" x14ac:dyDescent="0.3">
      <c r="AZ1242" s="216">
        <v>0.1241</v>
      </c>
    </row>
    <row r="1243" spans="52:52" x14ac:dyDescent="0.3">
      <c r="AZ1243" s="216">
        <v>0.1242</v>
      </c>
    </row>
    <row r="1244" spans="52:52" x14ac:dyDescent="0.3">
      <c r="AZ1244" s="216">
        <v>0.12429999999999999</v>
      </c>
    </row>
    <row r="1245" spans="52:52" x14ac:dyDescent="0.3">
      <c r="AZ1245" s="216">
        <v>0.1244</v>
      </c>
    </row>
    <row r="1246" spans="52:52" x14ac:dyDescent="0.3">
      <c r="AZ1246" s="216">
        <v>0.1245</v>
      </c>
    </row>
    <row r="1247" spans="52:52" x14ac:dyDescent="0.3">
      <c r="AZ1247" s="216">
        <v>0.1246</v>
      </c>
    </row>
    <row r="1248" spans="52:52" x14ac:dyDescent="0.3">
      <c r="AZ1248" s="216">
        <v>0.12470000000000001</v>
      </c>
    </row>
    <row r="1249" spans="52:52" x14ac:dyDescent="0.3">
      <c r="AZ1249" s="216">
        <v>0.12479999999999999</v>
      </c>
    </row>
    <row r="1250" spans="52:52" x14ac:dyDescent="0.3">
      <c r="AZ1250" s="216">
        <v>0.1249</v>
      </c>
    </row>
    <row r="1251" spans="52:52" x14ac:dyDescent="0.3">
      <c r="AZ1251" s="216">
        <v>0.125</v>
      </c>
    </row>
    <row r="1252" spans="52:52" x14ac:dyDescent="0.3">
      <c r="AZ1252" s="216">
        <v>0.12509999999999999</v>
      </c>
    </row>
    <row r="1253" spans="52:52" x14ac:dyDescent="0.3">
      <c r="AZ1253" s="216">
        <v>0.12520000000000001</v>
      </c>
    </row>
    <row r="1254" spans="52:52" x14ac:dyDescent="0.3">
      <c r="AZ1254" s="216">
        <v>0.12529999999999999</v>
      </c>
    </row>
    <row r="1255" spans="52:52" x14ac:dyDescent="0.3">
      <c r="AZ1255" s="216">
        <v>0.12540000000000001</v>
      </c>
    </row>
    <row r="1256" spans="52:52" x14ac:dyDescent="0.3">
      <c r="AZ1256" s="216">
        <v>0.1255</v>
      </c>
    </row>
    <row r="1257" spans="52:52" x14ac:dyDescent="0.3">
      <c r="AZ1257" s="216">
        <v>0.12559999999999999</v>
      </c>
    </row>
    <row r="1258" spans="52:52" x14ac:dyDescent="0.3">
      <c r="AZ1258" s="216">
        <v>0.12570000000000001</v>
      </c>
    </row>
    <row r="1259" spans="52:52" x14ac:dyDescent="0.3">
      <c r="AZ1259" s="216">
        <v>0.1258</v>
      </c>
    </row>
    <row r="1260" spans="52:52" x14ac:dyDescent="0.3">
      <c r="AZ1260" s="216">
        <v>0.12590000000000001</v>
      </c>
    </row>
    <row r="1261" spans="52:52" x14ac:dyDescent="0.3">
      <c r="AZ1261" s="216">
        <v>0.126</v>
      </c>
    </row>
    <row r="1262" spans="52:52" x14ac:dyDescent="0.3">
      <c r="AZ1262" s="216">
        <v>0.12609999999999999</v>
      </c>
    </row>
    <row r="1263" spans="52:52" x14ac:dyDescent="0.3">
      <c r="AZ1263" s="216">
        <v>0.12620000000000001</v>
      </c>
    </row>
    <row r="1264" spans="52:52" x14ac:dyDescent="0.3">
      <c r="AZ1264" s="216">
        <v>0.1263</v>
      </c>
    </row>
    <row r="1265" spans="52:52" x14ac:dyDescent="0.3">
      <c r="AZ1265" s="216">
        <v>0.12640000000000001</v>
      </c>
    </row>
    <row r="1266" spans="52:52" x14ac:dyDescent="0.3">
      <c r="AZ1266" s="216">
        <v>0.1265</v>
      </c>
    </row>
    <row r="1267" spans="52:52" x14ac:dyDescent="0.3">
      <c r="AZ1267" s="216">
        <v>0.12659999999999999</v>
      </c>
    </row>
    <row r="1268" spans="52:52" x14ac:dyDescent="0.3">
      <c r="AZ1268" s="216">
        <v>0.12670000000000001</v>
      </c>
    </row>
    <row r="1269" spans="52:52" x14ac:dyDescent="0.3">
      <c r="AZ1269" s="216">
        <v>0.1268</v>
      </c>
    </row>
    <row r="1270" spans="52:52" x14ac:dyDescent="0.3">
      <c r="AZ1270" s="216">
        <v>0.12690000000000001</v>
      </c>
    </row>
    <row r="1271" spans="52:52" x14ac:dyDescent="0.3">
      <c r="AZ1271" s="216">
        <v>0.127</v>
      </c>
    </row>
    <row r="1272" spans="52:52" x14ac:dyDescent="0.3">
      <c r="AZ1272" s="216">
        <v>0.12709999999999999</v>
      </c>
    </row>
    <row r="1273" spans="52:52" x14ac:dyDescent="0.3">
      <c r="AZ1273" s="216">
        <v>0.12720000000000001</v>
      </c>
    </row>
    <row r="1274" spans="52:52" x14ac:dyDescent="0.3">
      <c r="AZ1274" s="216">
        <v>0.1273</v>
      </c>
    </row>
    <row r="1275" spans="52:52" x14ac:dyDescent="0.3">
      <c r="AZ1275" s="216">
        <v>0.12740000000000001</v>
      </c>
    </row>
    <row r="1276" spans="52:52" x14ac:dyDescent="0.3">
      <c r="AZ1276" s="216">
        <v>0.1275</v>
      </c>
    </row>
    <row r="1277" spans="52:52" x14ac:dyDescent="0.3">
      <c r="AZ1277" s="216">
        <v>0.12759999999999999</v>
      </c>
    </row>
    <row r="1278" spans="52:52" x14ac:dyDescent="0.3">
      <c r="AZ1278" s="216">
        <v>0.12770000000000001</v>
      </c>
    </row>
    <row r="1279" spans="52:52" x14ac:dyDescent="0.3">
      <c r="AZ1279" s="216">
        <v>0.1278</v>
      </c>
    </row>
    <row r="1280" spans="52:52" x14ac:dyDescent="0.3">
      <c r="AZ1280" s="216">
        <v>0.12790000000000001</v>
      </c>
    </row>
    <row r="1281" spans="52:52" x14ac:dyDescent="0.3">
      <c r="AZ1281" s="216">
        <v>0.128</v>
      </c>
    </row>
    <row r="1282" spans="52:52" x14ac:dyDescent="0.3">
      <c r="AZ1282" s="216">
        <v>0.12809999999999999</v>
      </c>
    </row>
    <row r="1283" spans="52:52" x14ac:dyDescent="0.3">
      <c r="AZ1283" s="216">
        <v>0.12820000000000001</v>
      </c>
    </row>
    <row r="1284" spans="52:52" x14ac:dyDescent="0.3">
      <c r="AZ1284" s="216">
        <v>0.1283</v>
      </c>
    </row>
    <row r="1285" spans="52:52" x14ac:dyDescent="0.3">
      <c r="AZ1285" s="216">
        <v>0.12839999999999999</v>
      </c>
    </row>
    <row r="1286" spans="52:52" x14ac:dyDescent="0.3">
      <c r="AZ1286" s="216">
        <v>0.1285</v>
      </c>
    </row>
    <row r="1287" spans="52:52" x14ac:dyDescent="0.3">
      <c r="AZ1287" s="216">
        <v>0.12859999999999999</v>
      </c>
    </row>
    <row r="1288" spans="52:52" x14ac:dyDescent="0.3">
      <c r="AZ1288" s="216">
        <v>0.12870000000000001</v>
      </c>
    </row>
    <row r="1289" spans="52:52" x14ac:dyDescent="0.3">
      <c r="AZ1289" s="216">
        <v>0.1288</v>
      </c>
    </row>
    <row r="1290" spans="52:52" x14ac:dyDescent="0.3">
      <c r="AZ1290" s="216">
        <v>0.12889999999999999</v>
      </c>
    </row>
    <row r="1291" spans="52:52" x14ac:dyDescent="0.3">
      <c r="AZ1291" s="216">
        <v>0.129</v>
      </c>
    </row>
    <row r="1292" spans="52:52" x14ac:dyDescent="0.3">
      <c r="AZ1292" s="216">
        <v>0.12909999999999999</v>
      </c>
    </row>
    <row r="1293" spans="52:52" x14ac:dyDescent="0.3">
      <c r="AZ1293" s="216">
        <v>0.12920000000000001</v>
      </c>
    </row>
    <row r="1294" spans="52:52" x14ac:dyDescent="0.3">
      <c r="AZ1294" s="216">
        <v>0.1293</v>
      </c>
    </row>
    <row r="1295" spans="52:52" x14ac:dyDescent="0.3">
      <c r="AZ1295" s="216">
        <v>0.12939999999999999</v>
      </c>
    </row>
    <row r="1296" spans="52:52" x14ac:dyDescent="0.3">
      <c r="AZ1296" s="216">
        <v>0.1295</v>
      </c>
    </row>
    <row r="1297" spans="52:52" x14ac:dyDescent="0.3">
      <c r="AZ1297" s="216">
        <v>0.12959999999999999</v>
      </c>
    </row>
    <row r="1298" spans="52:52" x14ac:dyDescent="0.3">
      <c r="AZ1298" s="216">
        <v>0.12970000000000001</v>
      </c>
    </row>
    <row r="1299" spans="52:52" x14ac:dyDescent="0.3">
      <c r="AZ1299" s="216">
        <v>0.1298</v>
      </c>
    </row>
    <row r="1300" spans="52:52" x14ac:dyDescent="0.3">
      <c r="AZ1300" s="216">
        <v>0.12989999999999999</v>
      </c>
    </row>
    <row r="1301" spans="52:52" x14ac:dyDescent="0.3">
      <c r="AZ1301" s="216">
        <v>0.13</v>
      </c>
    </row>
    <row r="1302" spans="52:52" x14ac:dyDescent="0.3">
      <c r="AZ1302" s="216">
        <v>0.13009999999999999</v>
      </c>
    </row>
    <row r="1303" spans="52:52" x14ac:dyDescent="0.3">
      <c r="AZ1303" s="216">
        <v>0.13020000000000001</v>
      </c>
    </row>
    <row r="1304" spans="52:52" x14ac:dyDescent="0.3">
      <c r="AZ1304" s="216">
        <v>0.1303</v>
      </c>
    </row>
    <row r="1305" spans="52:52" x14ac:dyDescent="0.3">
      <c r="AZ1305" s="216">
        <v>0.13039999999999999</v>
      </c>
    </row>
    <row r="1306" spans="52:52" x14ac:dyDescent="0.3">
      <c r="AZ1306" s="216">
        <v>0.1305</v>
      </c>
    </row>
    <row r="1307" spans="52:52" x14ac:dyDescent="0.3">
      <c r="AZ1307" s="216">
        <v>0.13059999999999999</v>
      </c>
    </row>
    <row r="1308" spans="52:52" x14ac:dyDescent="0.3">
      <c r="AZ1308" s="216">
        <v>0.13070000000000001</v>
      </c>
    </row>
    <row r="1309" spans="52:52" x14ac:dyDescent="0.3">
      <c r="AZ1309" s="216">
        <v>0.1308</v>
      </c>
    </row>
    <row r="1310" spans="52:52" x14ac:dyDescent="0.3">
      <c r="AZ1310" s="216">
        <v>0.13089999999999999</v>
      </c>
    </row>
    <row r="1311" spans="52:52" x14ac:dyDescent="0.3">
      <c r="AZ1311" s="216">
        <v>0.13100000000000001</v>
      </c>
    </row>
    <row r="1312" spans="52:52" x14ac:dyDescent="0.3">
      <c r="AZ1312" s="216">
        <v>0.13109999999999999</v>
      </c>
    </row>
    <row r="1313" spans="52:52" x14ac:dyDescent="0.3">
      <c r="AZ1313" s="216">
        <v>0.13120000000000001</v>
      </c>
    </row>
    <row r="1314" spans="52:52" x14ac:dyDescent="0.3">
      <c r="AZ1314" s="216">
        <v>0.1313</v>
      </c>
    </row>
    <row r="1315" spans="52:52" x14ac:dyDescent="0.3">
      <c r="AZ1315" s="216">
        <v>0.13139999999999999</v>
      </c>
    </row>
    <row r="1316" spans="52:52" x14ac:dyDescent="0.3">
      <c r="AZ1316" s="216">
        <v>0.13150000000000001</v>
      </c>
    </row>
    <row r="1317" spans="52:52" x14ac:dyDescent="0.3">
      <c r="AZ1317" s="216">
        <v>0.13159999999999999</v>
      </c>
    </row>
    <row r="1318" spans="52:52" x14ac:dyDescent="0.3">
      <c r="AZ1318" s="216">
        <v>0.13170000000000001</v>
      </c>
    </row>
    <row r="1319" spans="52:52" x14ac:dyDescent="0.3">
      <c r="AZ1319" s="216">
        <v>0.1318</v>
      </c>
    </row>
    <row r="1320" spans="52:52" x14ac:dyDescent="0.3">
      <c r="AZ1320" s="216">
        <v>0.13189999999999999</v>
      </c>
    </row>
    <row r="1321" spans="52:52" x14ac:dyDescent="0.3">
      <c r="AZ1321" s="216">
        <v>0.13200000000000001</v>
      </c>
    </row>
    <row r="1322" spans="52:52" x14ac:dyDescent="0.3">
      <c r="AZ1322" s="216">
        <v>0.1321</v>
      </c>
    </row>
    <row r="1323" spans="52:52" x14ac:dyDescent="0.3">
      <c r="AZ1323" s="216">
        <v>0.13220000000000001</v>
      </c>
    </row>
    <row r="1324" spans="52:52" x14ac:dyDescent="0.3">
      <c r="AZ1324" s="216">
        <v>0.1323</v>
      </c>
    </row>
    <row r="1325" spans="52:52" x14ac:dyDescent="0.3">
      <c r="AZ1325" s="216">
        <v>0.13239999999999999</v>
      </c>
    </row>
    <row r="1326" spans="52:52" x14ac:dyDescent="0.3">
      <c r="AZ1326" s="216">
        <v>0.13250000000000001</v>
      </c>
    </row>
    <row r="1327" spans="52:52" x14ac:dyDescent="0.3">
      <c r="AZ1327" s="216">
        <v>0.1326</v>
      </c>
    </row>
    <row r="1328" spans="52:52" x14ac:dyDescent="0.3">
      <c r="AZ1328" s="216">
        <v>0.13270000000000001</v>
      </c>
    </row>
    <row r="1329" spans="52:52" x14ac:dyDescent="0.3">
      <c r="AZ1329" s="216">
        <v>0.1328</v>
      </c>
    </row>
    <row r="1330" spans="52:52" x14ac:dyDescent="0.3">
      <c r="AZ1330" s="216">
        <v>0.13289999999999999</v>
      </c>
    </row>
    <row r="1331" spans="52:52" x14ac:dyDescent="0.3">
      <c r="AZ1331" s="216">
        <v>0.13300000000000001</v>
      </c>
    </row>
    <row r="1332" spans="52:52" x14ac:dyDescent="0.3">
      <c r="AZ1332" s="216">
        <v>0.1331</v>
      </c>
    </row>
    <row r="1333" spans="52:52" x14ac:dyDescent="0.3">
      <c r="AZ1333" s="216">
        <v>0.13320000000000001</v>
      </c>
    </row>
    <row r="1334" spans="52:52" x14ac:dyDescent="0.3">
      <c r="AZ1334" s="216">
        <v>0.1333</v>
      </c>
    </row>
    <row r="1335" spans="52:52" x14ac:dyDescent="0.3">
      <c r="AZ1335" s="216">
        <v>0.13339999999999999</v>
      </c>
    </row>
    <row r="1336" spans="52:52" x14ac:dyDescent="0.3">
      <c r="AZ1336" s="216">
        <v>0.13350000000000001</v>
      </c>
    </row>
    <row r="1337" spans="52:52" x14ac:dyDescent="0.3">
      <c r="AZ1337" s="216">
        <v>0.1336</v>
      </c>
    </row>
    <row r="1338" spans="52:52" x14ac:dyDescent="0.3">
      <c r="AZ1338" s="216">
        <v>0.13370000000000001</v>
      </c>
    </row>
    <row r="1339" spans="52:52" x14ac:dyDescent="0.3">
      <c r="AZ1339" s="216">
        <v>0.1338</v>
      </c>
    </row>
    <row r="1340" spans="52:52" x14ac:dyDescent="0.3">
      <c r="AZ1340" s="216">
        <v>0.13389999999999999</v>
      </c>
    </row>
    <row r="1341" spans="52:52" x14ac:dyDescent="0.3">
      <c r="AZ1341" s="216">
        <v>0.13400000000000001</v>
      </c>
    </row>
    <row r="1342" spans="52:52" x14ac:dyDescent="0.3">
      <c r="AZ1342" s="216">
        <v>0.1341</v>
      </c>
    </row>
    <row r="1343" spans="52:52" x14ac:dyDescent="0.3">
      <c r="AZ1343" s="216">
        <v>0.13420000000000001</v>
      </c>
    </row>
    <row r="1344" spans="52:52" x14ac:dyDescent="0.3">
      <c r="AZ1344" s="216">
        <v>0.1343</v>
      </c>
    </row>
    <row r="1345" spans="52:52" x14ac:dyDescent="0.3">
      <c r="AZ1345" s="216">
        <v>0.13439999999999999</v>
      </c>
    </row>
    <row r="1346" spans="52:52" x14ac:dyDescent="0.3">
      <c r="AZ1346" s="216">
        <v>0.13450000000000001</v>
      </c>
    </row>
    <row r="1347" spans="52:52" x14ac:dyDescent="0.3">
      <c r="AZ1347" s="216">
        <v>0.1346</v>
      </c>
    </row>
    <row r="1348" spans="52:52" x14ac:dyDescent="0.3">
      <c r="AZ1348" s="216">
        <v>0.13469999999999999</v>
      </c>
    </row>
    <row r="1349" spans="52:52" x14ac:dyDescent="0.3">
      <c r="AZ1349" s="216">
        <v>0.1348</v>
      </c>
    </row>
    <row r="1350" spans="52:52" x14ac:dyDescent="0.3">
      <c r="AZ1350" s="216">
        <v>0.13489999999999999</v>
      </c>
    </row>
    <row r="1351" spans="52:52" x14ac:dyDescent="0.3">
      <c r="AZ1351" s="216">
        <v>0.13500000000000001</v>
      </c>
    </row>
    <row r="1352" spans="52:52" x14ac:dyDescent="0.3">
      <c r="AZ1352" s="216">
        <v>0.1351</v>
      </c>
    </row>
    <row r="1353" spans="52:52" x14ac:dyDescent="0.3">
      <c r="AZ1353" s="216">
        <v>0.13519999999999999</v>
      </c>
    </row>
    <row r="1354" spans="52:52" x14ac:dyDescent="0.3">
      <c r="AZ1354" s="216">
        <v>0.1353</v>
      </c>
    </row>
    <row r="1355" spans="52:52" x14ac:dyDescent="0.3">
      <c r="AZ1355" s="216">
        <v>0.13539999999999999</v>
      </c>
    </row>
    <row r="1356" spans="52:52" x14ac:dyDescent="0.3">
      <c r="AZ1356" s="216">
        <v>0.13550000000000001</v>
      </c>
    </row>
    <row r="1357" spans="52:52" x14ac:dyDescent="0.3">
      <c r="AZ1357" s="216">
        <v>0.1356</v>
      </c>
    </row>
    <row r="1358" spans="52:52" x14ac:dyDescent="0.3">
      <c r="AZ1358" s="216">
        <v>0.13569999999999999</v>
      </c>
    </row>
    <row r="1359" spans="52:52" x14ac:dyDescent="0.3">
      <c r="AZ1359" s="216">
        <v>0.1358</v>
      </c>
    </row>
    <row r="1360" spans="52:52" x14ac:dyDescent="0.3">
      <c r="AZ1360" s="216">
        <v>0.13589999999999999</v>
      </c>
    </row>
    <row r="1361" spans="52:52" x14ac:dyDescent="0.3">
      <c r="AZ1361" s="216">
        <v>0.13600000000000001</v>
      </c>
    </row>
    <row r="1362" spans="52:52" x14ac:dyDescent="0.3">
      <c r="AZ1362" s="216">
        <v>0.1361</v>
      </c>
    </row>
    <row r="1363" spans="52:52" x14ac:dyDescent="0.3">
      <c r="AZ1363" s="216">
        <v>0.13619999999999999</v>
      </c>
    </row>
    <row r="1364" spans="52:52" x14ac:dyDescent="0.3">
      <c r="AZ1364" s="216">
        <v>0.1363</v>
      </c>
    </row>
    <row r="1365" spans="52:52" x14ac:dyDescent="0.3">
      <c r="AZ1365" s="216">
        <v>0.13639999999999999</v>
      </c>
    </row>
    <row r="1366" spans="52:52" x14ac:dyDescent="0.3">
      <c r="AZ1366" s="216">
        <v>0.13650000000000001</v>
      </c>
    </row>
    <row r="1367" spans="52:52" x14ac:dyDescent="0.3">
      <c r="AZ1367" s="216">
        <v>0.1366</v>
      </c>
    </row>
    <row r="1368" spans="52:52" x14ac:dyDescent="0.3">
      <c r="AZ1368" s="216">
        <v>0.13669999999999999</v>
      </c>
    </row>
    <row r="1369" spans="52:52" x14ac:dyDescent="0.3">
      <c r="AZ1369" s="216">
        <v>0.1368</v>
      </c>
    </row>
    <row r="1370" spans="52:52" x14ac:dyDescent="0.3">
      <c r="AZ1370" s="216">
        <v>0.13689999999999999</v>
      </c>
    </row>
    <row r="1371" spans="52:52" x14ac:dyDescent="0.3">
      <c r="AZ1371" s="216">
        <v>0.13700000000000001</v>
      </c>
    </row>
    <row r="1372" spans="52:52" x14ac:dyDescent="0.3">
      <c r="AZ1372" s="216">
        <v>0.1371</v>
      </c>
    </row>
    <row r="1373" spans="52:52" x14ac:dyDescent="0.3">
      <c r="AZ1373" s="216">
        <v>0.13719999999999999</v>
      </c>
    </row>
    <row r="1374" spans="52:52" x14ac:dyDescent="0.3">
      <c r="AZ1374" s="216">
        <v>0.13730000000000001</v>
      </c>
    </row>
    <row r="1375" spans="52:52" x14ac:dyDescent="0.3">
      <c r="AZ1375" s="216">
        <v>0.13739999999999999</v>
      </c>
    </row>
    <row r="1376" spans="52:52" x14ac:dyDescent="0.3">
      <c r="AZ1376" s="216">
        <v>0.13750000000000001</v>
      </c>
    </row>
    <row r="1377" spans="52:52" x14ac:dyDescent="0.3">
      <c r="AZ1377" s="216">
        <v>0.1376</v>
      </c>
    </row>
    <row r="1378" spans="52:52" x14ac:dyDescent="0.3">
      <c r="AZ1378" s="216">
        <v>0.13769999999999999</v>
      </c>
    </row>
    <row r="1379" spans="52:52" x14ac:dyDescent="0.3">
      <c r="AZ1379" s="216">
        <v>0.13780000000000001</v>
      </c>
    </row>
    <row r="1380" spans="52:52" x14ac:dyDescent="0.3">
      <c r="AZ1380" s="216">
        <v>0.13789999999999999</v>
      </c>
    </row>
    <row r="1381" spans="52:52" x14ac:dyDescent="0.3">
      <c r="AZ1381" s="216">
        <v>0.13800000000000001</v>
      </c>
    </row>
    <row r="1382" spans="52:52" x14ac:dyDescent="0.3">
      <c r="AZ1382" s="216">
        <v>0.1381</v>
      </c>
    </row>
    <row r="1383" spans="52:52" x14ac:dyDescent="0.3">
      <c r="AZ1383" s="216">
        <v>0.13819999999999999</v>
      </c>
    </row>
    <row r="1384" spans="52:52" x14ac:dyDescent="0.3">
      <c r="AZ1384" s="216">
        <v>0.13830000000000001</v>
      </c>
    </row>
    <row r="1385" spans="52:52" x14ac:dyDescent="0.3">
      <c r="AZ1385" s="216">
        <v>0.1384</v>
      </c>
    </row>
    <row r="1386" spans="52:52" x14ac:dyDescent="0.3">
      <c r="AZ1386" s="216">
        <v>0.13850000000000001</v>
      </c>
    </row>
    <row r="1387" spans="52:52" x14ac:dyDescent="0.3">
      <c r="AZ1387" s="216">
        <v>0.1386</v>
      </c>
    </row>
    <row r="1388" spans="52:52" x14ac:dyDescent="0.3">
      <c r="AZ1388" s="216">
        <v>0.13869999999999999</v>
      </c>
    </row>
    <row r="1389" spans="52:52" x14ac:dyDescent="0.3">
      <c r="AZ1389" s="216">
        <v>0.13880000000000001</v>
      </c>
    </row>
    <row r="1390" spans="52:52" x14ac:dyDescent="0.3">
      <c r="AZ1390" s="216">
        <v>0.1389</v>
      </c>
    </row>
    <row r="1391" spans="52:52" x14ac:dyDescent="0.3">
      <c r="AZ1391" s="216">
        <v>0.13900000000000001</v>
      </c>
    </row>
    <row r="1392" spans="52:52" x14ac:dyDescent="0.3">
      <c r="AZ1392" s="216">
        <v>0.1391</v>
      </c>
    </row>
    <row r="1393" spans="52:52" x14ac:dyDescent="0.3">
      <c r="AZ1393" s="216">
        <v>0.13919999999999999</v>
      </c>
    </row>
    <row r="1394" spans="52:52" x14ac:dyDescent="0.3">
      <c r="AZ1394" s="216">
        <v>0.13930000000000001</v>
      </c>
    </row>
    <row r="1395" spans="52:52" x14ac:dyDescent="0.3">
      <c r="AZ1395" s="216">
        <v>0.1394</v>
      </c>
    </row>
    <row r="1396" spans="52:52" x14ac:dyDescent="0.3">
      <c r="AZ1396" s="216">
        <v>0.13950000000000001</v>
      </c>
    </row>
    <row r="1397" spans="52:52" x14ac:dyDescent="0.3">
      <c r="AZ1397" s="216">
        <v>0.1396</v>
      </c>
    </row>
    <row r="1398" spans="52:52" x14ac:dyDescent="0.3">
      <c r="AZ1398" s="216">
        <v>0.13969999999999999</v>
      </c>
    </row>
    <row r="1399" spans="52:52" x14ac:dyDescent="0.3">
      <c r="AZ1399" s="216">
        <v>0.13980000000000001</v>
      </c>
    </row>
    <row r="1400" spans="52:52" x14ac:dyDescent="0.3">
      <c r="AZ1400" s="216">
        <v>0.1399</v>
      </c>
    </row>
    <row r="1401" spans="52:52" x14ac:dyDescent="0.3">
      <c r="AZ1401" s="216">
        <v>0.14000000000000001</v>
      </c>
    </row>
    <row r="1402" spans="52:52" x14ac:dyDescent="0.3">
      <c r="AZ1402" s="216">
        <v>0.1401</v>
      </c>
    </row>
    <row r="1403" spans="52:52" x14ac:dyDescent="0.3">
      <c r="AZ1403" s="216">
        <v>0.14019999999999999</v>
      </c>
    </row>
    <row r="1404" spans="52:52" x14ac:dyDescent="0.3">
      <c r="AZ1404" s="216">
        <v>0.14030000000000001</v>
      </c>
    </row>
    <row r="1405" spans="52:52" x14ac:dyDescent="0.3">
      <c r="AZ1405" s="216">
        <v>0.1404</v>
      </c>
    </row>
    <row r="1406" spans="52:52" x14ac:dyDescent="0.3">
      <c r="AZ1406" s="216">
        <v>0.14050000000000001</v>
      </c>
    </row>
    <row r="1407" spans="52:52" x14ac:dyDescent="0.3">
      <c r="AZ1407" s="216">
        <v>0.1406</v>
      </c>
    </row>
    <row r="1408" spans="52:52" x14ac:dyDescent="0.3">
      <c r="AZ1408" s="216">
        <v>0.14069999999999999</v>
      </c>
    </row>
    <row r="1409" spans="52:52" x14ac:dyDescent="0.3">
      <c r="AZ1409" s="216">
        <v>0.14080000000000001</v>
      </c>
    </row>
    <row r="1410" spans="52:52" x14ac:dyDescent="0.3">
      <c r="AZ1410" s="216">
        <v>0.1409</v>
      </c>
    </row>
    <row r="1411" spans="52:52" x14ac:dyDescent="0.3">
      <c r="AZ1411" s="216">
        <v>0.14099999999999999</v>
      </c>
    </row>
    <row r="1412" spans="52:52" x14ac:dyDescent="0.3">
      <c r="AZ1412" s="216">
        <v>0.1411</v>
      </c>
    </row>
    <row r="1413" spans="52:52" x14ac:dyDescent="0.3">
      <c r="AZ1413" s="216">
        <v>0.14119999999999999</v>
      </c>
    </row>
    <row r="1414" spans="52:52" x14ac:dyDescent="0.3">
      <c r="AZ1414" s="216">
        <v>0.14130000000000001</v>
      </c>
    </row>
    <row r="1415" spans="52:52" x14ac:dyDescent="0.3">
      <c r="AZ1415" s="216">
        <v>0.1414</v>
      </c>
    </row>
    <row r="1416" spans="52:52" x14ac:dyDescent="0.3">
      <c r="AZ1416" s="216">
        <v>0.14149999999999999</v>
      </c>
    </row>
    <row r="1417" spans="52:52" x14ac:dyDescent="0.3">
      <c r="AZ1417" s="216">
        <v>0.1416</v>
      </c>
    </row>
    <row r="1418" spans="52:52" x14ac:dyDescent="0.3">
      <c r="AZ1418" s="216">
        <v>0.14169999999999999</v>
      </c>
    </row>
    <row r="1419" spans="52:52" x14ac:dyDescent="0.3">
      <c r="AZ1419" s="216">
        <v>0.14180000000000001</v>
      </c>
    </row>
    <row r="1420" spans="52:52" x14ac:dyDescent="0.3">
      <c r="AZ1420" s="216">
        <v>0.1419</v>
      </c>
    </row>
    <row r="1421" spans="52:52" x14ac:dyDescent="0.3">
      <c r="AZ1421" s="216">
        <v>0.14199999999999999</v>
      </c>
    </row>
    <row r="1422" spans="52:52" x14ac:dyDescent="0.3">
      <c r="AZ1422" s="216">
        <v>0.1421</v>
      </c>
    </row>
    <row r="1423" spans="52:52" x14ac:dyDescent="0.3">
      <c r="AZ1423" s="216">
        <v>0.14219999999999999</v>
      </c>
    </row>
    <row r="1424" spans="52:52" x14ac:dyDescent="0.3">
      <c r="AZ1424" s="216">
        <v>0.14230000000000001</v>
      </c>
    </row>
    <row r="1425" spans="52:52" x14ac:dyDescent="0.3">
      <c r="AZ1425" s="216">
        <v>0.1424</v>
      </c>
    </row>
    <row r="1426" spans="52:52" x14ac:dyDescent="0.3">
      <c r="AZ1426" s="216">
        <v>0.14249999999999999</v>
      </c>
    </row>
    <row r="1427" spans="52:52" x14ac:dyDescent="0.3">
      <c r="AZ1427" s="216">
        <v>0.1426</v>
      </c>
    </row>
    <row r="1428" spans="52:52" x14ac:dyDescent="0.3">
      <c r="AZ1428" s="216">
        <v>0.14269999999999999</v>
      </c>
    </row>
    <row r="1429" spans="52:52" x14ac:dyDescent="0.3">
      <c r="AZ1429" s="216">
        <v>0.14280000000000001</v>
      </c>
    </row>
    <row r="1430" spans="52:52" x14ac:dyDescent="0.3">
      <c r="AZ1430" s="216">
        <v>0.1429</v>
      </c>
    </row>
    <row r="1431" spans="52:52" x14ac:dyDescent="0.3">
      <c r="AZ1431" s="216">
        <v>0.14299999999999999</v>
      </c>
    </row>
    <row r="1432" spans="52:52" x14ac:dyDescent="0.3">
      <c r="AZ1432" s="216">
        <v>0.1431</v>
      </c>
    </row>
    <row r="1433" spans="52:52" x14ac:dyDescent="0.3">
      <c r="AZ1433" s="216">
        <v>0.14319999999999999</v>
      </c>
    </row>
    <row r="1434" spans="52:52" x14ac:dyDescent="0.3">
      <c r="AZ1434" s="216">
        <v>0.14330000000000001</v>
      </c>
    </row>
    <row r="1435" spans="52:52" x14ac:dyDescent="0.3">
      <c r="AZ1435" s="216">
        <v>0.1434</v>
      </c>
    </row>
    <row r="1436" spans="52:52" x14ac:dyDescent="0.3">
      <c r="AZ1436" s="216">
        <v>0.14349999999999999</v>
      </c>
    </row>
    <row r="1437" spans="52:52" x14ac:dyDescent="0.3">
      <c r="AZ1437" s="216">
        <v>0.14360000000000001</v>
      </c>
    </row>
    <row r="1438" spans="52:52" x14ac:dyDescent="0.3">
      <c r="AZ1438" s="216">
        <v>0.14369999999999999</v>
      </c>
    </row>
    <row r="1439" spans="52:52" x14ac:dyDescent="0.3">
      <c r="AZ1439" s="216">
        <v>0.14380000000000001</v>
      </c>
    </row>
    <row r="1440" spans="52:52" x14ac:dyDescent="0.3">
      <c r="AZ1440" s="216">
        <v>0.1439</v>
      </c>
    </row>
    <row r="1441" spans="52:52" x14ac:dyDescent="0.3">
      <c r="AZ1441" s="216">
        <v>0.14399999999999999</v>
      </c>
    </row>
    <row r="1442" spans="52:52" x14ac:dyDescent="0.3">
      <c r="AZ1442" s="216">
        <v>0.14410000000000001</v>
      </c>
    </row>
    <row r="1443" spans="52:52" x14ac:dyDescent="0.3">
      <c r="AZ1443" s="216">
        <v>0.14419999999999999</v>
      </c>
    </row>
    <row r="1444" spans="52:52" x14ac:dyDescent="0.3">
      <c r="AZ1444" s="216">
        <v>0.14430000000000001</v>
      </c>
    </row>
    <row r="1445" spans="52:52" x14ac:dyDescent="0.3">
      <c r="AZ1445" s="216">
        <v>0.1444</v>
      </c>
    </row>
    <row r="1446" spans="52:52" x14ac:dyDescent="0.3">
      <c r="AZ1446" s="216">
        <v>0.14449999999999999</v>
      </c>
    </row>
    <row r="1447" spans="52:52" x14ac:dyDescent="0.3">
      <c r="AZ1447" s="216">
        <v>0.14460000000000001</v>
      </c>
    </row>
    <row r="1448" spans="52:52" x14ac:dyDescent="0.3">
      <c r="AZ1448" s="216">
        <v>0.1447</v>
      </c>
    </row>
    <row r="1449" spans="52:52" x14ac:dyDescent="0.3">
      <c r="AZ1449" s="216">
        <v>0.14480000000000001</v>
      </c>
    </row>
    <row r="1450" spans="52:52" x14ac:dyDescent="0.3">
      <c r="AZ1450" s="216">
        <v>0.1449</v>
      </c>
    </row>
    <row r="1451" spans="52:52" x14ac:dyDescent="0.3">
      <c r="AZ1451" s="216">
        <v>0.14499999999999999</v>
      </c>
    </row>
    <row r="1452" spans="52:52" x14ac:dyDescent="0.3">
      <c r="AZ1452" s="216">
        <v>0.14510000000000001</v>
      </c>
    </row>
    <row r="1453" spans="52:52" x14ac:dyDescent="0.3">
      <c r="AZ1453" s="216">
        <v>0.1452</v>
      </c>
    </row>
    <row r="1454" spans="52:52" x14ac:dyDescent="0.3">
      <c r="AZ1454" s="216">
        <v>0.14530000000000001</v>
      </c>
    </row>
    <row r="1455" spans="52:52" x14ac:dyDescent="0.3">
      <c r="AZ1455" s="216">
        <v>0.1454</v>
      </c>
    </row>
    <row r="1456" spans="52:52" x14ac:dyDescent="0.3">
      <c r="AZ1456" s="216">
        <v>0.14549999999999999</v>
      </c>
    </row>
    <row r="1457" spans="52:52" x14ac:dyDescent="0.3">
      <c r="AZ1457" s="216">
        <v>0.14560000000000001</v>
      </c>
    </row>
    <row r="1458" spans="52:52" x14ac:dyDescent="0.3">
      <c r="AZ1458" s="216">
        <v>0.1457</v>
      </c>
    </row>
    <row r="1459" spans="52:52" x14ac:dyDescent="0.3">
      <c r="AZ1459" s="216">
        <v>0.14580000000000001</v>
      </c>
    </row>
    <row r="1460" spans="52:52" x14ac:dyDescent="0.3">
      <c r="AZ1460" s="216">
        <v>0.1459</v>
      </c>
    </row>
    <row r="1461" spans="52:52" x14ac:dyDescent="0.3">
      <c r="AZ1461" s="216">
        <v>0.14599999999999999</v>
      </c>
    </row>
    <row r="1462" spans="52:52" x14ac:dyDescent="0.3">
      <c r="AZ1462" s="216">
        <v>0.14610000000000001</v>
      </c>
    </row>
    <row r="1463" spans="52:52" x14ac:dyDescent="0.3">
      <c r="AZ1463" s="216">
        <v>0.1462</v>
      </c>
    </row>
    <row r="1464" spans="52:52" x14ac:dyDescent="0.3">
      <c r="AZ1464" s="216">
        <v>0.14630000000000001</v>
      </c>
    </row>
    <row r="1465" spans="52:52" x14ac:dyDescent="0.3">
      <c r="AZ1465" s="216">
        <v>0.1464</v>
      </c>
    </row>
    <row r="1466" spans="52:52" x14ac:dyDescent="0.3">
      <c r="AZ1466" s="216">
        <v>0.14649999999999999</v>
      </c>
    </row>
    <row r="1467" spans="52:52" x14ac:dyDescent="0.3">
      <c r="AZ1467" s="216">
        <v>0.14660000000000001</v>
      </c>
    </row>
    <row r="1468" spans="52:52" x14ac:dyDescent="0.3">
      <c r="AZ1468" s="216">
        <v>0.1467</v>
      </c>
    </row>
    <row r="1469" spans="52:52" x14ac:dyDescent="0.3">
      <c r="AZ1469" s="216">
        <v>0.14680000000000001</v>
      </c>
    </row>
    <row r="1470" spans="52:52" x14ac:dyDescent="0.3">
      <c r="AZ1470" s="216">
        <v>0.1469</v>
      </c>
    </row>
    <row r="1471" spans="52:52" x14ac:dyDescent="0.3">
      <c r="AZ1471" s="216">
        <v>0.14699999999999999</v>
      </c>
    </row>
    <row r="1472" spans="52:52" x14ac:dyDescent="0.3">
      <c r="AZ1472" s="216">
        <v>0.14710000000000001</v>
      </c>
    </row>
    <row r="1473" spans="52:52" x14ac:dyDescent="0.3">
      <c r="AZ1473" s="216">
        <v>0.1472</v>
      </c>
    </row>
    <row r="1474" spans="52:52" x14ac:dyDescent="0.3">
      <c r="AZ1474" s="216">
        <v>0.14729999999999999</v>
      </c>
    </row>
    <row r="1475" spans="52:52" x14ac:dyDescent="0.3">
      <c r="AZ1475" s="216">
        <v>0.1474</v>
      </c>
    </row>
    <row r="1476" spans="52:52" x14ac:dyDescent="0.3">
      <c r="AZ1476" s="216">
        <v>0.14749999999999999</v>
      </c>
    </row>
    <row r="1477" spans="52:52" x14ac:dyDescent="0.3">
      <c r="AZ1477" s="216">
        <v>0.14760000000000001</v>
      </c>
    </row>
    <row r="1478" spans="52:52" x14ac:dyDescent="0.3">
      <c r="AZ1478" s="216">
        <v>0.1477</v>
      </c>
    </row>
    <row r="1479" spans="52:52" x14ac:dyDescent="0.3">
      <c r="AZ1479" s="216">
        <v>0.14779999999999999</v>
      </c>
    </row>
    <row r="1480" spans="52:52" x14ac:dyDescent="0.3">
      <c r="AZ1480" s="216">
        <v>0.1479</v>
      </c>
    </row>
    <row r="1481" spans="52:52" x14ac:dyDescent="0.3">
      <c r="AZ1481" s="216">
        <v>0.14799999999999999</v>
      </c>
    </row>
    <row r="1482" spans="52:52" x14ac:dyDescent="0.3">
      <c r="AZ1482" s="216">
        <v>0.14810000000000001</v>
      </c>
    </row>
    <row r="1483" spans="52:52" x14ac:dyDescent="0.3">
      <c r="AZ1483" s="216">
        <v>0.1482</v>
      </c>
    </row>
    <row r="1484" spans="52:52" x14ac:dyDescent="0.3">
      <c r="AZ1484" s="216">
        <v>0.14829999999999999</v>
      </c>
    </row>
    <row r="1485" spans="52:52" x14ac:dyDescent="0.3">
      <c r="AZ1485" s="216">
        <v>0.1484</v>
      </c>
    </row>
    <row r="1486" spans="52:52" x14ac:dyDescent="0.3">
      <c r="AZ1486" s="216">
        <v>0.14849999999999999</v>
      </c>
    </row>
    <row r="1487" spans="52:52" x14ac:dyDescent="0.3">
      <c r="AZ1487" s="216">
        <v>0.14860000000000001</v>
      </c>
    </row>
    <row r="1488" spans="52:52" x14ac:dyDescent="0.3">
      <c r="AZ1488" s="216">
        <v>0.1487</v>
      </c>
    </row>
    <row r="1489" spans="52:52" x14ac:dyDescent="0.3">
      <c r="AZ1489" s="216">
        <v>0.14879999999999999</v>
      </c>
    </row>
    <row r="1490" spans="52:52" x14ac:dyDescent="0.3">
      <c r="AZ1490" s="216">
        <v>0.1489</v>
      </c>
    </row>
    <row r="1491" spans="52:52" x14ac:dyDescent="0.3">
      <c r="AZ1491" s="216">
        <v>0.14899999999999999</v>
      </c>
    </row>
    <row r="1492" spans="52:52" x14ac:dyDescent="0.3">
      <c r="AZ1492" s="216">
        <v>0.14910000000000001</v>
      </c>
    </row>
    <row r="1493" spans="52:52" x14ac:dyDescent="0.3">
      <c r="AZ1493" s="216">
        <v>0.1492</v>
      </c>
    </row>
    <row r="1494" spans="52:52" x14ac:dyDescent="0.3">
      <c r="AZ1494" s="216">
        <v>0.14929999999999999</v>
      </c>
    </row>
    <row r="1495" spans="52:52" x14ac:dyDescent="0.3">
      <c r="AZ1495" s="216">
        <v>0.14940000000000001</v>
      </c>
    </row>
    <row r="1496" spans="52:52" x14ac:dyDescent="0.3">
      <c r="AZ1496" s="216">
        <v>0.14949999999999999</v>
      </c>
    </row>
    <row r="1497" spans="52:52" x14ac:dyDescent="0.3">
      <c r="AZ1497" s="216">
        <v>0.14960000000000001</v>
      </c>
    </row>
    <row r="1498" spans="52:52" x14ac:dyDescent="0.3">
      <c r="AZ1498" s="216">
        <v>0.1497</v>
      </c>
    </row>
    <row r="1499" spans="52:52" x14ac:dyDescent="0.3">
      <c r="AZ1499" s="216">
        <v>0.14979999999999999</v>
      </c>
    </row>
    <row r="1500" spans="52:52" x14ac:dyDescent="0.3">
      <c r="AZ1500" s="216">
        <v>0.14990000000000001</v>
      </c>
    </row>
    <row r="1501" spans="52:52" x14ac:dyDescent="0.3">
      <c r="AZ1501" s="216">
        <v>0.15</v>
      </c>
    </row>
    <row r="1502" spans="52:52" x14ac:dyDescent="0.3">
      <c r="AZ1502" s="216">
        <v>0.15010000000000001</v>
      </c>
    </row>
    <row r="1503" spans="52:52" x14ac:dyDescent="0.3">
      <c r="AZ1503" s="216">
        <v>0.1502</v>
      </c>
    </row>
    <row r="1504" spans="52:52" x14ac:dyDescent="0.3">
      <c r="AZ1504" s="216">
        <v>0.15029999999999999</v>
      </c>
    </row>
    <row r="1505" spans="52:52" x14ac:dyDescent="0.3">
      <c r="AZ1505" s="216">
        <v>0.15040000000000001</v>
      </c>
    </row>
    <row r="1506" spans="52:52" x14ac:dyDescent="0.3">
      <c r="AZ1506" s="216">
        <v>0.15049999999999999</v>
      </c>
    </row>
    <row r="1507" spans="52:52" x14ac:dyDescent="0.3">
      <c r="AZ1507" s="216">
        <v>0.15060000000000001</v>
      </c>
    </row>
    <row r="1508" spans="52:52" x14ac:dyDescent="0.3">
      <c r="AZ1508" s="216">
        <v>0.1507</v>
      </c>
    </row>
    <row r="1509" spans="52:52" x14ac:dyDescent="0.3">
      <c r="AZ1509" s="216">
        <v>0.15079999999999999</v>
      </c>
    </row>
    <row r="1510" spans="52:52" x14ac:dyDescent="0.3">
      <c r="AZ1510" s="216">
        <v>0.15090000000000001</v>
      </c>
    </row>
    <row r="1511" spans="52:52" x14ac:dyDescent="0.3">
      <c r="AZ1511" s="216">
        <v>0.151</v>
      </c>
    </row>
    <row r="1512" spans="52:52" x14ac:dyDescent="0.3">
      <c r="AZ1512" s="216">
        <v>0.15110000000000001</v>
      </c>
    </row>
    <row r="1513" spans="52:52" x14ac:dyDescent="0.3">
      <c r="AZ1513" s="216">
        <v>0.1512</v>
      </c>
    </row>
    <row r="1514" spans="52:52" x14ac:dyDescent="0.3">
      <c r="AZ1514" s="216">
        <v>0.15129999999999999</v>
      </c>
    </row>
    <row r="1515" spans="52:52" x14ac:dyDescent="0.3">
      <c r="AZ1515" s="216">
        <v>0.15140000000000001</v>
      </c>
    </row>
    <row r="1516" spans="52:52" x14ac:dyDescent="0.3">
      <c r="AZ1516" s="216">
        <v>0.1515</v>
      </c>
    </row>
    <row r="1517" spans="52:52" x14ac:dyDescent="0.3">
      <c r="AZ1517" s="216">
        <v>0.15160000000000001</v>
      </c>
    </row>
    <row r="1518" spans="52:52" x14ac:dyDescent="0.3">
      <c r="AZ1518" s="216">
        <v>0.1517</v>
      </c>
    </row>
    <row r="1519" spans="52:52" x14ac:dyDescent="0.3">
      <c r="AZ1519" s="216">
        <v>0.15179999999999999</v>
      </c>
    </row>
    <row r="1520" spans="52:52" x14ac:dyDescent="0.3">
      <c r="AZ1520" s="216">
        <v>0.15190000000000001</v>
      </c>
    </row>
    <row r="1521" spans="52:52" x14ac:dyDescent="0.3">
      <c r="AZ1521" s="216">
        <v>0.152</v>
      </c>
    </row>
    <row r="1522" spans="52:52" x14ac:dyDescent="0.3">
      <c r="AZ1522" s="216">
        <v>0.15210000000000001</v>
      </c>
    </row>
    <row r="1523" spans="52:52" x14ac:dyDescent="0.3">
      <c r="AZ1523" s="216">
        <v>0.1522</v>
      </c>
    </row>
    <row r="1524" spans="52:52" x14ac:dyDescent="0.3">
      <c r="AZ1524" s="216">
        <v>0.15229999999999999</v>
      </c>
    </row>
    <row r="1525" spans="52:52" x14ac:dyDescent="0.3">
      <c r="AZ1525" s="216">
        <v>0.15240000000000001</v>
      </c>
    </row>
    <row r="1526" spans="52:52" x14ac:dyDescent="0.3">
      <c r="AZ1526" s="216">
        <v>0.1525</v>
      </c>
    </row>
    <row r="1527" spans="52:52" x14ac:dyDescent="0.3">
      <c r="AZ1527" s="216">
        <v>0.15260000000000001</v>
      </c>
    </row>
    <row r="1528" spans="52:52" x14ac:dyDescent="0.3">
      <c r="AZ1528" s="216">
        <v>0.1527</v>
      </c>
    </row>
    <row r="1529" spans="52:52" x14ac:dyDescent="0.3">
      <c r="AZ1529" s="216">
        <v>0.15279999999999999</v>
      </c>
    </row>
    <row r="1530" spans="52:52" x14ac:dyDescent="0.3">
      <c r="AZ1530" s="216">
        <v>0.15290000000000001</v>
      </c>
    </row>
    <row r="1531" spans="52:52" x14ac:dyDescent="0.3">
      <c r="AZ1531" s="216">
        <v>0.153</v>
      </c>
    </row>
    <row r="1532" spans="52:52" x14ac:dyDescent="0.3">
      <c r="AZ1532" s="216">
        <v>0.15310000000000001</v>
      </c>
    </row>
    <row r="1533" spans="52:52" x14ac:dyDescent="0.3">
      <c r="AZ1533" s="216">
        <v>0.1532</v>
      </c>
    </row>
    <row r="1534" spans="52:52" x14ac:dyDescent="0.3">
      <c r="AZ1534" s="216">
        <v>0.15329999999999999</v>
      </c>
    </row>
    <row r="1535" spans="52:52" x14ac:dyDescent="0.3">
      <c r="AZ1535" s="216">
        <v>0.15340000000000001</v>
      </c>
    </row>
    <row r="1536" spans="52:52" x14ac:dyDescent="0.3">
      <c r="AZ1536" s="216">
        <v>0.1535</v>
      </c>
    </row>
    <row r="1537" spans="52:52" x14ac:dyDescent="0.3">
      <c r="AZ1537" s="216">
        <v>0.15359999999999999</v>
      </c>
    </row>
    <row r="1538" spans="52:52" x14ac:dyDescent="0.3">
      <c r="AZ1538" s="216">
        <v>0.1537</v>
      </c>
    </row>
    <row r="1539" spans="52:52" x14ac:dyDescent="0.3">
      <c r="AZ1539" s="216">
        <v>0.15379999999999999</v>
      </c>
    </row>
    <row r="1540" spans="52:52" x14ac:dyDescent="0.3">
      <c r="AZ1540" s="216">
        <v>0.15390000000000001</v>
      </c>
    </row>
    <row r="1541" spans="52:52" x14ac:dyDescent="0.3">
      <c r="AZ1541" s="216">
        <v>0.154</v>
      </c>
    </row>
    <row r="1542" spans="52:52" x14ac:dyDescent="0.3">
      <c r="AZ1542" s="216">
        <v>0.15409999999999999</v>
      </c>
    </row>
    <row r="1543" spans="52:52" x14ac:dyDescent="0.3">
      <c r="AZ1543" s="216">
        <v>0.1542</v>
      </c>
    </row>
    <row r="1544" spans="52:52" x14ac:dyDescent="0.3">
      <c r="AZ1544" s="216">
        <v>0.15429999999999999</v>
      </c>
    </row>
    <row r="1545" spans="52:52" x14ac:dyDescent="0.3">
      <c r="AZ1545" s="216">
        <v>0.15440000000000001</v>
      </c>
    </row>
    <row r="1546" spans="52:52" x14ac:dyDescent="0.3">
      <c r="AZ1546" s="216">
        <v>0.1545</v>
      </c>
    </row>
    <row r="1547" spans="52:52" x14ac:dyDescent="0.3">
      <c r="AZ1547" s="216">
        <v>0.15459999999999999</v>
      </c>
    </row>
    <row r="1548" spans="52:52" x14ac:dyDescent="0.3">
      <c r="AZ1548" s="216">
        <v>0.1547</v>
      </c>
    </row>
  </sheetData>
  <sheetProtection algorithmName="SHA-512" hashValue="CWD6bt5whUWOPSuHpuKVZjN3DfSwo8CfWyQ22gqsmP2iMFaVxvsz26Gmn7yPmsmEIOcYv2CiIBL/VKYRwnxkYg==" saltValue="5BRxo5EsObbRCtSrTJ/Gag==" spinCount="100000" sheet="1" objects="1" scenarios="1"/>
  <mergeCells count="822">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E101:F101"/>
    <mergeCell ref="E102:F102"/>
    <mergeCell ref="E103:F103"/>
    <mergeCell ref="G99:H99"/>
    <mergeCell ref="G100:H100"/>
    <mergeCell ref="G101:H101"/>
    <mergeCell ref="G102:H102"/>
    <mergeCell ref="G103:H103"/>
    <mergeCell ref="E104:F104"/>
    <mergeCell ref="E95:F95"/>
    <mergeCell ref="E96:F96"/>
    <mergeCell ref="E97:F97"/>
    <mergeCell ref="E98:F98"/>
    <mergeCell ref="G95:H95"/>
    <mergeCell ref="G96:H96"/>
    <mergeCell ref="G97:H97"/>
    <mergeCell ref="G98:H98"/>
    <mergeCell ref="B97:C97"/>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s>
  <conditionalFormatting sqref="B23:H108">
    <cfRule type="expression" dxfId="43" priority="13">
      <formula>$X$2=1</formula>
    </cfRule>
  </conditionalFormatting>
  <conditionalFormatting sqref="B36:H36">
    <cfRule type="expression" dxfId="42" priority="14">
      <formula>$E$12=12</formula>
    </cfRule>
  </conditionalFormatting>
  <conditionalFormatting sqref="B48:H48">
    <cfRule type="expression" dxfId="41" priority="15">
      <formula>$E$12=24</formula>
    </cfRule>
  </conditionalFormatting>
  <conditionalFormatting sqref="B60:H60">
    <cfRule type="expression" dxfId="40" priority="16">
      <formula>$E$12=36</formula>
    </cfRule>
  </conditionalFormatting>
  <conditionalFormatting sqref="B72:H72">
    <cfRule type="expression" dxfId="39" priority="17">
      <formula>$E$12=48</formula>
    </cfRule>
  </conditionalFormatting>
  <conditionalFormatting sqref="B84:H84">
    <cfRule type="expression" dxfId="38" priority="18">
      <formula>$E$12=60</formula>
    </cfRule>
  </conditionalFormatting>
  <conditionalFormatting sqref="B96:H96">
    <cfRule type="expression" dxfId="37" priority="19">
      <formula>$E$12=72</formula>
    </cfRule>
  </conditionalFormatting>
  <conditionalFormatting sqref="B108:H108">
    <cfRule type="expression" dxfId="36" priority="20">
      <formula>$E$12=84</formula>
    </cfRule>
  </conditionalFormatting>
  <conditionalFormatting sqref="B22:N22">
    <cfRule type="expression" dxfId="35" priority="3">
      <formula>$X$2=1</formula>
    </cfRule>
  </conditionalFormatting>
  <conditionalFormatting sqref="E4">
    <cfRule type="expression" dxfId="34" priority="24">
      <formula>$V$3=0</formula>
    </cfRule>
  </conditionalFormatting>
  <conditionalFormatting sqref="E9">
    <cfRule type="cellIs" dxfId="33" priority="23" stopIfTrue="1" operator="equal">
      <formula>0.001</formula>
    </cfRule>
  </conditionalFormatting>
  <conditionalFormatting sqref="E14">
    <cfRule type="cellIs" dxfId="32" priority="59" stopIfTrue="1" operator="equal">
      <formula>0.001</formula>
    </cfRule>
  </conditionalFormatting>
  <conditionalFormatting sqref="E19">
    <cfRule type="cellIs" dxfId="31" priority="55" stopIfTrue="1" operator="equal">
      <formula>0.001</formula>
    </cfRule>
  </conditionalFormatting>
  <conditionalFormatting sqref="E21">
    <cfRule type="expression" dxfId="30" priority="8">
      <formula>$X$2=1</formula>
    </cfRule>
  </conditionalFormatting>
  <conditionalFormatting sqref="E4:F4">
    <cfRule type="cellIs" dxfId="29" priority="22" operator="equal">
      <formula>0</formula>
    </cfRule>
  </conditionalFormatting>
  <conditionalFormatting sqref="E12:F12">
    <cfRule type="cellIs" dxfId="28" priority="21" operator="equal">
      <formula>0</formula>
    </cfRule>
  </conditionalFormatting>
  <conditionalFormatting sqref="E14:F14">
    <cfRule type="expression" dxfId="27" priority="31" stopIfTrue="1">
      <formula>$X$2=1</formula>
    </cfRule>
  </conditionalFormatting>
  <conditionalFormatting sqref="E16:F17">
    <cfRule type="expression" dxfId="26" priority="30">
      <formula>$X$2=1</formula>
    </cfRule>
  </conditionalFormatting>
  <conditionalFormatting sqref="E19:F19">
    <cfRule type="expression" dxfId="25" priority="47">
      <formula>$X$2=1</formula>
    </cfRule>
  </conditionalFormatting>
  <conditionalFormatting sqref="F8">
    <cfRule type="expression" dxfId="24" priority="52">
      <formula>$X$3=0</formula>
    </cfRule>
  </conditionalFormatting>
  <conditionalFormatting sqref="F10">
    <cfRule type="expression" dxfId="23" priority="50">
      <formula>$X$3=0</formula>
    </cfRule>
  </conditionalFormatting>
  <conditionalFormatting sqref="M8">
    <cfRule type="cellIs" dxfId="22" priority="1" operator="equal">
      <formula>0</formula>
    </cfRule>
    <cfRule type="colorScale" priority="2">
      <colorScale>
        <cfvo type="num" val="0"/>
        <cfvo type="num" val="&quot;&gt;0&quot;"/>
        <color theme="0"/>
        <color rgb="FFFFFF99"/>
      </colorScale>
    </cfRule>
  </conditionalFormatting>
  <conditionalFormatting sqref="N2">
    <cfRule type="expression" dxfId="21" priority="41">
      <formula>$U$4=1</formula>
    </cfRule>
  </conditionalFormatting>
  <conditionalFormatting sqref="N4">
    <cfRule type="expression" dxfId="20" priority="4" stopIfTrue="1">
      <formula>$U$4=1</formula>
    </cfRule>
    <cfRule type="expression" dxfId="19" priority="5">
      <formula>$X$4=1</formula>
    </cfRule>
  </conditionalFormatting>
  <conditionalFormatting sqref="N6">
    <cfRule type="expression" dxfId="18" priority="34">
      <formula>$X$2=1</formula>
    </cfRule>
    <cfRule type="expression" dxfId="17" priority="35">
      <formula>$U$4=1</formula>
    </cfRule>
  </conditionalFormatting>
  <conditionalFormatting sqref="N8">
    <cfRule type="expression" dxfId="16" priority="45">
      <formula>$X$2=1</formula>
    </cfRule>
  </conditionalFormatting>
  <conditionalFormatting sqref="N10">
    <cfRule type="expression" dxfId="15" priority="25">
      <formula>$X$2=1</formula>
    </cfRule>
  </conditionalFormatting>
  <conditionalFormatting sqref="N13:N14">
    <cfRule type="expression" dxfId="14" priority="29">
      <formula>$X$2=1</formula>
    </cfRule>
  </conditionalFormatting>
  <conditionalFormatting sqref="N16">
    <cfRule type="expression" dxfId="13" priority="33">
      <formula>$X$2=1</formula>
    </cfRule>
  </conditionalFormatting>
  <conditionalFormatting sqref="N18:N19">
    <cfRule type="expression" dxfId="12" priority="28">
      <formula>$X$2=1</formula>
    </cfRule>
  </conditionalFormatting>
  <conditionalFormatting sqref="N21">
    <cfRule type="expression" dxfId="11" priority="36">
      <formula>$X$2=1</formula>
    </cfRule>
  </conditionalFormatting>
  <conditionalFormatting sqref="U2">
    <cfRule type="cellIs" dxfId="10" priority="58" stopIfTrue="1" operator="equal">
      <formula>"Авансовий платіж достатній"</formula>
    </cfRule>
  </conditionalFormatting>
  <conditionalFormatting sqref="X18">
    <cfRule type="cellIs" dxfId="9" priority="82" stopIfTrue="1" operator="equal">
      <formula>#REF!=$S$28</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 type="list" allowBlank="1" showInputMessage="1" showErrorMessage="1" sqref="M8" xr:uid="{E400FD92-E68C-40EA-9675-80D3C8D0B688}">
      <formula1>$AZ$1:$AZ$1548</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AW32" zoomScale="80" zoomScaleNormal="80" zoomScaleSheetLayoutView="80" workbookViewId="0">
      <selection activeCell="A32" sqref="A1:AV1048576"/>
    </sheetView>
  </sheetViews>
  <sheetFormatPr defaultColWidth="8.6640625" defaultRowHeight="14.4" x14ac:dyDescent="0.3"/>
  <cols>
    <col min="1" max="2" width="8.6640625" style="186" hidden="1" customWidth="1"/>
    <col min="3" max="3" width="13.33203125" style="186" hidden="1" customWidth="1"/>
    <col min="4" max="4" width="12.44140625" style="186" hidden="1" customWidth="1"/>
    <col min="5" max="48" width="8.6640625" style="186" hidden="1" customWidth="1"/>
    <col min="49" max="84" width="8.6640625" style="186" customWidth="1"/>
    <col min="85" max="16384" width="8.6640625" style="186"/>
  </cols>
  <sheetData>
    <row r="1" spans="2:94" x14ac:dyDescent="0.3">
      <c r="B1" s="218"/>
      <c r="C1" s="219"/>
      <c r="D1" s="219"/>
      <c r="Q1" s="186" t="s">
        <v>223</v>
      </c>
      <c r="AB1" s="186" t="s">
        <v>76</v>
      </c>
      <c r="AK1" s="186" t="s">
        <v>77</v>
      </c>
    </row>
    <row r="2" spans="2:94" x14ac:dyDescent="0.3">
      <c r="B2" s="220" t="s">
        <v>283</v>
      </c>
      <c r="C2" s="221"/>
      <c r="D2" s="221"/>
      <c r="G2" s="186" t="s">
        <v>225</v>
      </c>
      <c r="I2" s="186" t="s">
        <v>4</v>
      </c>
      <c r="N2" s="186" t="s">
        <v>228</v>
      </c>
      <c r="Q2" s="186">
        <v>12</v>
      </c>
      <c r="AB2" s="186" t="s">
        <v>231</v>
      </c>
      <c r="AK2" s="186" t="s">
        <v>231</v>
      </c>
    </row>
    <row r="3" spans="2:94" x14ac:dyDescent="0.3">
      <c r="C3" s="222"/>
      <c r="D3" s="222"/>
      <c r="Q3" s="186">
        <v>24</v>
      </c>
      <c r="AA3" s="186" t="s">
        <v>237</v>
      </c>
      <c r="AB3" s="186" t="s">
        <v>182</v>
      </c>
      <c r="AD3" s="186" t="s">
        <v>233</v>
      </c>
      <c r="AE3" s="186" t="s">
        <v>234</v>
      </c>
      <c r="AF3" s="186" t="s">
        <v>235</v>
      </c>
      <c r="AH3" s="186" t="s">
        <v>236</v>
      </c>
      <c r="AJ3" s="186" t="s">
        <v>237</v>
      </c>
      <c r="AK3" s="186" t="s">
        <v>182</v>
      </c>
      <c r="AM3" s="186" t="s">
        <v>233</v>
      </c>
      <c r="AN3" s="186" t="s">
        <v>234</v>
      </c>
      <c r="AO3" s="186" t="s">
        <v>235</v>
      </c>
      <c r="AQ3" s="186" t="s">
        <v>236</v>
      </c>
      <c r="AS3" s="186" t="s">
        <v>188</v>
      </c>
    </row>
    <row r="4" spans="2:94" x14ac:dyDescent="0.3">
      <c r="B4" s="186" t="s">
        <v>238</v>
      </c>
      <c r="C4" s="222"/>
      <c r="D4" s="222"/>
      <c r="G4" s="186">
        <f>'Калькулятор '!E4</f>
        <v>0</v>
      </c>
      <c r="I4" s="186" t="s">
        <v>284</v>
      </c>
      <c r="N4" s="186" t="str">
        <f>IF($G$4&gt;0,$P$40,"Ні")</f>
        <v>Ні</v>
      </c>
      <c r="Q4" s="186">
        <v>36</v>
      </c>
      <c r="S4" s="186" t="e">
        <f>IF($G$6=0,1,IF($G$4*$G$6=$G$7,2,3))</f>
        <v>#DIV/0!</v>
      </c>
      <c r="T4" s="186">
        <f>IF(G2="Сума авансового платежу перевищує вартість авто",1,IF(G2="Сума авансового платежу дорівнює вартості авто",1,IF(G2="Сума авансового платежу недостатня",1,0)))</f>
        <v>0</v>
      </c>
      <c r="AA4" s="186">
        <f ca="1">Ануїтетна_графік_Авто!G5</f>
        <v>46211</v>
      </c>
      <c r="AB4" s="186">
        <v>1</v>
      </c>
      <c r="AD4" s="186" t="e">
        <f ca="1">Ануїтетна_графік_Авто!J5</f>
        <v>#DIV/0!</v>
      </c>
      <c r="AF4" s="186" t="e">
        <f ca="1">Ануїтетна_графік_Авто!K5</f>
        <v>#DIV/0!</v>
      </c>
      <c r="AH4" s="186" t="e">
        <f ca="1">Ануїтетна_графік_Авто!M5</f>
        <v>#DIV/0!</v>
      </c>
      <c r="AJ4" s="186">
        <f ca="1">Ануїтетна_графік_Авто!G5</f>
        <v>46211</v>
      </c>
      <c r="AK4" s="186">
        <v>1</v>
      </c>
      <c r="AM4" s="186" t="e">
        <f ca="1">Ануїтетна_графік_Авто!J5</f>
        <v>#DIV/0!</v>
      </c>
      <c r="AO4" s="186" t="e">
        <f ca="1">Ануїтетна_графік_Авто!K5</f>
        <v>#DIV/0!</v>
      </c>
      <c r="AQ4" s="186" t="e">
        <f ca="1">Ануїтетна_графік_Авто!M5</f>
        <v>#DIV/0!</v>
      </c>
    </row>
    <row r="5" spans="2:94" x14ac:dyDescent="0.3">
      <c r="C5" s="222"/>
      <c r="D5" s="222"/>
      <c r="Q5" s="186">
        <v>48</v>
      </c>
      <c r="AA5" s="186">
        <f ca="1">Ануїтетна_графік_Авто!G6</f>
        <v>46242</v>
      </c>
      <c r="AB5" s="186">
        <v>2</v>
      </c>
      <c r="AD5" s="186" t="e">
        <f ca="1">Ануїтетна_графік_Авто!J6</f>
        <v>#VALUE!</v>
      </c>
      <c r="AF5" s="186" t="e">
        <f ca="1">Ануїтетна_графік_Авто!K6</f>
        <v>#VALUE!</v>
      </c>
      <c r="AH5" s="186" t="e">
        <f ca="1">Ануїтетна_графік_Авто!M6</f>
        <v>#VALUE!</v>
      </c>
      <c r="AJ5" s="186">
        <f t="shared" ref="AJ5:AJ68" ca="1" si="0">IF(AK5="","",DATE(YEAR(AJ4),MONTH(AJ4)+2,DAY(1)-1))</f>
        <v>46265</v>
      </c>
      <c r="AK5" s="186">
        <v>2</v>
      </c>
      <c r="AM5" s="186" t="e">
        <f ca="1">Ануїтетна_графік_Авто!J6</f>
        <v>#VALUE!</v>
      </c>
      <c r="AO5" s="186" t="e">
        <f ca="1">Ануїтетна_графік_Авто!K6</f>
        <v>#VALUE!</v>
      </c>
      <c r="AQ5" s="186" t="e">
        <f ca="1">Ануїтетна_графік_Авто!M6</f>
        <v>#VALUE!</v>
      </c>
      <c r="AS5" s="186" t="e">
        <f ca="1">$G$19-AM4</f>
        <v>#DIV/0!</v>
      </c>
    </row>
    <row r="6" spans="2:94" x14ac:dyDescent="0.3">
      <c r="B6" s="186" t="s">
        <v>524</v>
      </c>
      <c r="C6" s="222"/>
      <c r="D6" s="222"/>
      <c r="G6" s="186">
        <v>300000</v>
      </c>
      <c r="I6" s="186" t="s">
        <v>254</v>
      </c>
      <c r="N6" s="186">
        <f>Q40</f>
        <v>0</v>
      </c>
      <c r="Q6" s="186">
        <v>60</v>
      </c>
      <c r="AA6" s="186">
        <f ca="1">Ануїтетна_графік_Авто!G7</f>
        <v>46273</v>
      </c>
      <c r="AB6" s="186">
        <v>3</v>
      </c>
      <c r="AD6" s="186" t="e">
        <f ca="1">Ануїтетна_графік_Авто!J7</f>
        <v>#VALUE!</v>
      </c>
      <c r="AF6" s="186" t="e">
        <f ca="1">Ануїтетна_графік_Авто!K7</f>
        <v>#VALUE!</v>
      </c>
      <c r="AH6" s="186" t="e">
        <f ca="1">Ануїтетна_графік_Авто!M7</f>
        <v>#VALUE!</v>
      </c>
      <c r="AJ6" s="186">
        <f t="shared" ca="1" si="0"/>
        <v>46295</v>
      </c>
      <c r="AK6" s="186">
        <v>3</v>
      </c>
      <c r="AM6" s="186" t="e">
        <f ca="1">Ануїтетна_графік_Авто!J7</f>
        <v>#VALUE!</v>
      </c>
      <c r="AO6" s="186" t="e">
        <f ca="1">Ануїтетна_графік_Авто!K7</f>
        <v>#VALUE!</v>
      </c>
      <c r="AQ6" s="186" t="e">
        <f ca="1">Ануїтетна_графік_Авто!M7</f>
        <v>#VALUE!</v>
      </c>
      <c r="AS6" s="186" t="e">
        <f t="shared" ref="AS6:AS69" ca="1" si="1">AS5-AM5</f>
        <v>#DIV/0!</v>
      </c>
    </row>
    <row r="7" spans="2:94" x14ac:dyDescent="0.3">
      <c r="B7" s="186" t="s">
        <v>285</v>
      </c>
      <c r="C7" s="222"/>
      <c r="D7" s="222"/>
      <c r="G7" s="186" t="e">
        <f>IF(G6="","",IF(G6&lt;100,G4*G6,G6/G4))</f>
        <v>#DIV/0!</v>
      </c>
      <c r="AA7" s="186">
        <f ca="1">Ануїтетна_графік_Авто!G8</f>
        <v>46303</v>
      </c>
      <c r="AB7" s="186">
        <v>4</v>
      </c>
      <c r="AD7" s="186" t="e">
        <f ca="1">Ануїтетна_графік_Авто!J8</f>
        <v>#VALUE!</v>
      </c>
      <c r="AF7" s="186" t="e">
        <f ca="1">Ануїтетна_графік_Авто!K8</f>
        <v>#VALUE!</v>
      </c>
      <c r="AH7" s="186" t="e">
        <f ca="1">Ануїтетна_графік_Авто!M8</f>
        <v>#VALUE!</v>
      </c>
      <c r="AJ7" s="186">
        <f t="shared" ca="1" si="0"/>
        <v>46326</v>
      </c>
      <c r="AK7" s="186">
        <v>4</v>
      </c>
      <c r="AM7" s="186" t="e">
        <f ca="1">Ануїтетна_графік_Авто!J8</f>
        <v>#VALUE!</v>
      </c>
      <c r="AO7" s="186" t="e">
        <f ca="1">Ануїтетна_графік_Авто!K8</f>
        <v>#VALUE!</v>
      </c>
      <c r="AQ7" s="186" t="e">
        <f ca="1">Ануїтетна_графік_Авто!M8</f>
        <v>#VALUE!</v>
      </c>
      <c r="AS7" s="186" t="e">
        <f t="shared" ca="1" si="1"/>
        <v>#DIV/0!</v>
      </c>
      <c r="CP7" s="186" t="s">
        <v>286</v>
      </c>
    </row>
    <row r="8" spans="2:94" x14ac:dyDescent="0.3">
      <c r="C8" s="222"/>
      <c r="D8" s="222"/>
      <c r="I8" s="186" t="s">
        <v>252</v>
      </c>
      <c r="N8" s="186">
        <f>'Калькулятор '!E12</f>
        <v>0</v>
      </c>
      <c r="AA8" s="186">
        <f ca="1">Ануїтетна_графік_Авто!G9</f>
        <v>46334</v>
      </c>
      <c r="AB8" s="186">
        <v>5</v>
      </c>
      <c r="AD8" s="186" t="e">
        <f ca="1">Ануїтетна_графік_Авто!J9</f>
        <v>#VALUE!</v>
      </c>
      <c r="AF8" s="186" t="e">
        <f ca="1">Ануїтетна_графік_Авто!K9</f>
        <v>#VALUE!</v>
      </c>
      <c r="AH8" s="186" t="e">
        <f ca="1">Ануїтетна_графік_Авто!M9</f>
        <v>#VALUE!</v>
      </c>
      <c r="AJ8" s="186">
        <f t="shared" ca="1" si="0"/>
        <v>46356</v>
      </c>
      <c r="AK8" s="186">
        <v>5</v>
      </c>
      <c r="AM8" s="186" t="e">
        <f ca="1">Ануїтетна_графік_Авто!J9</f>
        <v>#VALUE!</v>
      </c>
      <c r="AO8" s="186" t="e">
        <f ca="1">Ануїтетна_графік_Авто!K9</f>
        <v>#VALUE!</v>
      </c>
      <c r="AQ8" s="186" t="e">
        <f ca="1">Ануїтетна_графік_Авто!M9</f>
        <v>#VALUE!</v>
      </c>
      <c r="AS8" s="186" t="e">
        <f t="shared" ca="1" si="1"/>
        <v>#DIV/0!</v>
      </c>
    </row>
    <row r="9" spans="2:94" x14ac:dyDescent="0.3">
      <c r="B9" s="186" t="s">
        <v>287</v>
      </c>
      <c r="C9" s="222"/>
      <c r="D9" s="222"/>
      <c r="G9" s="186">
        <f>Q49</f>
        <v>0</v>
      </c>
      <c r="AA9" s="186">
        <f ca="1">Ануїтетна_графік_Авто!G10</f>
        <v>46364</v>
      </c>
      <c r="AB9" s="186">
        <v>6</v>
      </c>
      <c r="AD9" s="186" t="e">
        <f ca="1">Ануїтетна_графік_Авто!J10</f>
        <v>#VALUE!</v>
      </c>
      <c r="AF9" s="186" t="e">
        <f ca="1">Ануїтетна_графік_Авто!K10</f>
        <v>#VALUE!</v>
      </c>
      <c r="AH9" s="186" t="e">
        <f ca="1">Ануїтетна_графік_Авто!M10</f>
        <v>#VALUE!</v>
      </c>
      <c r="AJ9" s="186">
        <f t="shared" ca="1" si="0"/>
        <v>46387</v>
      </c>
      <c r="AK9" s="186">
        <v>6</v>
      </c>
      <c r="AM9" s="186" t="e">
        <f ca="1">Ануїтетна_графік_Авто!J10</f>
        <v>#VALUE!</v>
      </c>
      <c r="AO9" s="186" t="e">
        <f ca="1">Ануїтетна_графік_Авто!K10</f>
        <v>#VALUE!</v>
      </c>
      <c r="AQ9" s="186" t="e">
        <f ca="1">Ануїтетна_графік_Авто!M10</f>
        <v>#VALUE!</v>
      </c>
      <c r="AS9" s="186" t="e">
        <f t="shared" ca="1" si="1"/>
        <v>#DIV/0!</v>
      </c>
    </row>
    <row r="10" spans="2:94" x14ac:dyDescent="0.3">
      <c r="C10" s="222"/>
      <c r="D10" s="222"/>
      <c r="G10" s="186" t="e">
        <f>IF(Q15="",0,ROUND(Q15*G9,2))</f>
        <v>#DIV/0!</v>
      </c>
      <c r="AA10" s="186">
        <f ca="1">Ануїтетна_графік_Авто!G11</f>
        <v>46395</v>
      </c>
      <c r="AB10" s="186">
        <v>7</v>
      </c>
      <c r="AD10" s="186" t="e">
        <f ca="1">Ануїтетна_графік_Авто!J11</f>
        <v>#VALUE!</v>
      </c>
      <c r="AF10" s="186" t="e">
        <f ca="1">Ануїтетна_графік_Авто!K11</f>
        <v>#VALUE!</v>
      </c>
      <c r="AH10" s="186" t="e">
        <f ca="1">Ануїтетна_графік_Авто!M11</f>
        <v>#VALUE!</v>
      </c>
      <c r="AJ10" s="186">
        <f t="shared" ca="1" si="0"/>
        <v>46418</v>
      </c>
      <c r="AK10" s="186">
        <v>7</v>
      </c>
      <c r="AM10" s="186" t="e">
        <f ca="1">Ануїтетна_графік_Авто!J11</f>
        <v>#VALUE!</v>
      </c>
      <c r="AO10" s="186" t="e">
        <f ca="1">Ануїтетна_графік_Авто!K11</f>
        <v>#VALUE!</v>
      </c>
      <c r="AQ10" s="186" t="e">
        <f ca="1">Ануїтетна_графік_Авто!M11</f>
        <v>#VALUE!</v>
      </c>
      <c r="AS10" s="186" t="e">
        <f t="shared" ca="1" si="1"/>
        <v>#DIV/0!</v>
      </c>
    </row>
    <row r="11" spans="2:94" x14ac:dyDescent="0.3">
      <c r="H11" s="186" t="s">
        <v>288</v>
      </c>
      <c r="Q11" s="186" t="s">
        <v>251</v>
      </c>
      <c r="AA11" s="186">
        <f ca="1">Ануїтетна_графік_Авто!G12</f>
        <v>46426</v>
      </c>
      <c r="AB11" s="186">
        <v>8</v>
      </c>
      <c r="AD11" s="186" t="e">
        <f ca="1">Ануїтетна_графік_Авто!J12</f>
        <v>#VALUE!</v>
      </c>
      <c r="AF11" s="186" t="e">
        <f ca="1">Ануїтетна_графік_Авто!K12</f>
        <v>#VALUE!</v>
      </c>
      <c r="AH11" s="186" t="e">
        <f ca="1">Ануїтетна_графік_Авто!M12</f>
        <v>#VALUE!</v>
      </c>
      <c r="AJ11" s="186">
        <f t="shared" ca="1" si="0"/>
        <v>46446</v>
      </c>
      <c r="AK11" s="186">
        <v>8</v>
      </c>
      <c r="AM11" s="186" t="e">
        <f ca="1">Ануїтетна_графік_Авто!J12</f>
        <v>#VALUE!</v>
      </c>
      <c r="AO11" s="186" t="e">
        <f ca="1">Ануїтетна_графік_Авто!K12</f>
        <v>#VALUE!</v>
      </c>
      <c r="AQ11" s="186" t="e">
        <f ca="1">Ануїтетна_графік_Авто!M12</f>
        <v>#VALUE!</v>
      </c>
      <c r="AS11" s="186" t="e">
        <f t="shared" ca="1" si="1"/>
        <v>#DIV/0!</v>
      </c>
    </row>
    <row r="12" spans="2:94" x14ac:dyDescent="0.3">
      <c r="B12" s="220" t="s">
        <v>289</v>
      </c>
      <c r="C12" s="220"/>
      <c r="H12" s="186">
        <v>0</v>
      </c>
      <c r="I12" s="186" t="s">
        <v>290</v>
      </c>
      <c r="N12" s="186" t="e">
        <f>ROUND(Q16*G12,2)+(G12*IF(G16="Так",N15,0))</f>
        <v>#DIV/0!</v>
      </c>
      <c r="Q12" s="186">
        <f>IF(OR(Q2=N8,Q3=N8),2.99%,0%)</f>
        <v>0</v>
      </c>
      <c r="AA12" s="186">
        <f ca="1">Ануїтетна_графік_Авто!G13</f>
        <v>46454</v>
      </c>
      <c r="AB12" s="186">
        <v>9</v>
      </c>
      <c r="AD12" s="186" t="e">
        <f ca="1">Ануїтетна_графік_Авто!J13</f>
        <v>#VALUE!</v>
      </c>
      <c r="AF12" s="186" t="e">
        <f ca="1">Ануїтетна_графік_Авто!K13</f>
        <v>#VALUE!</v>
      </c>
      <c r="AH12" s="186" t="e">
        <f ca="1">Ануїтетна_графік_Авто!M13</f>
        <v>#VALUE!</v>
      </c>
      <c r="AJ12" s="186">
        <f t="shared" ca="1" si="0"/>
        <v>46477</v>
      </c>
      <c r="AK12" s="186">
        <v>9</v>
      </c>
      <c r="AM12" s="186" t="e">
        <f ca="1">Ануїтетна_графік_Авто!J13</f>
        <v>#VALUE!</v>
      </c>
      <c r="AO12" s="186" t="e">
        <f ca="1">Ануїтетна_графік_Авто!K13</f>
        <v>#VALUE!</v>
      </c>
      <c r="AQ12" s="186" t="e">
        <f ca="1">Ануїтетна_графік_Авто!M13</f>
        <v>#VALUE!</v>
      </c>
      <c r="AS12" s="186" t="e">
        <f t="shared" ca="1" si="1"/>
        <v>#DIV/0!</v>
      </c>
    </row>
    <row r="13" spans="2:94" x14ac:dyDescent="0.3">
      <c r="B13" s="186" t="s">
        <v>291</v>
      </c>
      <c r="C13" s="222"/>
      <c r="Q13" s="186">
        <f>IF(Q12=0,0%,5.99%)</f>
        <v>0</v>
      </c>
      <c r="AA13" s="186">
        <f ca="1">Ануїтетна_графік_Авто!G14</f>
        <v>46485</v>
      </c>
      <c r="AB13" s="186">
        <v>10</v>
      </c>
      <c r="AD13" s="186" t="e">
        <f ca="1">Ануїтетна_графік_Авто!J14</f>
        <v>#VALUE!</v>
      </c>
      <c r="AF13" s="186" t="e">
        <f ca="1">Ануїтетна_графік_Авто!K14</f>
        <v>#VALUE!</v>
      </c>
      <c r="AH13" s="186" t="e">
        <f ca="1">Ануїтетна_графік_Авто!M14</f>
        <v>#VALUE!</v>
      </c>
      <c r="AJ13" s="186">
        <f t="shared" ca="1" si="0"/>
        <v>46507</v>
      </c>
      <c r="AK13" s="186">
        <v>10</v>
      </c>
      <c r="AM13" s="186" t="e">
        <f ca="1">Ануїтетна_графік_Авто!J14</f>
        <v>#VALUE!</v>
      </c>
      <c r="AO13" s="186" t="e">
        <f ca="1">Ануїтетна_графік_Авто!K14</f>
        <v>#VALUE!</v>
      </c>
      <c r="AQ13" s="186" t="e">
        <f ca="1">Ануїтетна_графік_Авто!M14</f>
        <v>#VALUE!</v>
      </c>
      <c r="AS13" s="186" t="e">
        <f t="shared" ca="1" si="1"/>
        <v>#DIV/0!</v>
      </c>
    </row>
    <row r="14" spans="2:94" x14ac:dyDescent="0.3">
      <c r="C14" s="222"/>
      <c r="Q14" s="186" t="s">
        <v>172</v>
      </c>
      <c r="W14" s="186" t="s">
        <v>255</v>
      </c>
      <c r="AA14" s="186">
        <f ca="1">Ануїтетна_графік_Авто!G15</f>
        <v>46515</v>
      </c>
      <c r="AB14" s="186">
        <v>11</v>
      </c>
      <c r="AD14" s="186" t="e">
        <f ca="1">Ануїтетна_графік_Авто!J15</f>
        <v>#VALUE!</v>
      </c>
      <c r="AF14" s="186" t="e">
        <f ca="1">Ануїтетна_графік_Авто!K15</f>
        <v>#VALUE!</v>
      </c>
      <c r="AH14" s="186" t="e">
        <f ca="1">Ануїтетна_графік_Авто!M15</f>
        <v>#VALUE!</v>
      </c>
      <c r="AJ14" s="186">
        <f t="shared" ca="1" si="0"/>
        <v>46538</v>
      </c>
      <c r="AK14" s="186">
        <v>11</v>
      </c>
      <c r="AM14" s="186" t="e">
        <f ca="1">Ануїтетна_графік_Авто!J15</f>
        <v>#VALUE!</v>
      </c>
      <c r="AO14" s="186" t="e">
        <f ca="1">Ануїтетна_графік_Авто!K15</f>
        <v>#VALUE!</v>
      </c>
      <c r="AQ14" s="186" t="e">
        <f ca="1">Ануїтетна_графік_Авто!M15</f>
        <v>#VALUE!</v>
      </c>
      <c r="AS14" s="186" t="e">
        <f t="shared" ca="1" si="1"/>
        <v>#DIV/0!</v>
      </c>
    </row>
    <row r="15" spans="2:94" x14ac:dyDescent="0.3">
      <c r="B15" s="186" t="s">
        <v>292</v>
      </c>
      <c r="C15" s="222"/>
      <c r="G15" s="186">
        <v>5.16E-2</v>
      </c>
      <c r="I15" s="186" t="s">
        <v>293</v>
      </c>
      <c r="N15" s="186">
        <f>ROUND(G4*G15,2)</f>
        <v>0</v>
      </c>
      <c r="P15" s="186" t="s">
        <v>256</v>
      </c>
      <c r="Q15" s="186" t="e">
        <f>$G$4-IF($S$4=1,0,IF($S$4=3,$G$6,IF($S$4=2,$G$4*$G$6)))+IF($G$13="Так",$N$12,0)+IF($G$16="Так",$N$15,0)</f>
        <v>#DIV/0!</v>
      </c>
      <c r="W15" s="186" t="s">
        <v>16</v>
      </c>
      <c r="AA15" s="186">
        <f ca="1">Ануїтетна_графік_Авто!G16</f>
        <v>46546</v>
      </c>
      <c r="AB15" s="186">
        <v>12</v>
      </c>
      <c r="AD15" s="186" t="e">
        <f ca="1">Ануїтетна_графік_Авто!J16</f>
        <v>#VALUE!</v>
      </c>
      <c r="AF15" s="186" t="e">
        <f ca="1">Ануїтетна_графік_Авто!K16</f>
        <v>#VALUE!</v>
      </c>
      <c r="AH15" s="186" t="e">
        <f ca="1">Ануїтетна_графік_Авто!M16</f>
        <v>#VALUE!</v>
      </c>
      <c r="AJ15" s="186">
        <f t="shared" ca="1" si="0"/>
        <v>46568</v>
      </c>
      <c r="AK15" s="186">
        <v>12</v>
      </c>
      <c r="AM15" s="186" t="e">
        <f ca="1">Ануїтетна_графік_Авто!J16</f>
        <v>#VALUE!</v>
      </c>
      <c r="AO15" s="186" t="e">
        <f ca="1">Ануїтетна_графік_Авто!K16</f>
        <v>#VALUE!</v>
      </c>
      <c r="AQ15" s="186" t="e">
        <f ca="1">Ануїтетна_графік_Авто!M16</f>
        <v>#VALUE!</v>
      </c>
      <c r="AS15" s="186" t="e">
        <f t="shared" ca="1" si="1"/>
        <v>#DIV/0!</v>
      </c>
    </row>
    <row r="16" spans="2:94" x14ac:dyDescent="0.3">
      <c r="C16" s="222"/>
      <c r="P16" s="186" t="s">
        <v>294</v>
      </c>
      <c r="Q16" s="186" t="e">
        <f>$G$4-IF($S$4=3,$G$6,IF($S$4=2,$G$4*$G$6))</f>
        <v>#DIV/0!</v>
      </c>
      <c r="AA16" s="186">
        <f ca="1">Ануїтетна_графік_Авто!G17</f>
        <v>46576</v>
      </c>
      <c r="AB16" s="186">
        <v>13</v>
      </c>
      <c r="AD16" s="186" t="e">
        <f ca="1">Ануїтетна_графік_Авто!J17</f>
        <v>#VALUE!</v>
      </c>
      <c r="AF16" s="186" t="e">
        <f ca="1">Ануїтетна_графік_Авто!K17</f>
        <v>#VALUE!</v>
      </c>
      <c r="AH16" s="186" t="e">
        <f ca="1">Ануїтетна_графік_Авто!M17</f>
        <v>#VALUE!</v>
      </c>
      <c r="AJ16" s="186">
        <f t="shared" ca="1" si="0"/>
        <v>46599</v>
      </c>
      <c r="AK16" s="186">
        <v>13</v>
      </c>
      <c r="AM16" s="186" t="e">
        <f ca="1">Ануїтетна_графік_Авто!J17</f>
        <v>#VALUE!</v>
      </c>
      <c r="AO16" s="186" t="e">
        <f ca="1">Ануїтетна_графік_Авто!K17</f>
        <v>#VALUE!</v>
      </c>
      <c r="AQ16" s="186" t="e">
        <f ca="1">Ануїтетна_графік_Авто!M17</f>
        <v>#VALUE!</v>
      </c>
      <c r="AS16" s="186" t="e">
        <f t="shared" ca="1" si="1"/>
        <v>#DIV/0!</v>
      </c>
    </row>
    <row r="17" spans="2:45" x14ac:dyDescent="0.3">
      <c r="C17" s="222"/>
      <c r="W17" s="186" t="s">
        <v>228</v>
      </c>
      <c r="AA17" s="186">
        <f ca="1">Ануїтетна_графік_Авто!G18</f>
        <v>46607</v>
      </c>
      <c r="AB17" s="186">
        <v>14</v>
      </c>
      <c r="AD17" s="186" t="e">
        <f ca="1">Ануїтетна_графік_Авто!J18</f>
        <v>#VALUE!</v>
      </c>
      <c r="AF17" s="186" t="e">
        <f ca="1">Ануїтетна_графік_Авто!K18</f>
        <v>#VALUE!</v>
      </c>
      <c r="AH17" s="186" t="e">
        <f ca="1">Ануїтетна_графік_Авто!M18</f>
        <v>#VALUE!</v>
      </c>
      <c r="AJ17" s="186">
        <f t="shared" ca="1" si="0"/>
        <v>46630</v>
      </c>
      <c r="AK17" s="186">
        <v>14</v>
      </c>
      <c r="AM17" s="186" t="e">
        <f ca="1">Ануїтетна_графік_Авто!J18</f>
        <v>#VALUE!</v>
      </c>
      <c r="AO17" s="186" t="e">
        <f ca="1">Ануїтетна_графік_Авто!K18</f>
        <v>#VALUE!</v>
      </c>
      <c r="AQ17" s="186" t="e">
        <f ca="1">Ануїтетна_графік_Авто!M18</f>
        <v>#VALUE!</v>
      </c>
      <c r="AS17" s="186" t="e">
        <f t="shared" ca="1" si="1"/>
        <v>#DIV/0!</v>
      </c>
    </row>
    <row r="18" spans="2:45" x14ac:dyDescent="0.3">
      <c r="W18" s="186" t="str">
        <f>IF(OR(G2=R28,G2=R31),"Класична","")</f>
        <v/>
      </c>
      <c r="AA18" s="186">
        <f ca="1">Ануїтетна_графік_Авто!G19</f>
        <v>46638</v>
      </c>
      <c r="AB18" s="186">
        <v>15</v>
      </c>
      <c r="AD18" s="186" t="e">
        <f ca="1">Ануїтетна_графік_Авто!J19</f>
        <v>#VALUE!</v>
      </c>
      <c r="AF18" s="186" t="e">
        <f ca="1">Ануїтетна_графік_Авто!K19</f>
        <v>#VALUE!</v>
      </c>
      <c r="AH18" s="186" t="e">
        <f ca="1">Ануїтетна_графік_Авто!M19</f>
        <v>#VALUE!</v>
      </c>
      <c r="AJ18" s="186">
        <f t="shared" ca="1" si="0"/>
        <v>46660</v>
      </c>
      <c r="AK18" s="186">
        <v>15</v>
      </c>
      <c r="AM18" s="186" t="e">
        <f ca="1">Ануїтетна_графік_Авто!J19</f>
        <v>#VALUE!</v>
      </c>
      <c r="AO18" s="186" t="e">
        <f ca="1">Ануїтетна_графік_Авто!K19</f>
        <v>#VALUE!</v>
      </c>
      <c r="AQ18" s="186" t="e">
        <f ca="1">Ануїтетна_графік_Авто!M19</f>
        <v>#VALUE!</v>
      </c>
      <c r="AS18" s="186" t="e">
        <f t="shared" ca="1" si="1"/>
        <v>#DIV/0!</v>
      </c>
    </row>
    <row r="19" spans="2:45" x14ac:dyDescent="0.3">
      <c r="B19" s="186" t="s">
        <v>172</v>
      </c>
      <c r="G19" s="186" t="e">
        <f>G4-IF(S4=1,0,IF(S4=2,G4*G6,IF(S4=3,G6)))+IF(N10="Так",G10,0)</f>
        <v>#DIV/0!</v>
      </c>
      <c r="Q19" s="186" t="s">
        <v>263</v>
      </c>
      <c r="T19" s="186" t="s">
        <v>264</v>
      </c>
      <c r="U19" s="186">
        <f ca="1">TODAY()</f>
        <v>46181</v>
      </c>
      <c r="W19" s="186">
        <v>1</v>
      </c>
      <c r="X19" s="186">
        <v>31</v>
      </c>
      <c r="AA19" s="186">
        <f ca="1">Ануїтетна_графік_Авто!G20</f>
        <v>46668</v>
      </c>
      <c r="AB19" s="186">
        <v>16</v>
      </c>
      <c r="AD19" s="186" t="e">
        <f ca="1">Ануїтетна_графік_Авто!J20</f>
        <v>#VALUE!</v>
      </c>
      <c r="AF19" s="186" t="e">
        <f ca="1">Ануїтетна_графік_Авто!K20</f>
        <v>#VALUE!</v>
      </c>
      <c r="AH19" s="186" t="e">
        <f ca="1">Ануїтетна_графік_Авто!M20</f>
        <v>#VALUE!</v>
      </c>
      <c r="AJ19" s="186">
        <f t="shared" ca="1" si="0"/>
        <v>46691</v>
      </c>
      <c r="AK19" s="186">
        <v>16</v>
      </c>
      <c r="AM19" s="186" t="e">
        <f ca="1">Ануїтетна_графік_Авто!J20</f>
        <v>#VALUE!</v>
      </c>
      <c r="AO19" s="186" t="e">
        <f ca="1">Ануїтетна_графік_Авто!K20</f>
        <v>#VALUE!</v>
      </c>
      <c r="AQ19" s="186" t="e">
        <f ca="1">Ануїтетна_графік_Авто!M20</f>
        <v>#VALUE!</v>
      </c>
      <c r="AS19" s="186" t="e">
        <f t="shared" ca="1" si="1"/>
        <v>#DIV/0!</v>
      </c>
    </row>
    <row r="20" spans="2:45" x14ac:dyDescent="0.3">
      <c r="Q20" s="186">
        <f>IF($G$13="Так",ROUND((G4-G6+N15)*G12/100,2),IF($G$16="Ні",ROUND((G4-G6)*G12/100,2),0))</f>
        <v>0</v>
      </c>
      <c r="T20" s="186" t="s">
        <v>265</v>
      </c>
      <c r="U20" s="186">
        <f ca="1">DAY(U19)</f>
        <v>8</v>
      </c>
      <c r="W20" s="186">
        <v>2</v>
      </c>
      <c r="X20" s="186">
        <v>28</v>
      </c>
      <c r="AA20" s="186">
        <f ca="1">Ануїтетна_графік_Авто!G21</f>
        <v>46699</v>
      </c>
      <c r="AB20" s="186">
        <v>17</v>
      </c>
      <c r="AD20" s="186" t="e">
        <f ca="1">Ануїтетна_графік_Авто!J21</f>
        <v>#VALUE!</v>
      </c>
      <c r="AF20" s="186" t="e">
        <f ca="1">Ануїтетна_графік_Авто!K21</f>
        <v>#VALUE!</v>
      </c>
      <c r="AH20" s="186" t="e">
        <f ca="1">Ануїтетна_графік_Авто!M21</f>
        <v>#VALUE!</v>
      </c>
      <c r="AJ20" s="186">
        <f t="shared" ca="1" si="0"/>
        <v>46721</v>
      </c>
      <c r="AK20" s="186">
        <v>17</v>
      </c>
      <c r="AM20" s="186" t="e">
        <f ca="1">Ануїтетна_графік_Авто!J21</f>
        <v>#VALUE!</v>
      </c>
      <c r="AO20" s="186" t="e">
        <f ca="1">Ануїтетна_графік_Авто!K21</f>
        <v>#VALUE!</v>
      </c>
      <c r="AQ20" s="186" t="e">
        <f ca="1">Ануїтетна_графік_Авто!M21</f>
        <v>#VALUE!</v>
      </c>
      <c r="AS20" s="186" t="e">
        <f t="shared" ca="1" si="1"/>
        <v>#DIV/0!</v>
      </c>
    </row>
    <row r="21" spans="2:45" x14ac:dyDescent="0.3">
      <c r="B21" s="186" t="s">
        <v>295</v>
      </c>
      <c r="T21" s="186" t="s">
        <v>237</v>
      </c>
      <c r="U21" s="186">
        <f ca="1">MONTH(U19)</f>
        <v>6</v>
      </c>
      <c r="W21" s="186">
        <v>3</v>
      </c>
      <c r="X21" s="186">
        <v>31</v>
      </c>
      <c r="AA21" s="186">
        <f ca="1">Ануїтетна_графік_Авто!G22</f>
        <v>46729</v>
      </c>
      <c r="AB21" s="186">
        <v>18</v>
      </c>
      <c r="AD21" s="186" t="e">
        <f ca="1">Ануїтетна_графік_Авто!J22</f>
        <v>#VALUE!</v>
      </c>
      <c r="AF21" s="186" t="e">
        <f ca="1">Ануїтетна_графік_Авто!K22</f>
        <v>#VALUE!</v>
      </c>
      <c r="AH21" s="186" t="e">
        <f ca="1">Ануїтетна_графік_Авто!M22</f>
        <v>#VALUE!</v>
      </c>
      <c r="AJ21" s="186">
        <f t="shared" ca="1" si="0"/>
        <v>46752</v>
      </c>
      <c r="AK21" s="186">
        <v>18</v>
      </c>
      <c r="AM21" s="186" t="e">
        <f ca="1">Ануїтетна_графік_Авто!J22</f>
        <v>#VALUE!</v>
      </c>
      <c r="AO21" s="186" t="e">
        <f ca="1">Ануїтетна_графік_Авто!K22</f>
        <v>#VALUE!</v>
      </c>
      <c r="AQ21" s="186" t="e">
        <f ca="1">Ануїтетна_графік_Авто!M22</f>
        <v>#VALUE!</v>
      </c>
      <c r="AS21" s="186" t="e">
        <f t="shared" ca="1" si="1"/>
        <v>#DIV/0!</v>
      </c>
    </row>
    <row r="22" spans="2:45" x14ac:dyDescent="0.3">
      <c r="B22" s="186" t="s">
        <v>231</v>
      </c>
      <c r="T22" s="186" t="s">
        <v>268</v>
      </c>
      <c r="U22" s="186">
        <v>1200000</v>
      </c>
      <c r="W22" s="186">
        <v>4</v>
      </c>
      <c r="X22" s="186">
        <v>30</v>
      </c>
      <c r="AA22" s="186">
        <f ca="1">Ануїтетна_графік_Авто!G23</f>
        <v>46760</v>
      </c>
      <c r="AB22" s="186">
        <v>19</v>
      </c>
      <c r="AD22" s="186" t="e">
        <f ca="1">Ануїтетна_графік_Авто!J23</f>
        <v>#VALUE!</v>
      </c>
      <c r="AF22" s="186" t="e">
        <f ca="1">Ануїтетна_графік_Авто!K23</f>
        <v>#VALUE!</v>
      </c>
      <c r="AH22" s="186" t="e">
        <f ca="1">Ануїтетна_графік_Авто!M23</f>
        <v>#VALUE!</v>
      </c>
      <c r="AJ22" s="186">
        <f t="shared" ca="1" si="0"/>
        <v>46783</v>
      </c>
      <c r="AK22" s="186">
        <v>19</v>
      </c>
      <c r="AM22" s="186" t="e">
        <f ca="1">Ануїтетна_графік_Авто!J23</f>
        <v>#VALUE!</v>
      </c>
      <c r="AO22" s="186" t="e">
        <f ca="1">Ануїтетна_графік_Авто!K23</f>
        <v>#VALUE!</v>
      </c>
      <c r="AQ22" s="186" t="e">
        <f ca="1">Ануїтетна_графік_Авто!M23</f>
        <v>#VALUE!</v>
      </c>
      <c r="AS22" s="186" t="e">
        <f t="shared" ca="1" si="1"/>
        <v>#DIV/0!</v>
      </c>
    </row>
    <row r="23" spans="2:45" x14ac:dyDescent="0.3">
      <c r="B23" s="186" t="s">
        <v>237</v>
      </c>
      <c r="D23" s="186" t="s">
        <v>233</v>
      </c>
      <c r="E23" s="186" t="s">
        <v>234</v>
      </c>
      <c r="F23" s="186" t="s">
        <v>235</v>
      </c>
      <c r="H23" s="186" t="s">
        <v>525</v>
      </c>
      <c r="T23" s="186" t="s">
        <v>270</v>
      </c>
      <c r="U23" s="186">
        <f>'Калькулятор '!V23</f>
        <v>0</v>
      </c>
      <c r="W23" s="186">
        <v>5</v>
      </c>
      <c r="X23" s="186">
        <v>31</v>
      </c>
      <c r="AA23" s="186">
        <f ca="1">Ануїтетна_графік_Авто!G24</f>
        <v>46791</v>
      </c>
      <c r="AB23" s="186">
        <v>20</v>
      </c>
      <c r="AD23" s="186" t="e">
        <f ca="1">Ануїтетна_графік_Авто!J24</f>
        <v>#VALUE!</v>
      </c>
      <c r="AF23" s="186" t="e">
        <f ca="1">Ануїтетна_графік_Авто!K24</f>
        <v>#VALUE!</v>
      </c>
      <c r="AH23" s="186" t="e">
        <f ca="1">Ануїтетна_графік_Авто!M24</f>
        <v>#VALUE!</v>
      </c>
      <c r="AJ23" s="186">
        <f t="shared" ca="1" si="0"/>
        <v>46812</v>
      </c>
      <c r="AK23" s="186">
        <v>20</v>
      </c>
      <c r="AM23" s="186" t="e">
        <f ca="1">Ануїтетна_графік_Авто!J24</f>
        <v>#VALUE!</v>
      </c>
      <c r="AO23" s="186" t="e">
        <f ca="1">Ануїтетна_графік_Авто!K24</f>
        <v>#VALUE!</v>
      </c>
      <c r="AQ23" s="186" t="e">
        <f ca="1">Ануїтетна_графік_Авто!M24</f>
        <v>#VALUE!</v>
      </c>
      <c r="AS23" s="186" t="e">
        <f t="shared" ca="1" si="1"/>
        <v>#DIV/0!</v>
      </c>
    </row>
    <row r="24" spans="2:45" x14ac:dyDescent="0.3">
      <c r="P24" s="186">
        <f ca="1">TODAY()</f>
        <v>46181</v>
      </c>
      <c r="Q24" s="186" t="s">
        <v>264</v>
      </c>
      <c r="R24" s="186" t="s">
        <v>271</v>
      </c>
      <c r="AA24" s="186">
        <f ca="1">Ануїтетна_графік_Авто!G25</f>
        <v>46820</v>
      </c>
      <c r="AB24" s="186">
        <v>21</v>
      </c>
      <c r="AD24" s="186" t="e">
        <f ca="1">Ануїтетна_графік_Авто!J25</f>
        <v>#VALUE!</v>
      </c>
      <c r="AF24" s="186" t="e">
        <f ca="1">Ануїтетна_графік_Авто!K25</f>
        <v>#VALUE!</v>
      </c>
      <c r="AH24" s="186" t="e">
        <f ca="1">Ануїтетна_графік_Авто!M25</f>
        <v>#VALUE!</v>
      </c>
      <c r="AJ24" s="186">
        <f t="shared" ca="1" si="0"/>
        <v>46843</v>
      </c>
      <c r="AK24" s="186">
        <v>21</v>
      </c>
      <c r="AM24" s="186" t="e">
        <f ca="1">Ануїтетна_графік_Авто!J25</f>
        <v>#VALUE!</v>
      </c>
      <c r="AO24" s="186" t="e">
        <f ca="1">Ануїтетна_графік_Авто!K25</f>
        <v>#VALUE!</v>
      </c>
      <c r="AQ24" s="186" t="e">
        <f ca="1">Ануїтетна_графік_Авто!M25</f>
        <v>#VALUE!</v>
      </c>
      <c r="AS24" s="186" t="e">
        <f t="shared" ca="1" si="1"/>
        <v>#DIV/0!</v>
      </c>
    </row>
    <row r="25" spans="2:45" x14ac:dyDescent="0.3">
      <c r="B25" s="186">
        <v>1</v>
      </c>
      <c r="D25" s="186">
        <v>15820.916666666668</v>
      </c>
      <c r="F25" s="186">
        <v>7830.083333333333</v>
      </c>
      <c r="H25" s="186">
        <v>23651</v>
      </c>
      <c r="K25" s="186" t="s">
        <v>296</v>
      </c>
      <c r="N25" s="186" t="e">
        <f>IF($S$4=3,$G$6,IF($S$4=2,$G$4*$G$6,IF($S$4=1,0)))</f>
        <v>#DIV/0!</v>
      </c>
      <c r="P25" s="186">
        <f ca="1">IF(P24&lt;Q26,R25,IF(P24&lt;Q27,R26,R27))</f>
        <v>2589</v>
      </c>
      <c r="Q25" s="186">
        <v>44562</v>
      </c>
      <c r="R25" s="186">
        <v>2589</v>
      </c>
      <c r="W25" s="186">
        <v>6</v>
      </c>
      <c r="X25" s="186">
        <v>30</v>
      </c>
      <c r="AA25" s="186">
        <f ca="1">Ануїтетна_графік_Авто!G26</f>
        <v>46851</v>
      </c>
      <c r="AB25" s="186">
        <v>22</v>
      </c>
      <c r="AD25" s="186" t="e">
        <f ca="1">Ануїтетна_графік_Авто!J26</f>
        <v>#VALUE!</v>
      </c>
      <c r="AF25" s="186" t="e">
        <f ca="1">Ануїтетна_графік_Авто!K26</f>
        <v>#VALUE!</v>
      </c>
      <c r="AH25" s="186" t="e">
        <f ca="1">Ануїтетна_графік_Авто!M26</f>
        <v>#VALUE!</v>
      </c>
      <c r="AJ25" s="186">
        <f t="shared" ca="1" si="0"/>
        <v>46873</v>
      </c>
      <c r="AK25" s="186">
        <v>22</v>
      </c>
      <c r="AM25" s="186" t="e">
        <f ca="1">Ануїтетна_графік_Авто!J26</f>
        <v>#VALUE!</v>
      </c>
      <c r="AO25" s="186" t="e">
        <f ca="1">Ануїтетна_графік_Авто!K26</f>
        <v>#VALUE!</v>
      </c>
      <c r="AQ25" s="186" t="e">
        <f ca="1">Ануїтетна_графік_Авто!M26</f>
        <v>#VALUE!</v>
      </c>
      <c r="AS25" s="186" t="e">
        <f t="shared" ca="1" si="1"/>
        <v>#DIV/0!</v>
      </c>
    </row>
    <row r="26" spans="2:45" x14ac:dyDescent="0.3">
      <c r="B26" s="186">
        <v>2</v>
      </c>
      <c r="D26" s="186">
        <v>16244.761422916667</v>
      </c>
      <c r="F26" s="186">
        <v>7406.2385770833334</v>
      </c>
      <c r="H26" s="186">
        <v>23651</v>
      </c>
      <c r="Q26" s="186">
        <v>44562</v>
      </c>
      <c r="R26" s="186">
        <v>2589</v>
      </c>
      <c r="W26" s="186">
        <v>7</v>
      </c>
      <c r="X26" s="186">
        <v>31</v>
      </c>
      <c r="AA26" s="186">
        <f ca="1">Ануїтетна_графік_Авто!G27</f>
        <v>46881</v>
      </c>
      <c r="AB26" s="186">
        <f>AB25+1</f>
        <v>23</v>
      </c>
      <c r="AD26" s="186" t="e">
        <f ca="1">Ануїтетна_графік_Авто!J27</f>
        <v>#VALUE!</v>
      </c>
      <c r="AF26" s="186" t="e">
        <f ca="1">Ануїтетна_графік_Авто!K27</f>
        <v>#VALUE!</v>
      </c>
      <c r="AH26" s="186" t="e">
        <f ca="1">Ануїтетна_графік_Авто!M27</f>
        <v>#VALUE!</v>
      </c>
      <c r="AJ26" s="186">
        <f t="shared" ca="1" si="0"/>
        <v>46904</v>
      </c>
      <c r="AK26" s="186">
        <v>23</v>
      </c>
      <c r="AM26" s="186" t="e">
        <f ca="1">Ануїтетна_графік_Авто!J27</f>
        <v>#VALUE!</v>
      </c>
      <c r="AO26" s="186" t="e">
        <f ca="1">Ануїтетна_графік_Авто!K27</f>
        <v>#VALUE!</v>
      </c>
      <c r="AQ26" s="186" t="e">
        <f ca="1">Ануїтетна_графік_Авто!M27</f>
        <v>#VALUE!</v>
      </c>
      <c r="AS26" s="186" t="e">
        <f t="shared" ca="1" si="1"/>
        <v>#DIV/0!</v>
      </c>
    </row>
    <row r="27" spans="2:45" x14ac:dyDescent="0.3">
      <c r="B27" s="186">
        <v>3</v>
      </c>
      <c r="D27" s="186">
        <v>16179.597997497063</v>
      </c>
      <c r="F27" s="186">
        <v>7471.4020025029367</v>
      </c>
      <c r="H27" s="186">
        <v>23651</v>
      </c>
      <c r="Q27" s="186">
        <v>44562</v>
      </c>
      <c r="R27" s="186">
        <v>2589</v>
      </c>
      <c r="W27" s="186">
        <v>8</v>
      </c>
      <c r="X27" s="186">
        <v>31</v>
      </c>
      <c r="AA27" s="186">
        <f ca="1">Ануїтетна_графік_Авто!G28</f>
        <v>46912</v>
      </c>
      <c r="AB27" s="186">
        <f>AB26+1</f>
        <v>24</v>
      </c>
      <c r="AD27" s="186" t="e">
        <f ca="1">Ануїтетна_графік_Авто!J28</f>
        <v>#VALUE!</v>
      </c>
      <c r="AF27" s="186" t="e">
        <f ca="1">Ануїтетна_графік_Авто!K28</f>
        <v>#VALUE!</v>
      </c>
      <c r="AH27" s="186" t="e">
        <f ca="1">Ануїтетна_графік_Авто!M28</f>
        <v>#VALUE!</v>
      </c>
      <c r="AJ27" s="186">
        <f t="shared" ca="1" si="0"/>
        <v>46934</v>
      </c>
      <c r="AK27" s="186">
        <v>24</v>
      </c>
      <c r="AM27" s="186" t="e">
        <f ca="1">Ануїтетна_графік_Авто!J28</f>
        <v>#VALUE!</v>
      </c>
      <c r="AO27" s="186" t="e">
        <f ca="1">Ануїтетна_графік_Авто!K28</f>
        <v>#VALUE!</v>
      </c>
      <c r="AQ27" s="186" t="e">
        <f ca="1">Ануїтетна_графік_Авто!M28</f>
        <v>#VALUE!</v>
      </c>
      <c r="AS27" s="186" t="e">
        <f t="shared" ca="1" si="1"/>
        <v>#DIV/0!</v>
      </c>
    </row>
    <row r="28" spans="2:45" x14ac:dyDescent="0.3">
      <c r="B28" s="186">
        <v>4</v>
      </c>
      <c r="D28" s="186">
        <v>16360.580284097399</v>
      </c>
      <c r="F28" s="186">
        <v>7290.4197159026007</v>
      </c>
      <c r="H28" s="186">
        <v>23651</v>
      </c>
      <c r="K28" s="186" t="s">
        <v>297</v>
      </c>
      <c r="N28" s="186" t="e">
        <f>G10</f>
        <v>#DIV/0!</v>
      </c>
      <c r="W28" s="186">
        <v>9</v>
      </c>
      <c r="X28" s="186">
        <v>30</v>
      </c>
      <c r="AA28" s="186">
        <f ca="1">Ануїтетна_графік_Авто!G29</f>
        <v>46942</v>
      </c>
      <c r="AB28" s="186">
        <f t="shared" ref="AB28:AB78" si="2">AB27+1</f>
        <v>25</v>
      </c>
      <c r="AD28" s="186" t="e">
        <f ca="1">Ануїтетна_графік_Авто!J29</f>
        <v>#VALUE!</v>
      </c>
      <c r="AF28" s="186" t="e">
        <f ca="1">Ануїтетна_графік_Авто!K29</f>
        <v>#VALUE!</v>
      </c>
      <c r="AH28" s="186" t="e">
        <f ca="1">Ануїтетна_графік_Авто!M29</f>
        <v>#VALUE!</v>
      </c>
      <c r="AJ28" s="186">
        <f t="shared" ca="1" si="0"/>
        <v>46965</v>
      </c>
      <c r="AK28" s="186">
        <v>25</v>
      </c>
      <c r="AM28" s="186" t="e">
        <f ca="1">Ануїтетна_графік_Авто!J29</f>
        <v>#VALUE!</v>
      </c>
      <c r="AO28" s="186" t="e">
        <f ca="1">Ануїтетна_графік_Авто!K29</f>
        <v>#VALUE!</v>
      </c>
      <c r="AQ28" s="186" t="e">
        <f ca="1">Ануїтетна_графік_Авто!M29</f>
        <v>#VALUE!</v>
      </c>
      <c r="AS28" s="186" t="e">
        <f t="shared" ca="1" si="1"/>
        <v>#DIV/0!</v>
      </c>
    </row>
    <row r="29" spans="2:45" x14ac:dyDescent="0.3">
      <c r="B29" s="186">
        <v>5</v>
      </c>
      <c r="D29" s="186">
        <v>16772.858395217998</v>
      </c>
      <c r="F29" s="186">
        <v>6878.1416047820012</v>
      </c>
      <c r="H29" s="186">
        <v>23651</v>
      </c>
      <c r="W29" s="186">
        <v>10</v>
      </c>
      <c r="X29" s="186">
        <v>31</v>
      </c>
      <c r="AA29" s="186">
        <f ca="1">Ануїтетна_графік_Авто!G30</f>
        <v>46973</v>
      </c>
      <c r="AB29" s="186">
        <f t="shared" si="2"/>
        <v>26</v>
      </c>
      <c r="AD29" s="186" t="e">
        <f ca="1">Ануїтетна_графік_Авто!J30</f>
        <v>#VALUE!</v>
      </c>
      <c r="AF29" s="186" t="e">
        <f ca="1">Ануїтетна_графік_Авто!K30</f>
        <v>#VALUE!</v>
      </c>
      <c r="AH29" s="186" t="e">
        <f ca="1">Ануїтетна_графік_Авто!M30</f>
        <v>#VALUE!</v>
      </c>
      <c r="AJ29" s="186">
        <f t="shared" ca="1" si="0"/>
        <v>46996</v>
      </c>
      <c r="AK29" s="186">
        <v>26</v>
      </c>
      <c r="AM29" s="186" t="e">
        <f ca="1">Ануїтетна_графік_Авто!J30</f>
        <v>#VALUE!</v>
      </c>
      <c r="AO29" s="186" t="e">
        <f ca="1">Ануїтетна_графік_Авто!K30</f>
        <v>#VALUE!</v>
      </c>
      <c r="AQ29" s="186" t="e">
        <f ca="1">Ануїтетна_графік_Авто!M30</f>
        <v>#VALUE!</v>
      </c>
      <c r="AS29" s="186" t="e">
        <f t="shared" ca="1" si="1"/>
        <v>#DIV/0!</v>
      </c>
    </row>
    <row r="30" spans="2:45" x14ac:dyDescent="0.3">
      <c r="B30" s="186">
        <v>6</v>
      </c>
      <c r="D30" s="186">
        <v>16731.20540692444</v>
      </c>
      <c r="F30" s="186">
        <v>6919.7945930755586</v>
      </c>
      <c r="H30" s="186">
        <v>23651</v>
      </c>
      <c r="W30" s="186">
        <v>11</v>
      </c>
      <c r="X30" s="186">
        <v>30</v>
      </c>
      <c r="AA30" s="186">
        <f ca="1">Ануїтетна_графік_Авто!G31</f>
        <v>47004</v>
      </c>
      <c r="AB30" s="186">
        <f t="shared" si="2"/>
        <v>27</v>
      </c>
      <c r="AD30" s="186" t="e">
        <f ca="1">Ануїтетна_графік_Авто!J31</f>
        <v>#VALUE!</v>
      </c>
      <c r="AF30" s="186" t="e">
        <f ca="1">Ануїтетна_графік_Авто!K31</f>
        <v>#VALUE!</v>
      </c>
      <c r="AH30" s="186" t="e">
        <f ca="1">Ануїтетна_графік_Авто!M31</f>
        <v>#VALUE!</v>
      </c>
      <c r="AJ30" s="186">
        <f t="shared" ca="1" si="0"/>
        <v>47026</v>
      </c>
      <c r="AK30" s="186">
        <v>27</v>
      </c>
      <c r="AM30" s="186" t="e">
        <f ca="1">Ануїтетна_графік_Авто!J31</f>
        <v>#VALUE!</v>
      </c>
      <c r="AO30" s="186" t="e">
        <f ca="1">Ануїтетна_графік_Авто!K31</f>
        <v>#VALUE!</v>
      </c>
      <c r="AQ30" s="186" t="e">
        <f ca="1">Ануїтетна_графік_Авто!M31</f>
        <v>#VALUE!</v>
      </c>
      <c r="AS30" s="186" t="e">
        <f t="shared" ca="1" si="1"/>
        <v>#DIV/0!</v>
      </c>
    </row>
    <row r="31" spans="2:45" x14ac:dyDescent="0.3">
      <c r="B31" s="186">
        <v>7</v>
      </c>
      <c r="D31" s="186">
        <v>17135.539885876191</v>
      </c>
      <c r="F31" s="186">
        <v>6515.460114123809</v>
      </c>
      <c r="H31" s="186">
        <v>23651</v>
      </c>
      <c r="K31" s="186" t="s">
        <v>298</v>
      </c>
      <c r="N31" s="186">
        <f>N15</f>
        <v>0</v>
      </c>
      <c r="W31" s="186">
        <v>12</v>
      </c>
      <c r="X31" s="186">
        <v>31</v>
      </c>
      <c r="AA31" s="186">
        <f ca="1">Ануїтетна_графік_Авто!G32</f>
        <v>47034</v>
      </c>
      <c r="AB31" s="186">
        <f t="shared" si="2"/>
        <v>28</v>
      </c>
      <c r="AD31" s="186" t="e">
        <f ca="1">Ануїтетна_графік_Авто!J32</f>
        <v>#VALUE!</v>
      </c>
      <c r="AF31" s="186" t="e">
        <f ca="1">Ануїтетна_графік_Авто!K32</f>
        <v>#VALUE!</v>
      </c>
      <c r="AH31" s="186" t="e">
        <f ca="1">Ануїтетна_графік_Авто!M32</f>
        <v>#VALUE!</v>
      </c>
      <c r="AJ31" s="186">
        <f t="shared" ca="1" si="0"/>
        <v>47057</v>
      </c>
      <c r="AK31" s="186">
        <v>28</v>
      </c>
      <c r="AM31" s="186" t="e">
        <f ca="1">Ануїтетна_графік_Авто!J32</f>
        <v>#VALUE!</v>
      </c>
      <c r="AO31" s="186" t="e">
        <f ca="1">Ануїтетна_графік_Авто!K32</f>
        <v>#VALUE!</v>
      </c>
      <c r="AQ31" s="186" t="e">
        <f ca="1">Ануїтетна_графік_Авто!M32</f>
        <v>#VALUE!</v>
      </c>
      <c r="AS31" s="186" t="e">
        <f t="shared" ca="1" si="1"/>
        <v>#DIV/0!</v>
      </c>
    </row>
    <row r="32" spans="2:45" x14ac:dyDescent="0.3">
      <c r="B32" s="186">
        <v>8</v>
      </c>
      <c r="D32" s="186">
        <v>17110.033175312161</v>
      </c>
      <c r="F32" s="186">
        <v>6540.9668246878382</v>
      </c>
      <c r="H32" s="186">
        <v>23651</v>
      </c>
      <c r="P32" s="186" t="s">
        <v>249</v>
      </c>
      <c r="AA32" s="186">
        <f ca="1">Ануїтетна_графік_Авто!G33</f>
        <v>47065</v>
      </c>
      <c r="AB32" s="186">
        <f t="shared" si="2"/>
        <v>29</v>
      </c>
      <c r="AD32" s="186" t="e">
        <f ca="1">Ануїтетна_графік_Авто!J33</f>
        <v>#VALUE!</v>
      </c>
      <c r="AF32" s="186" t="e">
        <f ca="1">Ануїтетна_графік_Авто!K33</f>
        <v>#VALUE!</v>
      </c>
      <c r="AH32" s="186" t="e">
        <f ca="1">Ануїтетна_графік_Авто!M33</f>
        <v>#VALUE!</v>
      </c>
      <c r="AJ32" s="186">
        <f t="shared" ca="1" si="0"/>
        <v>47087</v>
      </c>
      <c r="AK32" s="186">
        <v>29</v>
      </c>
      <c r="AM32" s="186" t="e">
        <f ca="1">Ануїтетна_графік_Авто!J33</f>
        <v>#VALUE!</v>
      </c>
      <c r="AO32" s="186" t="e">
        <f ca="1">Ануїтетна_графік_Авто!K33</f>
        <v>#VALUE!</v>
      </c>
      <c r="AQ32" s="186" t="e">
        <f ca="1">Ануїтетна_графік_Авто!M33</f>
        <v>#VALUE!</v>
      </c>
      <c r="AS32" s="186" t="e">
        <f t="shared" ca="1" si="1"/>
        <v>#DIV/0!</v>
      </c>
    </row>
    <row r="33" spans="2:45" x14ac:dyDescent="0.3">
      <c r="B33" s="186">
        <v>9</v>
      </c>
      <c r="D33" s="186">
        <v>17301.423154739008</v>
      </c>
      <c r="F33" s="186">
        <v>6349.5768452609918</v>
      </c>
      <c r="H33" s="186">
        <v>23651</v>
      </c>
      <c r="P33" s="186" t="s">
        <v>243</v>
      </c>
      <c r="AA33" s="186">
        <f ca="1">Ануїтетна_графік_Авто!G34</f>
        <v>47095</v>
      </c>
      <c r="AB33" s="186">
        <f t="shared" si="2"/>
        <v>30</v>
      </c>
      <c r="AD33" s="186" t="e">
        <f ca="1">Ануїтетна_графік_Авто!J34</f>
        <v>#VALUE!</v>
      </c>
      <c r="AF33" s="186" t="e">
        <f ca="1">Ануїтетна_графік_Авто!K34</f>
        <v>#VALUE!</v>
      </c>
      <c r="AH33" s="186" t="e">
        <f ca="1">Ануїтетна_графік_Авто!M34</f>
        <v>#VALUE!</v>
      </c>
      <c r="AJ33" s="186">
        <f t="shared" ca="1" si="0"/>
        <v>47118</v>
      </c>
      <c r="AK33" s="186">
        <v>30</v>
      </c>
      <c r="AM33" s="186" t="e">
        <f ca="1">Ануїтетна_графік_Авто!J34</f>
        <v>#VALUE!</v>
      </c>
      <c r="AO33" s="186" t="e">
        <f ca="1">Ануїтетна_графік_Авто!K34</f>
        <v>#VALUE!</v>
      </c>
      <c r="AQ33" s="186" t="e">
        <f ca="1">Ануїтетна_графік_Авто!M34</f>
        <v>#VALUE!</v>
      </c>
      <c r="AS33" s="186" t="e">
        <f t="shared" ca="1" si="1"/>
        <v>#DIV/0!</v>
      </c>
    </row>
    <row r="34" spans="2:45" x14ac:dyDescent="0.3">
      <c r="B34" s="186">
        <v>10</v>
      </c>
      <c r="D34" s="186">
        <v>18090.700378586032</v>
      </c>
      <c r="F34" s="186">
        <v>5560.2996214139675</v>
      </c>
      <c r="H34" s="186">
        <v>23651</v>
      </c>
      <c r="K34" s="186" t="s">
        <v>299</v>
      </c>
      <c r="N34" s="186" t="e">
        <f>IF(N12=0,0,IF(G13="Ні",N12,IF(G13="Так","НВ включено у суму кредиту",0)))</f>
        <v>#DIV/0!</v>
      </c>
      <c r="AA34" s="186">
        <f ca="1">Ануїтетна_графік_Авто!G35</f>
        <v>47126</v>
      </c>
      <c r="AB34" s="186">
        <f t="shared" si="2"/>
        <v>31</v>
      </c>
      <c r="AD34" s="186" t="e">
        <f ca="1">Ануїтетна_графік_Авто!J35</f>
        <v>#VALUE!</v>
      </c>
      <c r="AF34" s="186" t="e">
        <f ca="1">Ануїтетна_графік_Авто!K35</f>
        <v>#VALUE!</v>
      </c>
      <c r="AH34" s="186" t="e">
        <f ca="1">Ануїтетна_графік_Авто!M35</f>
        <v>#VALUE!</v>
      </c>
      <c r="AJ34" s="186">
        <f t="shared" ca="1" si="0"/>
        <v>47149</v>
      </c>
      <c r="AK34" s="186">
        <v>31</v>
      </c>
      <c r="AM34" s="186" t="e">
        <f ca="1">Ануїтетна_графік_Авто!J35</f>
        <v>#VALUE!</v>
      </c>
      <c r="AO34" s="186" t="e">
        <f ca="1">Ануїтетна_графік_Авто!K35</f>
        <v>#VALUE!</v>
      </c>
      <c r="AQ34" s="186" t="e">
        <f ca="1">Ануїтетна_графік_Авто!M35</f>
        <v>#VALUE!</v>
      </c>
      <c r="AS34" s="186" t="e">
        <f t="shared" ca="1" si="1"/>
        <v>#DIV/0!</v>
      </c>
    </row>
    <row r="35" spans="2:45" x14ac:dyDescent="0.3">
      <c r="B35" s="186">
        <v>11</v>
      </c>
      <c r="D35" s="186">
        <v>17697.313549895527</v>
      </c>
      <c r="F35" s="186">
        <v>5953.6864501044738</v>
      </c>
      <c r="H35" s="186">
        <v>23651</v>
      </c>
      <c r="AA35" s="186">
        <f ca="1">Ануїтетна_графік_Авто!G36</f>
        <v>47157</v>
      </c>
      <c r="AB35" s="186">
        <f t="shared" si="2"/>
        <v>32</v>
      </c>
      <c r="AD35" s="186" t="e">
        <f ca="1">Ануїтетна_графік_Авто!J36</f>
        <v>#VALUE!</v>
      </c>
      <c r="AF35" s="186" t="e">
        <f ca="1">Ануїтетна_графік_Авто!K36</f>
        <v>#VALUE!</v>
      </c>
      <c r="AH35" s="186" t="e">
        <f ca="1">Ануїтетна_графік_Авто!M36</f>
        <v>#VALUE!</v>
      </c>
      <c r="AJ35" s="186">
        <f t="shared" ca="1" si="0"/>
        <v>47177</v>
      </c>
      <c r="AK35" s="186">
        <v>32</v>
      </c>
      <c r="AM35" s="186" t="e">
        <f ca="1">Ануїтетна_графік_Авто!J36</f>
        <v>#VALUE!</v>
      </c>
      <c r="AO35" s="186" t="e">
        <f ca="1">Ануїтетна_графік_Авто!K36</f>
        <v>#VALUE!</v>
      </c>
      <c r="AQ35" s="186" t="e">
        <f ca="1">Ануїтетна_графік_Авто!M36</f>
        <v>#VALUE!</v>
      </c>
      <c r="AS35" s="186" t="e">
        <f t="shared" ca="1" si="1"/>
        <v>#DIV/0!</v>
      </c>
    </row>
    <row r="36" spans="2:45" x14ac:dyDescent="0.3">
      <c r="B36" s="186">
        <v>12</v>
      </c>
      <c r="D36" s="186">
        <v>18080.941370689419</v>
      </c>
      <c r="F36" s="186">
        <v>5570.0586293105807</v>
      </c>
      <c r="H36" s="186">
        <v>23651</v>
      </c>
      <c r="AA36" s="186">
        <f ca="1">Ануїтетна_графік_Авто!G37</f>
        <v>47185</v>
      </c>
      <c r="AB36" s="186">
        <f t="shared" si="2"/>
        <v>33</v>
      </c>
      <c r="AD36" s="186" t="e">
        <f ca="1">Ануїтетна_графік_Авто!J37</f>
        <v>#VALUE!</v>
      </c>
      <c r="AF36" s="186" t="e">
        <f ca="1">Ануїтетна_графік_Авто!K37</f>
        <v>#VALUE!</v>
      </c>
      <c r="AH36" s="186" t="e">
        <f ca="1">Ануїтетна_графік_Авто!M37</f>
        <v>#VALUE!</v>
      </c>
      <c r="AJ36" s="186">
        <f t="shared" ca="1" si="0"/>
        <v>47208</v>
      </c>
      <c r="AK36" s="186">
        <v>33</v>
      </c>
      <c r="AM36" s="186" t="e">
        <f ca="1">Ануїтетна_графік_Авто!J37</f>
        <v>#VALUE!</v>
      </c>
      <c r="AO36" s="186" t="e">
        <f ca="1">Ануїтетна_графік_Авто!K37</f>
        <v>#VALUE!</v>
      </c>
      <c r="AQ36" s="186" t="e">
        <f ca="1">Ануїтетна_графік_Авто!M37</f>
        <v>#VALUE!</v>
      </c>
      <c r="AS36" s="186" t="e">
        <f t="shared" ca="1" si="1"/>
        <v>#DIV/0!</v>
      </c>
    </row>
    <row r="37" spans="2:45" x14ac:dyDescent="0.3">
      <c r="B37" s="186">
        <v>13</v>
      </c>
      <c r="D37" s="186">
        <v>18097.523146394706</v>
      </c>
      <c r="F37" s="186">
        <v>5553.4768536052961</v>
      </c>
      <c r="H37" s="186">
        <v>23651</v>
      </c>
      <c r="K37" s="186" t="s">
        <v>300</v>
      </c>
      <c r="N37" s="186">
        <v>0</v>
      </c>
      <c r="AA37" s="186">
        <f ca="1">Ануїтетна_графік_Авто!G38</f>
        <v>47216</v>
      </c>
      <c r="AB37" s="186">
        <f t="shared" si="2"/>
        <v>34</v>
      </c>
      <c r="AD37" s="186" t="e">
        <f ca="1">Ануїтетна_графік_Авто!J38</f>
        <v>#VALUE!</v>
      </c>
      <c r="AF37" s="186" t="e">
        <f ca="1">Ануїтетна_графік_Авто!K38</f>
        <v>#VALUE!</v>
      </c>
      <c r="AH37" s="186" t="e">
        <f ca="1">Ануїтетна_графік_Авто!M38</f>
        <v>#VALUE!</v>
      </c>
      <c r="AJ37" s="186">
        <f t="shared" ca="1" si="0"/>
        <v>47238</v>
      </c>
      <c r="AK37" s="186">
        <v>34</v>
      </c>
      <c r="AM37" s="186" t="e">
        <f ca="1">Ануїтетна_графік_Авто!J38</f>
        <v>#VALUE!</v>
      </c>
      <c r="AO37" s="186" t="e">
        <f ca="1">Ануїтетна_графік_Авто!K38</f>
        <v>#VALUE!</v>
      </c>
      <c r="AQ37" s="186" t="e">
        <f ca="1">Ануїтетна_графік_Авто!M38</f>
        <v>#VALUE!</v>
      </c>
      <c r="AS37" s="186" t="e">
        <f t="shared" ca="1" si="1"/>
        <v>#DIV/0!</v>
      </c>
    </row>
    <row r="38" spans="2:45" x14ac:dyDescent="0.3">
      <c r="B38" s="186">
        <v>14</v>
      </c>
      <c r="D38" s="186">
        <v>18472.573249086854</v>
      </c>
      <c r="F38" s="186">
        <v>5178.426750913145</v>
      </c>
      <c r="H38" s="186">
        <v>23651</v>
      </c>
      <c r="AA38" s="186">
        <f ca="1">Ануїтетна_графік_Авто!G39</f>
        <v>47246</v>
      </c>
      <c r="AB38" s="186">
        <f t="shared" si="2"/>
        <v>35</v>
      </c>
      <c r="AD38" s="186" t="e">
        <f ca="1">Ануїтетна_графік_Авто!J39</f>
        <v>#VALUE!</v>
      </c>
      <c r="AF38" s="186" t="e">
        <f ca="1">Ануїтетна_графік_Авто!K39</f>
        <v>#VALUE!</v>
      </c>
      <c r="AH38" s="186" t="e">
        <f ca="1">Ануїтетна_графік_Авто!M39</f>
        <v>#VALUE!</v>
      </c>
      <c r="AJ38" s="186">
        <f t="shared" ca="1" si="0"/>
        <v>47269</v>
      </c>
      <c r="AK38" s="186">
        <v>35</v>
      </c>
      <c r="AM38" s="186" t="e">
        <f ca="1">Ануїтетна_графік_Авто!J39</f>
        <v>#VALUE!</v>
      </c>
      <c r="AO38" s="186" t="e">
        <f ca="1">Ануїтетна_графік_Авто!K39</f>
        <v>#VALUE!</v>
      </c>
      <c r="AQ38" s="186" t="e">
        <f ca="1">Ануїтетна_графік_Авто!M39</f>
        <v>#VALUE!</v>
      </c>
      <c r="AS38" s="186" t="e">
        <f t="shared" ca="1" si="1"/>
        <v>#DIV/0!</v>
      </c>
    </row>
    <row r="39" spans="2:45" x14ac:dyDescent="0.3">
      <c r="B39" s="186">
        <v>15</v>
      </c>
      <c r="D39" s="186">
        <v>18506.590149658492</v>
      </c>
      <c r="F39" s="186">
        <v>5144.4098503415062</v>
      </c>
      <c r="H39" s="186">
        <v>23651</v>
      </c>
      <c r="S39" s="186" t="s">
        <v>216</v>
      </c>
      <c r="T39" s="186">
        <f>G4/6*5</f>
        <v>0</v>
      </c>
      <c r="AA39" s="186">
        <f ca="1">Ануїтетна_графік_Авто!G40</f>
        <v>47277</v>
      </c>
      <c r="AB39" s="186">
        <f t="shared" si="2"/>
        <v>36</v>
      </c>
      <c r="AD39" s="186" t="e">
        <f ca="1">Ануїтетна_графік_Авто!J40</f>
        <v>#VALUE!</v>
      </c>
      <c r="AF39" s="186" t="e">
        <f ca="1">Ануїтетна_графік_Авто!K40</f>
        <v>#VALUE!</v>
      </c>
      <c r="AH39" s="186" t="e">
        <f ca="1">Ануїтетна_графік_Авто!M40</f>
        <v>#VALUE!</v>
      </c>
      <c r="AJ39" s="186">
        <f t="shared" ca="1" si="0"/>
        <v>47299</v>
      </c>
      <c r="AK39" s="186">
        <v>36</v>
      </c>
      <c r="AM39" s="186" t="e">
        <f ca="1">Ануїтетна_графік_Авто!J40</f>
        <v>#VALUE!</v>
      </c>
      <c r="AO39" s="186" t="e">
        <f ca="1">Ануїтетна_графік_Авто!K40</f>
        <v>#VALUE!</v>
      </c>
      <c r="AQ39" s="186" t="e">
        <f ca="1">Ануїтетна_графік_Авто!M40</f>
        <v>#VALUE!</v>
      </c>
      <c r="AS39" s="186" t="e">
        <f t="shared" ca="1" si="1"/>
        <v>#DIV/0!</v>
      </c>
    </row>
    <row r="40" spans="2:45" x14ac:dyDescent="0.3">
      <c r="B40" s="186">
        <v>16</v>
      </c>
      <c r="D40" s="186">
        <v>18713.601782640882</v>
      </c>
      <c r="F40" s="186">
        <v>4937.3982173591176</v>
      </c>
      <c r="H40" s="186">
        <v>23651</v>
      </c>
      <c r="K40" s="186" t="s">
        <v>279</v>
      </c>
      <c r="P40" s="186" t="str">
        <f>CONCATENATE(P42,P43,P44,P45,P46)</f>
        <v/>
      </c>
      <c r="Q40" s="186">
        <f>SUM(Q42:Q47)</f>
        <v>0</v>
      </c>
      <c r="Z40" s="186">
        <f>SUM(Z42:Z46)</f>
        <v>0</v>
      </c>
      <c r="AA40" s="186">
        <f ca="1">Ануїтетна_графік_Авто!G41</f>
        <v>47307</v>
      </c>
      <c r="AB40" s="186">
        <f t="shared" si="2"/>
        <v>37</v>
      </c>
      <c r="AD40" s="186" t="e">
        <f ca="1">Ануїтетна_графік_Авто!J41</f>
        <v>#VALUE!</v>
      </c>
      <c r="AF40" s="186" t="e">
        <f ca="1">Ануїтетна_графік_Авто!K41</f>
        <v>#VALUE!</v>
      </c>
      <c r="AH40" s="186" t="e">
        <f ca="1">Ануїтетна_графік_Авто!M41</f>
        <v>#VALUE!</v>
      </c>
      <c r="AJ40" s="186">
        <f t="shared" ca="1" si="0"/>
        <v>47330</v>
      </c>
      <c r="AK40" s="186">
        <v>37</v>
      </c>
      <c r="AM40" s="186" t="e">
        <f ca="1">Ануїтетна_графік_Авто!J41</f>
        <v>#VALUE!</v>
      </c>
      <c r="AO40" s="186" t="e">
        <f ca="1">Ануїтетна_графік_Авто!K41</f>
        <v>#VALUE!</v>
      </c>
      <c r="AQ40" s="186" t="e">
        <f ca="1">Ануїтетна_графік_Авто!M41</f>
        <v>#VALUE!</v>
      </c>
      <c r="AS40" s="186" t="e">
        <f t="shared" ca="1" si="1"/>
        <v>#DIV/0!</v>
      </c>
    </row>
    <row r="41" spans="2:45" x14ac:dyDescent="0.3">
      <c r="B41" s="186">
        <v>17</v>
      </c>
      <c r="D41" s="186">
        <v>19075.447432175359</v>
      </c>
      <c r="F41" s="186">
        <v>4575.5525678246395</v>
      </c>
      <c r="H41" s="186">
        <v>23651</v>
      </c>
      <c r="P41" s="186" t="s">
        <v>301</v>
      </c>
      <c r="Q41" s="186" t="s">
        <v>274</v>
      </c>
      <c r="R41" s="186" t="s">
        <v>302</v>
      </c>
      <c r="S41" s="186">
        <v>12</v>
      </c>
      <c r="T41" s="186">
        <v>24</v>
      </c>
      <c r="U41" s="186">
        <v>36</v>
      </c>
      <c r="V41" s="186">
        <v>48</v>
      </c>
      <c r="W41" s="186">
        <v>60</v>
      </c>
      <c r="X41" s="186">
        <v>72</v>
      </c>
      <c r="Y41" s="186">
        <v>84</v>
      </c>
      <c r="Z41" s="186" t="s">
        <v>303</v>
      </c>
      <c r="AA41" s="186">
        <f ca="1">Ануїтетна_графік_Авто!G42</f>
        <v>47338</v>
      </c>
      <c r="AB41" s="186">
        <f t="shared" si="2"/>
        <v>38</v>
      </c>
      <c r="AD41" s="186" t="e">
        <f ca="1">Ануїтетна_графік_Авто!J42</f>
        <v>#VALUE!</v>
      </c>
      <c r="AF41" s="186" t="e">
        <f ca="1">Ануїтетна_графік_Авто!K42</f>
        <v>#VALUE!</v>
      </c>
      <c r="AH41" s="186" t="e">
        <f ca="1">Ануїтетна_графік_Авто!M42</f>
        <v>#VALUE!</v>
      </c>
      <c r="AJ41" s="186">
        <f t="shared" ca="1" si="0"/>
        <v>47361</v>
      </c>
      <c r="AK41" s="186">
        <v>38</v>
      </c>
      <c r="AM41" s="186" t="e">
        <f ca="1">Ануїтетна_графік_Авто!J42</f>
        <v>#VALUE!</v>
      </c>
      <c r="AO41" s="186" t="e">
        <f ca="1">Ануїтетна_графік_Авто!K42</f>
        <v>#VALUE!</v>
      </c>
      <c r="AQ41" s="186" t="e">
        <f ca="1">Ануїтетна_графік_Авто!M42</f>
        <v>#VALUE!</v>
      </c>
      <c r="AS41" s="186" t="e">
        <f t="shared" ca="1" si="1"/>
        <v>#DIV/0!</v>
      </c>
    </row>
    <row r="42" spans="2:45" x14ac:dyDescent="0.3">
      <c r="B42" s="186">
        <v>18</v>
      </c>
      <c r="D42" s="186">
        <v>19136.303788982947</v>
      </c>
      <c r="F42" s="186">
        <v>4514.6962110170525</v>
      </c>
      <c r="H42" s="186">
        <v>23651</v>
      </c>
      <c r="P42" s="186" t="str">
        <f>IF($G$2=R42,IF(AND($G$2=R42,$U$23&lt;20),"Авансовий платіж має бути не менше 20%",IF(AND($G$2=R42,$U$23&gt;29.999),"Авансовий платіж має бути менше 30%","Авансовий платіж достатній")),"")</f>
        <v/>
      </c>
      <c r="Q42" s="186">
        <f>IF(AND(U23&lt;30,$N$8=$S$41),S42,
IF(AND(U23&lt;30,$N$8=$T$41),T42,
IF(AND(U23&lt;30,$N$8=$U$41),U42,
IF(AND(U23&lt;30,$N$8=$V$41),V42,
IF(AND(U23&lt;30,$N$8=$W$41),W42,
IF(AND(U23&lt;30,$N$8=$X$41),X42,
IF(AND(U23&lt;30,$N$8=$Y$41),Y42,0)))))))</f>
        <v>0</v>
      </c>
      <c r="R42" s="186" t="s">
        <v>516</v>
      </c>
      <c r="S42" s="186">
        <v>5.0999999999999996</v>
      </c>
      <c r="T42" s="186">
        <v>7.79</v>
      </c>
      <c r="U42" s="186">
        <v>8.99</v>
      </c>
      <c r="V42" s="186">
        <v>10.39</v>
      </c>
      <c r="W42" s="186">
        <v>10.39</v>
      </c>
      <c r="X42" s="186">
        <v>11.200000000000001</v>
      </c>
      <c r="Y42" s="186">
        <v>11.200000000000001</v>
      </c>
      <c r="Z42" s="186">
        <f>IF(AND($G$2=R42,OR($N$8=$S$41,$N$8=$T$41,$N$8=$U$41)),0.0299,
IF(AND($G$2=R42,OR($N$8=$X$41,$N$8=$W$41,$N$8=$V$41,$N$8=$Y$41)),0,0))</f>
        <v>0</v>
      </c>
      <c r="AA42" s="186">
        <f ca="1">Ануїтетна_графік_Авто!G43</f>
        <v>47369</v>
      </c>
      <c r="AB42" s="186">
        <f t="shared" si="2"/>
        <v>39</v>
      </c>
      <c r="AD42" s="186" t="e">
        <f ca="1">Ануїтетна_графік_Авто!J43</f>
        <v>#VALUE!</v>
      </c>
      <c r="AF42" s="186" t="e">
        <f ca="1">Ануїтетна_графік_Авто!K43</f>
        <v>#VALUE!</v>
      </c>
      <c r="AH42" s="186" t="e">
        <f ca="1">Ануїтетна_графік_Авто!M43</f>
        <v>#VALUE!</v>
      </c>
      <c r="AJ42" s="186">
        <f t="shared" ca="1" si="0"/>
        <v>47391</v>
      </c>
      <c r="AK42" s="186">
        <v>39</v>
      </c>
      <c r="AM42" s="186" t="e">
        <f ca="1">Ануїтетна_графік_Авто!J43</f>
        <v>#VALUE!</v>
      </c>
      <c r="AO42" s="186" t="e">
        <f ca="1">Ануїтетна_графік_Авто!K43</f>
        <v>#VALUE!</v>
      </c>
      <c r="AQ42" s="186" t="e">
        <f ca="1">Ануїтетна_графік_Авто!M43</f>
        <v>#VALUE!</v>
      </c>
      <c r="AS42" s="186" t="e">
        <f t="shared" ca="1" si="1"/>
        <v>#DIV/0!</v>
      </c>
    </row>
    <row r="43" spans="2:45" x14ac:dyDescent="0.3">
      <c r="B43" s="186">
        <v>19</v>
      </c>
      <c r="D43" s="186">
        <v>19489.0896391444</v>
      </c>
      <c r="F43" s="186">
        <v>4161.9103608556006</v>
      </c>
      <c r="H43" s="186">
        <v>23651</v>
      </c>
      <c r="K43" s="186" t="s">
        <v>304</v>
      </c>
      <c r="P43" s="186" t="str">
        <f>IF($G$2=R43,IF(AND($G$2=R43,$U$23&lt;30),"Авансовий платіж має бути не менше 30%",IF(AND($G$2=R43,$U$23&gt;39.999),"Авансовий платіж має бути менше 40%","Авансовий платіж достатній")),"")</f>
        <v/>
      </c>
      <c r="Q43" s="186">
        <f>IF(AND($U$23&gt;=30,$U$23&lt;40,$N$8=$S$41),S43,
IF(AND($U$23&gt;=30,$U$23&lt;40,$N$8=$T$41),T43,
IF(AND($U$23&gt;=30,$U$23&lt;40,$N$8=$U$41),U43,
IF(AND($U$23&gt;=30,$U$23&lt;40,$N$8=$V$41),V43,
IF(AND($U$23&gt;=30,$U$23&lt;40,$N$8=$W$41),W43,
IF(AND($U$23&gt;=30,$U$23&lt;40,$N$8=$X$41),X43,
IF(AND($U$23&gt;=30,$U$23&lt;40,$N$8=$Y$41),Y43,0)))))))</f>
        <v>0</v>
      </c>
      <c r="R43" s="186" t="s">
        <v>517</v>
      </c>
      <c r="S43" s="186">
        <v>4.2</v>
      </c>
      <c r="T43" s="186">
        <v>6.99</v>
      </c>
      <c r="U43" s="186">
        <v>8.2900000000000009</v>
      </c>
      <c r="V43" s="186">
        <v>9.7900000000000009</v>
      </c>
      <c r="W43" s="186">
        <v>9.7900000000000009</v>
      </c>
      <c r="X43" s="186">
        <v>10.69</v>
      </c>
      <c r="Y43" s="186">
        <v>10.69</v>
      </c>
      <c r="Z43" s="186">
        <f>IF(AND($G$2=R43,OR($N$8=$S$41,$N$8=$T$41,$N$8=$U$41)),0.0299,
IF(AND($G$2=R43,OR($N$8=$X$41,$N$8=$W$41,$N$8=$V$41,$N$8=$Y$41)),0,0))</f>
        <v>0</v>
      </c>
      <c r="AA43" s="186">
        <f ca="1">Ануїтетна_графік_Авто!G44</f>
        <v>47399</v>
      </c>
      <c r="AB43" s="186">
        <f>AB42+1</f>
        <v>40</v>
      </c>
      <c r="AD43" s="186" t="e">
        <f ca="1">Ануїтетна_графік_Авто!J44</f>
        <v>#VALUE!</v>
      </c>
      <c r="AF43" s="186" t="e">
        <f ca="1">Ануїтетна_графік_Авто!K44</f>
        <v>#VALUE!</v>
      </c>
      <c r="AH43" s="186" t="e">
        <f ca="1">Ануїтетна_графік_Авто!M44</f>
        <v>#VALUE!</v>
      </c>
      <c r="AJ43" s="186">
        <f t="shared" ca="1" si="0"/>
        <v>47422</v>
      </c>
      <c r="AK43" s="186">
        <v>40</v>
      </c>
      <c r="AM43" s="186" t="e">
        <f ca="1">Ануїтетна_графік_Авто!J44</f>
        <v>#VALUE!</v>
      </c>
      <c r="AO43" s="186" t="e">
        <f ca="1">Ануїтетна_графік_Авто!K44</f>
        <v>#VALUE!</v>
      </c>
      <c r="AQ43" s="186" t="e">
        <f ca="1">Ануїтетна_графік_Авто!M44</f>
        <v>#VALUE!</v>
      </c>
      <c r="AS43" s="186" t="e">
        <f t="shared" ca="1" si="1"/>
        <v>#DIV/0!</v>
      </c>
    </row>
    <row r="44" spans="2:45" x14ac:dyDescent="0.3">
      <c r="B44" s="186">
        <v>20</v>
      </c>
      <c r="D44" s="186">
        <v>19568.361002304409</v>
      </c>
      <c r="F44" s="186">
        <v>4082.6389976955902</v>
      </c>
      <c r="H44" s="186">
        <v>23651</v>
      </c>
      <c r="Q44" s="186">
        <f>IF(AND($U$23&gt;=40,$U$23&lt;50,$N$8=$S$41),S44,
IF(AND($U$23&gt;=40,$U$23&lt;50,$N$8=$T$41),T44,
IF(AND($U$23&gt;=40,$U$23&lt;50,$N$8=$U$41),U44,
IF(AND($U$23&gt;=40,$U$23&lt;50,$N$8=$V$41),V44,
IF(AND($U$23&gt;=40,$U$23&lt;50,$N$8=$W$41),W44,
IF(AND($U$23&gt;=40,$U$23&lt;50,$N$8=$X$41),X44,
IF(AND($U$23&gt;=40,$U$23&lt;50,$N$8=$Y$41),Y44,0)))))))</f>
        <v>0</v>
      </c>
      <c r="R44" s="186" t="s">
        <v>518</v>
      </c>
      <c r="S44" s="186">
        <v>2.9899999999999998</v>
      </c>
      <c r="T44" s="186">
        <v>5.89</v>
      </c>
      <c r="U44" s="186">
        <v>7.2900000000000009</v>
      </c>
      <c r="V44" s="186">
        <v>8.89</v>
      </c>
      <c r="W44" s="186">
        <v>8.89</v>
      </c>
      <c r="X44" s="186">
        <v>9.89</v>
      </c>
      <c r="Y44" s="186">
        <v>9.89</v>
      </c>
      <c r="AA44" s="186">
        <f ca="1">Ануїтетна_графік_Авто!G45</f>
        <v>47430</v>
      </c>
      <c r="AB44" s="186">
        <f t="shared" si="2"/>
        <v>41</v>
      </c>
      <c r="AD44" s="186" t="e">
        <f ca="1">Ануїтетна_графік_Авто!J45</f>
        <v>#VALUE!</v>
      </c>
      <c r="AF44" s="186" t="e">
        <f ca="1">Ануїтетна_графік_Авто!K45</f>
        <v>#VALUE!</v>
      </c>
      <c r="AH44" s="186" t="e">
        <f ca="1">Ануїтетна_графік_Авто!M45</f>
        <v>#VALUE!</v>
      </c>
      <c r="AJ44" s="186">
        <f t="shared" ca="1" si="0"/>
        <v>47452</v>
      </c>
      <c r="AK44" s="186">
        <v>41</v>
      </c>
      <c r="AM44" s="186" t="e">
        <f ca="1">Ануїтетна_графік_Авто!J45</f>
        <v>#VALUE!</v>
      </c>
      <c r="AO44" s="186" t="e">
        <f ca="1">Ануїтетна_графік_Авто!K45</f>
        <v>#VALUE!</v>
      </c>
      <c r="AQ44" s="186" t="e">
        <f ca="1">Ануїтетна_графік_Авто!M45</f>
        <v>#VALUE!</v>
      </c>
      <c r="AS44" s="186" t="e">
        <f t="shared" ca="1" si="1"/>
        <v>#DIV/0!</v>
      </c>
    </row>
    <row r="45" spans="2:45" x14ac:dyDescent="0.3">
      <c r="B45" s="186">
        <v>21</v>
      </c>
      <c r="D45" s="186">
        <v>19787.249427082686</v>
      </c>
      <c r="F45" s="186">
        <v>3863.7505729173145</v>
      </c>
      <c r="H45" s="186">
        <v>23651</v>
      </c>
      <c r="Q45" s="186">
        <f>IF(AND($U$23&gt;=50,$U$23&lt;60,$N$8=$S$41),S45,
IF(AND($U$23&gt;=50,$U$23&lt;60,$N$8=$T$41),T45,
IF(AND($U$23&gt;=50,$U$23&lt;60,$N$8=$U$41),U45,
IF(AND($U$23&gt;=50,$U$23&lt;60,$N$8=$V$41),V45,
IF(AND($U$23&gt;=50,$U$23&lt;60,$N$8=$W$41),W45,
IF(AND($U$23&gt;=50,$U$23&lt;60,$N$8=$X$41),X45,
IF(AND($U$23&gt;=50,$U$23&lt;60,$N$8=$Y$41),Y45,0)))))))</f>
        <v>0</v>
      </c>
      <c r="R45" s="186" t="s">
        <v>519</v>
      </c>
      <c r="S45" s="186">
        <v>1.39</v>
      </c>
      <c r="T45" s="186">
        <v>4.3900000000000006</v>
      </c>
      <c r="U45" s="186">
        <v>5.89</v>
      </c>
      <c r="V45" s="186">
        <v>7.6899999999999995</v>
      </c>
      <c r="W45" s="186">
        <v>7.6899999999999995</v>
      </c>
      <c r="X45" s="186">
        <v>8.7900000000000009</v>
      </c>
      <c r="Y45" s="186">
        <v>8.7900000000000009</v>
      </c>
      <c r="AA45" s="186">
        <f ca="1">Ануїтетна_графік_Авто!G46</f>
        <v>47460</v>
      </c>
      <c r="AB45" s="186">
        <f t="shared" si="2"/>
        <v>42</v>
      </c>
      <c r="AD45" s="186" t="e">
        <f ca="1">Ануїтетна_графік_Авто!J46</f>
        <v>#VALUE!</v>
      </c>
      <c r="AF45" s="186" t="e">
        <f ca="1">Ануїтетна_графік_Авто!K46</f>
        <v>#VALUE!</v>
      </c>
      <c r="AH45" s="186" t="e">
        <f ca="1">Ануїтетна_графік_Авто!M46</f>
        <v>#VALUE!</v>
      </c>
      <c r="AJ45" s="186">
        <f t="shared" ca="1" si="0"/>
        <v>47483</v>
      </c>
      <c r="AK45" s="186">
        <v>42</v>
      </c>
      <c r="AM45" s="186" t="e">
        <f ca="1">Ануїтетна_графік_Авто!J46</f>
        <v>#VALUE!</v>
      </c>
      <c r="AO45" s="186" t="e">
        <f ca="1">Ануїтетна_графік_Авто!K46</f>
        <v>#VALUE!</v>
      </c>
      <c r="AQ45" s="186" t="e">
        <f ca="1">Ануїтетна_графік_Авто!M46</f>
        <v>#VALUE!</v>
      </c>
      <c r="AS45" s="186" t="e">
        <f t="shared" ca="1" si="1"/>
        <v>#DIV/0!</v>
      </c>
    </row>
    <row r="46" spans="2:45" x14ac:dyDescent="0.3">
      <c r="B46" s="186">
        <v>22</v>
      </c>
      <c r="D46" s="186">
        <v>20361.077949560502</v>
      </c>
      <c r="F46" s="186">
        <v>3289.9220504394975</v>
      </c>
      <c r="H46" s="186">
        <v>23651</v>
      </c>
      <c r="K46" s="186" t="s">
        <v>305</v>
      </c>
      <c r="N46" s="186">
        <f>'Калькулятор (реал. ставка)'!C18</f>
        <v>0</v>
      </c>
      <c r="Q46" s="186">
        <f>IF(AND($U$23&gt;=60,$U$23&lt;70,$N$8=$S$41),S46,
IF(AND($U$23&gt;=60,$U$23&lt;70,$N$8=$T$41),T46,
IF(AND($U$23&gt;=60,$U$23&lt;70,$N$8=$U$41),U46,
IF(AND($U$23&gt;=60,$U$23&lt;70,$N$8=$V$41),V46,
IF(AND($U$23&gt;=60,$U$23&lt;70,$N$8=$W$41),W46,
IF(AND($U$23&gt;=60,$U$23&lt;70,$N$8=$X$41),X46,
IF(AND($U$23&gt;=60,$U$23&lt;70,$N$8=$Y$41),Y46,0)))))))</f>
        <v>0</v>
      </c>
      <c r="R46" s="186" t="s">
        <v>520</v>
      </c>
      <c r="S46" s="186">
        <v>0.01</v>
      </c>
      <c r="T46" s="186">
        <v>2.1</v>
      </c>
      <c r="U46" s="186">
        <v>3.6900000000000004</v>
      </c>
      <c r="V46" s="186">
        <v>5.79</v>
      </c>
      <c r="W46" s="186">
        <v>5.79</v>
      </c>
      <c r="X46" s="186">
        <v>7.1999999999999993</v>
      </c>
      <c r="Y46" s="186">
        <v>7.1999999999999993</v>
      </c>
      <c r="AA46" s="186">
        <f ca="1">Ануїтетна_графік_Авто!G47</f>
        <v>47491</v>
      </c>
      <c r="AB46" s="186">
        <f t="shared" si="2"/>
        <v>43</v>
      </c>
      <c r="AD46" s="186" t="e">
        <f ca="1">Ануїтетна_графік_Авто!J47</f>
        <v>#VALUE!</v>
      </c>
      <c r="AF46" s="186" t="e">
        <f ca="1">Ануїтетна_графік_Авто!K47</f>
        <v>#VALUE!</v>
      </c>
      <c r="AH46" s="186" t="e">
        <f ca="1">Ануїтетна_графік_Авто!M47</f>
        <v>#VALUE!</v>
      </c>
      <c r="AJ46" s="186">
        <f t="shared" ca="1" si="0"/>
        <v>47514</v>
      </c>
      <c r="AK46" s="186">
        <v>43</v>
      </c>
      <c r="AM46" s="186" t="e">
        <f ca="1">Ануїтетна_графік_Авто!J47</f>
        <v>#VALUE!</v>
      </c>
      <c r="AO46" s="186" t="e">
        <f ca="1">Ануїтетна_графік_Авто!K47</f>
        <v>#VALUE!</v>
      </c>
      <c r="AQ46" s="186" t="e">
        <f ca="1">Ануїтетна_графік_Авто!M47</f>
        <v>#VALUE!</v>
      </c>
      <c r="AS46" s="186" t="e">
        <f t="shared" ca="1" si="1"/>
        <v>#DIV/0!</v>
      </c>
    </row>
    <row r="47" spans="2:45" x14ac:dyDescent="0.3">
      <c r="B47" s="186">
        <v>23</v>
      </c>
      <c r="D47" s="186">
        <v>20236.341925729921</v>
      </c>
      <c r="F47" s="186">
        <v>3414.6580742700799</v>
      </c>
      <c r="H47" s="186">
        <v>23651</v>
      </c>
      <c r="Q47" s="186">
        <f>IF(AND($U$23&gt;=70,$N$8=$S$41),S47,
IF(AND($U$23&gt;=70,$N$8=$T$41),T47,
IF(AND($U$23&gt;=70,$N$8=$U$41),U47,
IF(AND($U$23&gt;=70,$N$8=$V$41),V47,
IF(AND($U$23&gt;=70,$N$8=$W$41),W47,
IF(AND($U$23&gt;=70,$N$8=$X$41),X47,
IF(AND($U$23&gt;=70,$N$8=$Y$41),Y47,0)))))))</f>
        <v>0</v>
      </c>
      <c r="R47" s="186" t="s">
        <v>521</v>
      </c>
      <c r="S47" s="186">
        <v>0.01</v>
      </c>
      <c r="T47" s="186">
        <v>0.01</v>
      </c>
      <c r="U47" s="186">
        <v>0.01</v>
      </c>
      <c r="V47" s="186">
        <v>2.4899999999999998</v>
      </c>
      <c r="W47" s="186">
        <v>2.4899999999999998</v>
      </c>
      <c r="X47" s="186">
        <v>4.49</v>
      </c>
      <c r="Y47" s="186">
        <v>4.49</v>
      </c>
      <c r="AA47" s="186">
        <f ca="1">Ануїтетна_графік_Авто!G48</f>
        <v>47522</v>
      </c>
      <c r="AB47" s="186">
        <f t="shared" si="2"/>
        <v>44</v>
      </c>
      <c r="AD47" s="186" t="e">
        <f ca="1">Ануїтетна_графік_Авто!J48</f>
        <v>#VALUE!</v>
      </c>
      <c r="AF47" s="186" t="e">
        <f ca="1">Ануїтетна_графік_Авто!K48</f>
        <v>#VALUE!</v>
      </c>
      <c r="AH47" s="186" t="e">
        <f ca="1">Ануїтетна_графік_Авто!M48</f>
        <v>#VALUE!</v>
      </c>
      <c r="AJ47" s="186">
        <f t="shared" ca="1" si="0"/>
        <v>47542</v>
      </c>
      <c r="AK47" s="186">
        <v>44</v>
      </c>
      <c r="AM47" s="186" t="e">
        <f ca="1">Ануїтетна_графік_Авто!J48</f>
        <v>#VALUE!</v>
      </c>
      <c r="AO47" s="186" t="e">
        <f ca="1">Ануїтетна_графік_Авто!K48</f>
        <v>#VALUE!</v>
      </c>
      <c r="AQ47" s="186" t="e">
        <f ca="1">Ануїтетна_графік_Авто!M48</f>
        <v>#VALUE!</v>
      </c>
      <c r="AS47" s="186" t="e">
        <f t="shared" ca="1" si="1"/>
        <v>#DIV/0!</v>
      </c>
    </row>
    <row r="48" spans="2:45" x14ac:dyDescent="0.3">
      <c r="B48" s="186">
        <v>24</v>
      </c>
      <c r="D48" s="186">
        <v>20565.550587536272</v>
      </c>
      <c r="F48" s="186">
        <v>3085.4494124637276</v>
      </c>
      <c r="H48" s="186">
        <v>23651</v>
      </c>
      <c r="AA48" s="186">
        <f ca="1">Ануїтетна_графік_Авто!G49</f>
        <v>47550</v>
      </c>
      <c r="AB48" s="186">
        <f t="shared" si="2"/>
        <v>45</v>
      </c>
      <c r="AD48" s="186" t="e">
        <f ca="1">Ануїтетна_графік_Авто!J49</f>
        <v>#VALUE!</v>
      </c>
      <c r="AF48" s="186" t="e">
        <f ca="1">Ануїтетна_графік_Авто!K49</f>
        <v>#VALUE!</v>
      </c>
      <c r="AH48" s="186" t="e">
        <f ca="1">Ануїтетна_графік_Авто!M49</f>
        <v>#VALUE!</v>
      </c>
      <c r="AJ48" s="186">
        <f t="shared" ca="1" si="0"/>
        <v>47573</v>
      </c>
      <c r="AK48" s="186">
        <v>45</v>
      </c>
      <c r="AM48" s="186" t="e">
        <f ca="1">Ануїтетна_графік_Авто!J49</f>
        <v>#VALUE!</v>
      </c>
      <c r="AO48" s="186" t="e">
        <f ca="1">Ануїтетна_графік_Авто!K49</f>
        <v>#VALUE!</v>
      </c>
      <c r="AQ48" s="186" t="e">
        <f ca="1">Ануїтетна_графік_Авто!M49</f>
        <v>#VALUE!</v>
      </c>
      <c r="AS48" s="186" t="e">
        <f t="shared" ca="1" si="1"/>
        <v>#DIV/0!</v>
      </c>
    </row>
    <row r="49" spans="2:45" x14ac:dyDescent="0.3">
      <c r="B49" s="186">
        <v>25</v>
      </c>
      <c r="D49" s="186">
        <v>20692.745095067898</v>
      </c>
      <c r="F49" s="186">
        <v>2958.2549049321033</v>
      </c>
      <c r="H49" s="186">
        <v>23651</v>
      </c>
      <c r="K49" s="186" t="s">
        <v>281</v>
      </c>
      <c r="N49" s="186" t="e">
        <f>N25+N37+N40+N43+N46+IF(N31=N15,N31,0)+IF(N34=N12,N34,0)+IF(N28=G10,N28,0)</f>
        <v>#DIV/0!</v>
      </c>
      <c r="P49" s="186" t="str">
        <f>CONCATENATE(P51,P52,P53,P54,P55)</f>
        <v/>
      </c>
      <c r="Q49" s="186">
        <f>SUM(Q51:Q56)</f>
        <v>0</v>
      </c>
      <c r="Z49" s="186">
        <f>SUM(Z51:Z55)</f>
        <v>0</v>
      </c>
      <c r="AA49" s="186">
        <f ca="1">Ануїтетна_графік_Авто!G50</f>
        <v>47581</v>
      </c>
      <c r="AB49" s="186">
        <f t="shared" si="2"/>
        <v>46</v>
      </c>
      <c r="AD49" s="186" t="e">
        <f ca="1">Ануїтетна_графік_Авто!J50</f>
        <v>#VALUE!</v>
      </c>
      <c r="AF49" s="186" t="e">
        <f ca="1">Ануїтетна_графік_Авто!K50</f>
        <v>#VALUE!</v>
      </c>
      <c r="AH49" s="186" t="e">
        <f ca="1">Ануїтетна_графік_Авто!M50</f>
        <v>#VALUE!</v>
      </c>
      <c r="AJ49" s="186">
        <f t="shared" ca="1" si="0"/>
        <v>47603</v>
      </c>
      <c r="AK49" s="186">
        <v>46</v>
      </c>
      <c r="AM49" s="186" t="e">
        <f ca="1">Ануїтетна_графік_Авто!J50</f>
        <v>#VALUE!</v>
      </c>
      <c r="AO49" s="186" t="e">
        <f ca="1">Ануїтетна_графік_Авто!K50</f>
        <v>#VALUE!</v>
      </c>
      <c r="AQ49" s="186" t="e">
        <f ca="1">Ануїтетна_графік_Авто!M50</f>
        <v>#VALUE!</v>
      </c>
      <c r="AS49" s="186" t="e">
        <f t="shared" ca="1" si="1"/>
        <v>#DIV/0!</v>
      </c>
    </row>
    <row r="50" spans="2:45" x14ac:dyDescent="0.3">
      <c r="B50" s="186">
        <v>26</v>
      </c>
      <c r="D50" s="186">
        <v>21012.17163830046</v>
      </c>
      <c r="F50" s="186">
        <v>2638.8283616995386</v>
      </c>
      <c r="H50" s="186">
        <v>23651</v>
      </c>
      <c r="P50" s="186" t="s">
        <v>522</v>
      </c>
      <c r="Q50" s="186" t="s">
        <v>274</v>
      </c>
      <c r="R50" s="186" t="s">
        <v>302</v>
      </c>
      <c r="S50" s="186">
        <v>12</v>
      </c>
      <c r="T50" s="186">
        <v>24</v>
      </c>
      <c r="U50" s="186">
        <v>36</v>
      </c>
      <c r="V50" s="186">
        <v>48</v>
      </c>
      <c r="W50" s="186">
        <v>60</v>
      </c>
      <c r="X50" s="186">
        <v>72</v>
      </c>
      <c r="Y50" s="186">
        <v>84</v>
      </c>
      <c r="Z50" s="186" t="s">
        <v>303</v>
      </c>
      <c r="AA50" s="186">
        <f ca="1">Ануїтетна_графік_Авто!G51</f>
        <v>47611</v>
      </c>
      <c r="AB50" s="186">
        <f t="shared" si="2"/>
        <v>47</v>
      </c>
      <c r="AD50" s="186" t="e">
        <f ca="1">Ануїтетна_графік_Авто!J51</f>
        <v>#VALUE!</v>
      </c>
      <c r="AF50" s="186" t="e">
        <f ca="1">Ануїтетна_графік_Авто!K51</f>
        <v>#VALUE!</v>
      </c>
      <c r="AH50" s="186" t="e">
        <f ca="1">Ануїтетна_графік_Авто!M51</f>
        <v>#VALUE!</v>
      </c>
      <c r="AJ50" s="186">
        <f t="shared" ca="1" si="0"/>
        <v>47634</v>
      </c>
      <c r="AK50" s="186">
        <v>47</v>
      </c>
      <c r="AM50" s="186" t="e">
        <f ca="1">Ануїтетна_графік_Авто!J51</f>
        <v>#VALUE!</v>
      </c>
      <c r="AO50" s="186" t="e">
        <f ca="1">Ануїтетна_графік_Авто!K51</f>
        <v>#VALUE!</v>
      </c>
      <c r="AQ50" s="186" t="e">
        <f ca="1">Ануїтетна_графік_Авто!M51</f>
        <v>#VALUE!</v>
      </c>
      <c r="AS50" s="186" t="e">
        <f t="shared" ca="1" si="1"/>
        <v>#DIV/0!</v>
      </c>
    </row>
    <row r="51" spans="2:45" x14ac:dyDescent="0.3">
      <c r="B51" s="186">
        <v>27</v>
      </c>
      <c r="D51" s="186">
        <v>21159.249342827898</v>
      </c>
      <c r="F51" s="186">
        <v>2491.7506571721005</v>
      </c>
      <c r="H51" s="186">
        <v>23651</v>
      </c>
      <c r="P51" s="186" t="str">
        <f>IF($G$2=R51,IF(AND($G$2=R51,$U$23&lt;20),"Авансовий платіж має бути не менше 20%",IF(AND($G$2=R51,$U$23&gt;29.999),"Авансовий платіж має бути менше 30%","Авансовий платіж достатній")),"")</f>
        <v/>
      </c>
      <c r="Q51" s="186">
        <f>IF(AND(U23&lt;30,$N$8=$S$41),S51,
IF(AND(U23&lt;30,$N$8=$T$41),T51,
IF(AND(U23&lt;30,$N$8=$U$41),U51,
IF(AND(U23&lt;30,$N$8=$V$41),V51,
IF(AND(U23&lt;30,$N$8=$W$41),W51,
IF(AND(U23&lt;30,$N$8=$X$41),X51,
IF(AND(U23&lt;30,$N$8=$Y$41),Y51,0)))))))</f>
        <v>0</v>
      </c>
      <c r="R51" s="186" t="s">
        <v>516</v>
      </c>
      <c r="S51" s="186">
        <v>2.4899999999999998</v>
      </c>
      <c r="T51" s="186">
        <v>2.4899999999999998</v>
      </c>
      <c r="U51" s="186">
        <v>2.4899999999999998</v>
      </c>
      <c r="V51" s="186">
        <v>2.4899999999999998</v>
      </c>
      <c r="W51" s="186">
        <v>2.4899999999999998</v>
      </c>
      <c r="X51" s="186">
        <v>2.4899999999999998</v>
      </c>
      <c r="Y51" s="186">
        <v>2.4899999999999998</v>
      </c>
      <c r="Z51" s="186">
        <f>IF(AND($G$2=R51,OR($N$8=$S$41,$N$8=$T$41,$N$8=$U$41)),0.0299,
IF(AND($G$2=R51,OR($N$8=$X$41,$N$8=$W$41,$N$8=$V$41,$N$8=$Y$41)),0,0))</f>
        <v>0</v>
      </c>
      <c r="AA51" s="186">
        <f ca="1">Ануїтетна_графік_Авто!G52</f>
        <v>47642</v>
      </c>
      <c r="AB51" s="186">
        <f t="shared" si="2"/>
        <v>48</v>
      </c>
      <c r="AD51" s="186" t="e">
        <f ca="1">Ануїтетна_графік_Авто!J52</f>
        <v>#VALUE!</v>
      </c>
      <c r="AF51" s="186" t="e">
        <f ca="1">Ануїтетна_графік_Авто!K52</f>
        <v>#VALUE!</v>
      </c>
      <c r="AH51" s="186" t="e">
        <f ca="1">Ануїтетна_графік_Авто!M52</f>
        <v>#VALUE!</v>
      </c>
      <c r="AJ51" s="186">
        <f t="shared" ca="1" si="0"/>
        <v>47664</v>
      </c>
      <c r="AK51" s="186">
        <v>48</v>
      </c>
      <c r="AM51" s="186" t="e">
        <f ca="1">Ануїтетна_графік_Авто!J52</f>
        <v>#VALUE!</v>
      </c>
      <c r="AO51" s="186" t="e">
        <f ca="1">Ануїтетна_графік_Авто!K52</f>
        <v>#VALUE!</v>
      </c>
      <c r="AQ51" s="186" t="e">
        <f ca="1">Ануїтетна_графік_Авто!M52</f>
        <v>#VALUE!</v>
      </c>
      <c r="AS51" s="186" t="e">
        <f t="shared" ca="1" si="1"/>
        <v>#DIV/0!</v>
      </c>
    </row>
    <row r="52" spans="2:45" x14ac:dyDescent="0.3">
      <c r="B52" s="186">
        <v>28</v>
      </c>
      <c r="D52" s="186">
        <v>21395.933179435215</v>
      </c>
      <c r="F52" s="186">
        <v>2255.0668205647848</v>
      </c>
      <c r="H52" s="186">
        <v>23651</v>
      </c>
      <c r="P52" s="186" t="str">
        <f>IF($G$2=R52,IF(AND($G$2=R52,$U$23&lt;30),"Авансовий платіж має бути не менше 30%",IF(AND($G$2=R52,$U$23&gt;39.999),"Авансовий платіж має бути менше 40%","Авансовий платіж достатній")),"")</f>
        <v/>
      </c>
      <c r="Q52" s="186">
        <f>IF(AND($U$23&gt;=30,$U$23&lt;40,$N$8=$S$41),S52,
IF(AND($U$23&gt;=30,$U$23&lt;40,$N$8=$T$41),T52,
IF(AND($U$23&gt;=30,$U$23&lt;40,$N$8=$U$41),U52,
IF(AND($U$23&gt;=30,$U$23&lt;40,$N$8=$V$41),V52,
IF(AND($U$23&gt;=30,$U$23&lt;40,$N$8=$W$41),W52,
IF(AND($U$23&gt;=30,$U$23&lt;40,$N$8=$X$41),X52,
IF(AND($U$23&gt;=30,$U$23&lt;40,$N$8=$Y$41),Y52,0)))))))</f>
        <v>0</v>
      </c>
      <c r="R52" s="186" t="s">
        <v>517</v>
      </c>
      <c r="S52" s="186">
        <v>2.4899999999999998</v>
      </c>
      <c r="T52" s="186">
        <v>2.4899999999999998</v>
      </c>
      <c r="U52" s="186">
        <v>2.4899999999999998</v>
      </c>
      <c r="V52" s="186">
        <v>2.4899999999999998</v>
      </c>
      <c r="W52" s="186">
        <v>2.4899999999999998</v>
      </c>
      <c r="X52" s="186">
        <v>2.4899999999999998</v>
      </c>
      <c r="Y52" s="186">
        <v>2.4899999999999998</v>
      </c>
      <c r="Z52" s="186">
        <f>IF(AND($G$2=R52,OR($N$8=$S$41,$N$8=$T$41,$N$8=$U$41)),0.0299,
IF(AND($G$2=R52,OR($N$8=$X$41,$N$8=$W$41,$N$8=$V$41,$N$8=$Y$41)),0,0))</f>
        <v>0</v>
      </c>
      <c r="AA52" s="186">
        <f ca="1">Ануїтетна_графік_Авто!G53</f>
        <v>47672</v>
      </c>
      <c r="AB52" s="186">
        <f t="shared" si="2"/>
        <v>49</v>
      </c>
      <c r="AD52" s="186" t="e">
        <f ca="1">Ануїтетна_графік_Авто!J53</f>
        <v>#VALUE!</v>
      </c>
      <c r="AF52" s="186" t="e">
        <f ca="1">Ануїтетна_графік_Авто!K53</f>
        <v>#VALUE!</v>
      </c>
      <c r="AH52" s="186" t="e">
        <f ca="1">Ануїтетна_графік_Авто!M53</f>
        <v>#VALUE!</v>
      </c>
      <c r="AJ52" s="186">
        <f t="shared" ca="1" si="0"/>
        <v>47695</v>
      </c>
      <c r="AK52" s="186">
        <v>49</v>
      </c>
      <c r="AM52" s="186" t="e">
        <f ca="1">Ануїтетна_графік_Авто!J53</f>
        <v>#VALUE!</v>
      </c>
      <c r="AO52" s="186" t="e">
        <f ca="1">Ануїтетна_графік_Авто!K53</f>
        <v>#VALUE!</v>
      </c>
      <c r="AQ52" s="186" t="e">
        <f ca="1">Ануїтетна_графік_Авто!M53</f>
        <v>#VALUE!</v>
      </c>
      <c r="AS52" s="186" t="e">
        <f t="shared" ca="1" si="1"/>
        <v>#DIV/0!</v>
      </c>
    </row>
    <row r="53" spans="2:45" x14ac:dyDescent="0.3">
      <c r="B53" s="186">
        <v>29</v>
      </c>
      <c r="D53" s="186">
        <v>21700.288247088563</v>
      </c>
      <c r="F53" s="186">
        <v>1950.711752911438</v>
      </c>
      <c r="H53" s="186">
        <v>23651</v>
      </c>
      <c r="Q53" s="186">
        <f>IF(AND($U$23&gt;=40,$U$23&lt;50,$N$8=$S$41),S53,
IF(AND($U$23&gt;=40,$U$23&lt;50,$N$8=$T$41),T53,
IF(AND($U$23&gt;=40,$U$23&lt;50,$N$8=$U$41),U53,
IF(AND($U$23&gt;=40,$U$23&lt;50,$N$8=$V$41),V53,
IF(AND($U$23&gt;=40,$U$23&lt;50,$N$8=$W$41),W53,
IF(AND($U$23&gt;=40,$U$23&lt;50,$N$8=$X$41),X53,
IF(AND($U$23&gt;=40,$U$23&lt;50,$N$8=$Y$41),Y53,0)))))))</f>
        <v>0</v>
      </c>
      <c r="R53" s="186" t="s">
        <v>518</v>
      </c>
      <c r="S53" s="186">
        <v>2.4899999999999998</v>
      </c>
      <c r="T53" s="186">
        <v>2.4899999999999998</v>
      </c>
      <c r="U53" s="186">
        <v>2.4899999999999998</v>
      </c>
      <c r="V53" s="186">
        <v>2.4899999999999998</v>
      </c>
      <c r="W53" s="186">
        <v>2.4899999999999998</v>
      </c>
      <c r="X53" s="186">
        <v>2.4899999999999998</v>
      </c>
      <c r="Y53" s="186">
        <v>2.4899999999999998</v>
      </c>
      <c r="AA53" s="186">
        <f ca="1">Ануїтетна_графік_Авто!G54</f>
        <v>47703</v>
      </c>
      <c r="AB53" s="186">
        <f t="shared" si="2"/>
        <v>50</v>
      </c>
      <c r="AD53" s="186" t="e">
        <f ca="1">Ануїтетна_графік_Авто!J54</f>
        <v>#VALUE!</v>
      </c>
      <c r="AF53" s="186" t="e">
        <f ca="1">Ануїтетна_графік_Авто!K54</f>
        <v>#VALUE!</v>
      </c>
      <c r="AH53" s="186" t="e">
        <f ca="1">Ануїтетна_графік_Авто!M54</f>
        <v>#VALUE!</v>
      </c>
      <c r="AJ53" s="186">
        <f t="shared" ca="1" si="0"/>
        <v>47726</v>
      </c>
      <c r="AK53" s="186">
        <v>50</v>
      </c>
      <c r="AM53" s="186" t="e">
        <f ca="1">Ануїтетна_графік_Авто!J54</f>
        <v>#VALUE!</v>
      </c>
      <c r="AO53" s="186" t="e">
        <f ca="1">Ануїтетна_графік_Авто!K54</f>
        <v>#VALUE!</v>
      </c>
      <c r="AQ53" s="186" t="e">
        <f ca="1">Ануїтетна_графік_Авто!M54</f>
        <v>#VALUE!</v>
      </c>
      <c r="AS53" s="186" t="e">
        <f t="shared" ca="1" si="1"/>
        <v>#DIV/0!</v>
      </c>
    </row>
    <row r="54" spans="2:45" x14ac:dyDescent="0.3">
      <c r="B54" s="186">
        <v>30</v>
      </c>
      <c r="D54" s="186">
        <v>21878.000329608738</v>
      </c>
      <c r="F54" s="186">
        <v>1772.9996703912611</v>
      </c>
      <c r="H54" s="186">
        <v>23651</v>
      </c>
      <c r="Q54" s="186">
        <f>IF(AND($U$23&gt;=50,$U$23&lt;60,$N$8=$S$41),S54,
IF(AND($U$23&gt;=50,$U$23&lt;60,$N$8=$T$41),T54,
IF(AND($U$23&gt;=50,$U$23&lt;60,$N$8=$U$41),U54,
IF(AND($U$23&gt;=50,$U$23&lt;60,$N$8=$V$41),V54,
IF(AND($U$23&gt;=50,$U$23&lt;60,$N$8=$W$41),W54,
IF(AND($U$23&gt;=50,$U$23&lt;60,$N$8=$X$41),X54,
IF(AND($U$23&gt;=50,$U$23&lt;60,$N$8=$Y$41),Y54,0)))))))</f>
        <v>0</v>
      </c>
      <c r="R54" s="186" t="s">
        <v>519</v>
      </c>
      <c r="S54" s="186">
        <v>2.4899999999999998</v>
      </c>
      <c r="T54" s="186">
        <v>2.4899999999999998</v>
      </c>
      <c r="U54" s="186">
        <v>2.4899999999999998</v>
      </c>
      <c r="V54" s="186">
        <v>2.4899999999999998</v>
      </c>
      <c r="W54" s="186">
        <v>2.4899999999999998</v>
      </c>
      <c r="X54" s="186">
        <v>2.4899999999999998</v>
      </c>
      <c r="Y54" s="186">
        <v>2.4899999999999998</v>
      </c>
      <c r="AA54" s="186">
        <f ca="1">Ануїтетна_графік_Авто!G55</f>
        <v>47734</v>
      </c>
      <c r="AB54" s="186">
        <f t="shared" si="2"/>
        <v>51</v>
      </c>
      <c r="AD54" s="186" t="e">
        <f ca="1">Ануїтетна_графік_Авто!J55</f>
        <v>#VALUE!</v>
      </c>
      <c r="AF54" s="186" t="e">
        <f ca="1">Ануїтетна_графік_Авто!K55</f>
        <v>#VALUE!</v>
      </c>
      <c r="AH54" s="186" t="e">
        <f ca="1">Ануїтетна_графік_Авто!M55</f>
        <v>#VALUE!</v>
      </c>
      <c r="AJ54" s="186">
        <f t="shared" ca="1" si="0"/>
        <v>47756</v>
      </c>
      <c r="AK54" s="186">
        <v>51</v>
      </c>
      <c r="AM54" s="186" t="e">
        <f ca="1">Ануїтетна_графік_Авто!J55</f>
        <v>#VALUE!</v>
      </c>
      <c r="AO54" s="186" t="e">
        <f ca="1">Ануїтетна_графік_Авто!K55</f>
        <v>#VALUE!</v>
      </c>
      <c r="AQ54" s="186" t="e">
        <f ca="1">Ануїтетна_графік_Авто!M55</f>
        <v>#VALUE!</v>
      </c>
      <c r="AS54" s="186" t="e">
        <f t="shared" ca="1" si="1"/>
        <v>#DIV/0!</v>
      </c>
    </row>
    <row r="55" spans="2:45" x14ac:dyDescent="0.3">
      <c r="B55" s="186">
        <v>31</v>
      </c>
      <c r="D55" s="186">
        <v>22172.023220931311</v>
      </c>
      <c r="F55" s="186">
        <v>1478.9767790686897</v>
      </c>
      <c r="H55" s="186">
        <v>23651</v>
      </c>
      <c r="Q55" s="186">
        <f>IF(AND($U$23&gt;=60,$U$23&lt;70,$N$8=$S$41),S55,
IF(AND($U$23&gt;=60,$U$23&lt;70,$N$8=$T$41),T55,
IF(AND($U$23&gt;=60,$U$23&lt;70,$N$8=$U$41),U55,
IF(AND($U$23&gt;=60,$U$23&lt;70,$N$8=$V$41),V55,
IF(AND($U$23&gt;=60,$U$23&lt;70,$N$8=$W$41),W55,
IF(AND($U$23&gt;=60,$U$23&lt;70,$N$8=$X$41),X55,
IF(AND($U$23&gt;=60,$U$23&lt;70,$N$8=$Y$41),Y55,0)))))))</f>
        <v>0</v>
      </c>
      <c r="R55" s="186" t="s">
        <v>520</v>
      </c>
      <c r="S55" s="186">
        <v>1.9900000000000002</v>
      </c>
      <c r="T55" s="186">
        <v>2.4899999999999998</v>
      </c>
      <c r="U55" s="186">
        <v>2.4899999999999998</v>
      </c>
      <c r="V55" s="186">
        <v>2.4899999999999998</v>
      </c>
      <c r="W55" s="186">
        <v>2.4899999999999998</v>
      </c>
      <c r="X55" s="186">
        <v>2.4899999999999998</v>
      </c>
      <c r="Y55" s="186">
        <v>2.4899999999999998</v>
      </c>
      <c r="AA55" s="186">
        <f ca="1">Ануїтетна_графік_Авто!G56</f>
        <v>47764</v>
      </c>
      <c r="AB55" s="186">
        <f t="shared" si="2"/>
        <v>52</v>
      </c>
      <c r="AD55" s="186" t="e">
        <f ca="1">Ануїтетна_графік_Авто!J56</f>
        <v>#VALUE!</v>
      </c>
      <c r="AF55" s="186" t="e">
        <f ca="1">Ануїтетна_графік_Авто!K56</f>
        <v>#VALUE!</v>
      </c>
      <c r="AH55" s="186" t="e">
        <f ca="1">Ануїтетна_графік_Авто!M56</f>
        <v>#VALUE!</v>
      </c>
      <c r="AJ55" s="186">
        <f t="shared" ca="1" si="0"/>
        <v>47787</v>
      </c>
      <c r="AK55" s="186">
        <v>52</v>
      </c>
      <c r="AM55" s="186" t="e">
        <f ca="1">Ануїтетна_графік_Авто!J56</f>
        <v>#VALUE!</v>
      </c>
      <c r="AO55" s="186" t="e">
        <f ca="1">Ануїтетна_графік_Авто!K56</f>
        <v>#VALUE!</v>
      </c>
      <c r="AQ55" s="186" t="e">
        <f ca="1">Ануїтетна_графік_Авто!M56</f>
        <v>#VALUE!</v>
      </c>
      <c r="AS55" s="186" t="e">
        <f t="shared" ca="1" si="1"/>
        <v>#DIV/0!</v>
      </c>
    </row>
    <row r="56" spans="2:45" x14ac:dyDescent="0.3">
      <c r="B56" s="186">
        <v>32</v>
      </c>
      <c r="D56" s="186">
        <v>22370.736551374488</v>
      </c>
      <c r="F56" s="186">
        <v>1280.2634486255117</v>
      </c>
      <c r="H56" s="186">
        <v>23651</v>
      </c>
      <c r="Q56" s="186">
        <f>IF(AND($U$23&gt;=70,$N$8=$S$41),S56,
IF(AND($U$23&gt;=70,$N$8=$T$41),T56,
IF(AND($U$23&gt;=70,$N$8=$U$41),U56,
IF(AND($U$23&gt;=70,$N$8=$V$41),V56,
IF(AND($U$23&gt;=70,$N$8=$W$41),W56,
IF(AND($U$23&gt;=70,$N$8=$X$41),X56,
IF(AND($U$23&gt;=70,$N$8=$Y$41),Y56,0)))))))</f>
        <v>0</v>
      </c>
      <c r="R56" s="186" t="s">
        <v>521</v>
      </c>
      <c r="S56" s="186">
        <v>0</v>
      </c>
      <c r="T56" s="186">
        <v>0.9900000000000001</v>
      </c>
      <c r="U56" s="186">
        <v>2.4899999999999998</v>
      </c>
      <c r="V56" s="186">
        <v>2.4899999999999998</v>
      </c>
      <c r="W56" s="186">
        <v>2.4899999999999998</v>
      </c>
      <c r="X56" s="186">
        <v>2.4899999999999998</v>
      </c>
      <c r="Y56" s="186">
        <v>2.4899999999999998</v>
      </c>
      <c r="AA56" s="186">
        <f ca="1">Ануїтетна_графік_Авто!G57</f>
        <v>47795</v>
      </c>
      <c r="AB56" s="186">
        <f t="shared" si="2"/>
        <v>53</v>
      </c>
      <c r="AD56" s="186" t="e">
        <f ca="1">Ануїтетна_графік_Авто!J57</f>
        <v>#VALUE!</v>
      </c>
      <c r="AF56" s="186" t="e">
        <f ca="1">Ануїтетна_графік_Авто!K57</f>
        <v>#VALUE!</v>
      </c>
      <c r="AH56" s="186" t="e">
        <f ca="1">Ануїтетна_графік_Авто!M57</f>
        <v>#VALUE!</v>
      </c>
      <c r="AJ56" s="186">
        <f t="shared" ca="1" si="0"/>
        <v>47817</v>
      </c>
      <c r="AK56" s="186">
        <v>53</v>
      </c>
      <c r="AM56" s="186" t="e">
        <f ca="1">Ануїтетна_графік_Авто!J57</f>
        <v>#VALUE!</v>
      </c>
      <c r="AO56" s="186" t="e">
        <f ca="1">Ануїтетна_графік_Авто!K57</f>
        <v>#VALUE!</v>
      </c>
      <c r="AQ56" s="186" t="e">
        <f ca="1">Ануїтетна_графік_Авто!M57</f>
        <v>#VALUE!</v>
      </c>
      <c r="AS56" s="186" t="e">
        <f t="shared" ca="1" si="1"/>
        <v>#DIV/0!</v>
      </c>
    </row>
    <row r="57" spans="2:45" x14ac:dyDescent="0.3">
      <c r="B57" s="186">
        <v>33</v>
      </c>
      <c r="D57" s="186">
        <v>22620.97188198207</v>
      </c>
      <c r="F57" s="186">
        <v>1030.0281180179286</v>
      </c>
      <c r="H57" s="186">
        <v>23651</v>
      </c>
      <c r="AA57" s="186">
        <f ca="1">Ануїтетна_графік_Авто!G58</f>
        <v>47825</v>
      </c>
      <c r="AB57" s="186">
        <f t="shared" si="2"/>
        <v>54</v>
      </c>
      <c r="AD57" s="186" t="e">
        <f ca="1">Ануїтетна_графік_Авто!J58</f>
        <v>#VALUE!</v>
      </c>
      <c r="AF57" s="186" t="e">
        <f ca="1">Ануїтетна_графік_Авто!K58</f>
        <v>#VALUE!</v>
      </c>
      <c r="AH57" s="186" t="e">
        <f ca="1">Ануїтетна_графік_Авто!M58</f>
        <v>#VALUE!</v>
      </c>
      <c r="AJ57" s="186">
        <f t="shared" ca="1" si="0"/>
        <v>47848</v>
      </c>
      <c r="AK57" s="186">
        <v>54</v>
      </c>
      <c r="AM57" s="186" t="e">
        <f ca="1">Ануїтетна_графік_Авто!J58</f>
        <v>#VALUE!</v>
      </c>
      <c r="AO57" s="186" t="e">
        <f ca="1">Ануїтетна_графік_Авто!K58</f>
        <v>#VALUE!</v>
      </c>
      <c r="AQ57" s="186" t="e">
        <f ca="1">Ануїтетна_графік_Авто!M58</f>
        <v>#VALUE!</v>
      </c>
      <c r="AS57" s="186" t="e">
        <f t="shared" ca="1" si="1"/>
        <v>#DIV/0!</v>
      </c>
    </row>
    <row r="58" spans="2:45" x14ac:dyDescent="0.3">
      <c r="B58" s="186">
        <v>34</v>
      </c>
      <c r="D58" s="186">
        <v>22924.134928886011</v>
      </c>
      <c r="F58" s="186">
        <v>726.8650711139893</v>
      </c>
      <c r="H58" s="186">
        <v>23651</v>
      </c>
      <c r="AA58" s="186">
        <f ca="1">Ануїтетна_графік_Авто!G59</f>
        <v>47856</v>
      </c>
      <c r="AB58" s="186">
        <f t="shared" si="2"/>
        <v>55</v>
      </c>
      <c r="AD58" s="186" t="e">
        <f ca="1">Ануїтетна_графік_Авто!J59</f>
        <v>#VALUE!</v>
      </c>
      <c r="AF58" s="186" t="e">
        <f ca="1">Ануїтетна_графік_Авто!K59</f>
        <v>#VALUE!</v>
      </c>
      <c r="AH58" s="186" t="e">
        <f ca="1">Ануїтетна_графік_Авто!M59</f>
        <v>#VALUE!</v>
      </c>
      <c r="AJ58" s="186">
        <f t="shared" ca="1" si="0"/>
        <v>47879</v>
      </c>
      <c r="AK58" s="186">
        <v>55</v>
      </c>
      <c r="AM58" s="186" t="e">
        <f ca="1">Ануїтетна_графік_Авто!J59</f>
        <v>#VALUE!</v>
      </c>
      <c r="AO58" s="186" t="e">
        <f ca="1">Ануїтетна_графік_Авто!K59</f>
        <v>#VALUE!</v>
      </c>
      <c r="AQ58" s="186" t="e">
        <f ca="1">Ануїтетна_графік_Авто!M59</f>
        <v>#VALUE!</v>
      </c>
      <c r="AS58" s="186" t="e">
        <f t="shared" ca="1" si="1"/>
        <v>#DIV/0!</v>
      </c>
    </row>
    <row r="59" spans="2:45" x14ac:dyDescent="0.3">
      <c r="B59" s="186">
        <v>35</v>
      </c>
      <c r="D59" s="186">
        <v>23130.431855917308</v>
      </c>
      <c r="F59" s="186">
        <v>520.56814408269349</v>
      </c>
      <c r="H59" s="186">
        <v>23651</v>
      </c>
      <c r="AA59" s="186">
        <f ca="1">Ануїтетна_графік_Авто!G60</f>
        <v>47887</v>
      </c>
      <c r="AB59" s="186">
        <f t="shared" si="2"/>
        <v>56</v>
      </c>
      <c r="AD59" s="186" t="e">
        <f ca="1">Ануїтетна_графік_Авто!J60</f>
        <v>#VALUE!</v>
      </c>
      <c r="AF59" s="186" t="e">
        <f ca="1">Ануїтетна_графік_Авто!K60</f>
        <v>#VALUE!</v>
      </c>
      <c r="AH59" s="186" t="e">
        <f ca="1">Ануїтетна_графік_Авто!M60</f>
        <v>#VALUE!</v>
      </c>
      <c r="AJ59" s="186">
        <f t="shared" ca="1" si="0"/>
        <v>47907</v>
      </c>
      <c r="AK59" s="186">
        <v>56</v>
      </c>
      <c r="AM59" s="186" t="e">
        <f ca="1">Ануїтетна_графік_Авто!J60</f>
        <v>#VALUE!</v>
      </c>
      <c r="AO59" s="186" t="e">
        <f ca="1">Ануїтетна_графік_Авто!K60</f>
        <v>#VALUE!</v>
      </c>
      <c r="AQ59" s="186" t="e">
        <f ca="1">Ануїтетна_графік_Авто!M60</f>
        <v>#VALUE!</v>
      </c>
      <c r="AS59" s="186" t="e">
        <f t="shared" ca="1" si="1"/>
        <v>#DIV/0!</v>
      </c>
    </row>
    <row r="60" spans="2:45" x14ac:dyDescent="0.3">
      <c r="B60" s="186">
        <v>36</v>
      </c>
      <c r="D60" s="186">
        <v>23407.731959863977</v>
      </c>
      <c r="F60" s="186">
        <v>244.94240851667661</v>
      </c>
      <c r="H60" s="186">
        <v>23652.674368380653</v>
      </c>
      <c r="S60"/>
      <c r="T60"/>
      <c r="U60"/>
      <c r="V60"/>
      <c r="W60"/>
      <c r="X60"/>
      <c r="Y60"/>
      <c r="AA60" s="186">
        <f ca="1">Ануїтетна_графік_Авто!G61</f>
        <v>47915</v>
      </c>
      <c r="AB60" s="186">
        <f t="shared" si="2"/>
        <v>57</v>
      </c>
      <c r="AD60" s="186" t="e">
        <f ca="1">Ануїтетна_графік_Авто!J61</f>
        <v>#VALUE!</v>
      </c>
      <c r="AF60" s="186" t="e">
        <f ca="1">Ануїтетна_графік_Авто!K61</f>
        <v>#VALUE!</v>
      </c>
      <c r="AH60" s="186" t="e">
        <f ca="1">Ануїтетна_графік_Авто!M61</f>
        <v>#VALUE!</v>
      </c>
      <c r="AJ60" s="186">
        <f t="shared" ca="1" si="0"/>
        <v>47938</v>
      </c>
      <c r="AK60" s="186">
        <v>57</v>
      </c>
      <c r="AM60" s="186" t="e">
        <f ca="1">Ануїтетна_графік_Авто!J61</f>
        <v>#VALUE!</v>
      </c>
      <c r="AO60" s="186" t="e">
        <f ca="1">Ануїтетна_графік_Авто!K61</f>
        <v>#VALUE!</v>
      </c>
      <c r="AQ60" s="186" t="e">
        <f ca="1">Ануїтетна_графік_Авто!M61</f>
        <v>#VALUE!</v>
      </c>
      <c r="AS60" s="186" t="e">
        <f t="shared" ca="1" si="1"/>
        <v>#DIV/0!</v>
      </c>
    </row>
    <row r="61" spans="2:45" x14ac:dyDescent="0.3">
      <c r="B61" s="186" t="s">
        <v>282</v>
      </c>
      <c r="D61" s="186">
        <v>700000</v>
      </c>
      <c r="F61" s="186">
        <v>151437.67000000001</v>
      </c>
      <c r="H61" s="186">
        <v>851437.67</v>
      </c>
      <c r="S61"/>
      <c r="T61"/>
      <c r="U61"/>
      <c r="V61"/>
      <c r="W61"/>
      <c r="X61"/>
      <c r="Y61"/>
      <c r="AA61" s="186">
        <f ca="1">Ануїтетна_графік_Авто!G62</f>
        <v>47946</v>
      </c>
      <c r="AB61" s="186">
        <f t="shared" si="2"/>
        <v>58</v>
      </c>
      <c r="AD61" s="186" t="e">
        <f ca="1">Ануїтетна_графік_Авто!J62</f>
        <v>#VALUE!</v>
      </c>
      <c r="AF61" s="186" t="e">
        <f ca="1">Ануїтетна_графік_Авто!K62</f>
        <v>#VALUE!</v>
      </c>
      <c r="AH61" s="186" t="e">
        <f ca="1">Ануїтетна_графік_Авто!M62</f>
        <v>#VALUE!</v>
      </c>
      <c r="AJ61" s="186">
        <f t="shared" ca="1" si="0"/>
        <v>47968</v>
      </c>
      <c r="AK61" s="186">
        <v>58</v>
      </c>
      <c r="AM61" s="186" t="e">
        <f ca="1">Ануїтетна_графік_Авто!J62</f>
        <v>#VALUE!</v>
      </c>
      <c r="AO61" s="186" t="e">
        <f ca="1">Ануїтетна_графік_Авто!K62</f>
        <v>#VALUE!</v>
      </c>
      <c r="AQ61" s="186" t="e">
        <f ca="1">Ануїтетна_графік_Авто!M62</f>
        <v>#VALUE!</v>
      </c>
      <c r="AS61" s="186" t="e">
        <f t="shared" ca="1" si="1"/>
        <v>#DIV/0!</v>
      </c>
    </row>
    <row r="62" spans="2:45" x14ac:dyDescent="0.3">
      <c r="S62"/>
      <c r="T62"/>
      <c r="U62"/>
      <c r="V62"/>
      <c r="W62"/>
      <c r="X62"/>
      <c r="Y62"/>
      <c r="AA62" s="186">
        <f ca="1">Ануїтетна_графік_Авто!G63</f>
        <v>47976</v>
      </c>
      <c r="AB62" s="186">
        <f t="shared" si="2"/>
        <v>59</v>
      </c>
      <c r="AD62" s="186" t="e">
        <f ca="1">Ануїтетна_графік_Авто!J63</f>
        <v>#VALUE!</v>
      </c>
      <c r="AF62" s="186" t="e">
        <f ca="1">Ануїтетна_графік_Авто!K63</f>
        <v>#VALUE!</v>
      </c>
      <c r="AH62" s="186" t="e">
        <f ca="1">Ануїтетна_графік_Авто!M63</f>
        <v>#VALUE!</v>
      </c>
      <c r="AJ62" s="186">
        <f t="shared" ca="1" si="0"/>
        <v>47999</v>
      </c>
      <c r="AK62" s="186">
        <v>59</v>
      </c>
      <c r="AM62" s="186" t="e">
        <f ca="1">Ануїтетна_графік_Авто!J63</f>
        <v>#VALUE!</v>
      </c>
      <c r="AO62" s="186" t="e">
        <f ca="1">Ануїтетна_графік_Авто!K63</f>
        <v>#VALUE!</v>
      </c>
      <c r="AQ62" s="186" t="e">
        <f ca="1">Ануїтетна_графік_Авто!M63</f>
        <v>#VALUE!</v>
      </c>
      <c r="AS62" s="186" t="e">
        <f t="shared" ca="1" si="1"/>
        <v>#DIV/0!</v>
      </c>
    </row>
    <row r="63" spans="2:45" x14ac:dyDescent="0.3">
      <c r="S63"/>
      <c r="T63"/>
      <c r="U63"/>
      <c r="V63"/>
      <c r="W63"/>
      <c r="X63"/>
      <c r="Y63"/>
      <c r="AA63" s="186">
        <f ca="1">Ануїтетна_графік_Авто!G64</f>
        <v>48007</v>
      </c>
      <c r="AB63" s="186">
        <f t="shared" si="2"/>
        <v>60</v>
      </c>
      <c r="AD63" s="186" t="e">
        <f ca="1">Ануїтетна_графік_Авто!J64</f>
        <v>#VALUE!</v>
      </c>
      <c r="AF63" s="186" t="e">
        <f ca="1">Ануїтетна_графік_Авто!K64</f>
        <v>#VALUE!</v>
      </c>
      <c r="AH63" s="186" t="e">
        <f ca="1">Ануїтетна_графік_Авто!M64</f>
        <v>#VALUE!</v>
      </c>
      <c r="AJ63" s="186">
        <f t="shared" ca="1" si="0"/>
        <v>48029</v>
      </c>
      <c r="AK63" s="186">
        <v>60</v>
      </c>
      <c r="AM63" s="186" t="e">
        <f ca="1">Ануїтетна_графік_Авто!J64</f>
        <v>#VALUE!</v>
      </c>
      <c r="AO63" s="186" t="e">
        <f ca="1">Ануїтетна_графік_Авто!K64</f>
        <v>#VALUE!</v>
      </c>
      <c r="AQ63" s="186" t="e">
        <f ca="1">Ануїтетна_графік_Авто!M64</f>
        <v>#VALUE!</v>
      </c>
      <c r="AS63" s="186" t="e">
        <f t="shared" ca="1" si="1"/>
        <v>#DIV/0!</v>
      </c>
    </row>
    <row r="64" spans="2:45" x14ac:dyDescent="0.3">
      <c r="S64"/>
      <c r="T64"/>
      <c r="U64"/>
      <c r="V64"/>
      <c r="W64"/>
      <c r="X64"/>
      <c r="Y64"/>
      <c r="AA64" s="186">
        <f ca="1">Ануїтетна_графік_Авто!G65</f>
        <v>48037</v>
      </c>
      <c r="AB64" s="186">
        <f t="shared" si="2"/>
        <v>61</v>
      </c>
      <c r="AD64" s="186" t="e">
        <f ca="1">Ануїтетна_графік_Авто!J65</f>
        <v>#VALUE!</v>
      </c>
      <c r="AF64" s="186" t="e">
        <f ca="1">Ануїтетна_графік_Авто!K65</f>
        <v>#VALUE!</v>
      </c>
      <c r="AH64" s="186" t="e">
        <f ca="1">Ануїтетна_графік_Авто!M65</f>
        <v>#VALUE!</v>
      </c>
      <c r="AJ64" s="186">
        <f t="shared" ca="1" si="0"/>
        <v>48060</v>
      </c>
      <c r="AK64" s="186">
        <v>61</v>
      </c>
      <c r="AM64" s="186" t="e">
        <f ca="1">Ануїтетна_графік_Авто!J65</f>
        <v>#VALUE!</v>
      </c>
      <c r="AO64" s="186" t="e">
        <f ca="1">Ануїтетна_графік_Авто!K65</f>
        <v>#VALUE!</v>
      </c>
      <c r="AQ64" s="186" t="e">
        <f ca="1">Ануїтетна_графік_Авто!M65</f>
        <v>#VALUE!</v>
      </c>
      <c r="AS64" s="186" t="e">
        <f t="shared" ca="1" si="1"/>
        <v>#DIV/0!</v>
      </c>
    </row>
    <row r="65" spans="19:45" x14ac:dyDescent="0.3">
      <c r="S65"/>
      <c r="T65"/>
      <c r="U65"/>
      <c r="V65"/>
      <c r="W65"/>
      <c r="X65"/>
      <c r="Y65"/>
      <c r="AA65" s="186">
        <f ca="1">Ануїтетна_графік_Авто!G66</f>
        <v>48068</v>
      </c>
      <c r="AB65" s="186">
        <f t="shared" si="2"/>
        <v>62</v>
      </c>
      <c r="AD65" s="186" t="e">
        <f ca="1">Ануїтетна_графік_Авто!J66</f>
        <v>#VALUE!</v>
      </c>
      <c r="AF65" s="186" t="e">
        <f ca="1">Ануїтетна_графік_Авто!K66</f>
        <v>#VALUE!</v>
      </c>
      <c r="AH65" s="186" t="e">
        <f ca="1">Ануїтетна_графік_Авто!M66</f>
        <v>#VALUE!</v>
      </c>
      <c r="AJ65" s="186">
        <f t="shared" ca="1" si="0"/>
        <v>48091</v>
      </c>
      <c r="AK65" s="186">
        <v>62</v>
      </c>
      <c r="AM65" s="186" t="e">
        <f ca="1">Ануїтетна_графік_Авто!J66</f>
        <v>#VALUE!</v>
      </c>
      <c r="AO65" s="186" t="e">
        <f ca="1">Ануїтетна_графік_Авто!K66</f>
        <v>#VALUE!</v>
      </c>
      <c r="AQ65" s="186" t="e">
        <f ca="1">Ануїтетна_графік_Авто!M66</f>
        <v>#VALUE!</v>
      </c>
      <c r="AS65" s="186" t="e">
        <f t="shared" ca="1" si="1"/>
        <v>#DIV/0!</v>
      </c>
    </row>
    <row r="66" spans="19:45" x14ac:dyDescent="0.3">
      <c r="S66"/>
      <c r="T66"/>
      <c r="U66"/>
      <c r="V66"/>
      <c r="W66"/>
      <c r="X66"/>
      <c r="Y66"/>
      <c r="AA66" s="186">
        <f ca="1">Ануїтетна_графік_Авто!G67</f>
        <v>48099</v>
      </c>
      <c r="AB66" s="186">
        <f t="shared" si="2"/>
        <v>63</v>
      </c>
      <c r="AD66" s="186" t="e">
        <f ca="1">Ануїтетна_графік_Авто!J67</f>
        <v>#VALUE!</v>
      </c>
      <c r="AF66" s="186" t="e">
        <f ca="1">Ануїтетна_графік_Авто!K67</f>
        <v>#VALUE!</v>
      </c>
      <c r="AH66" s="186" t="e">
        <f ca="1">Ануїтетна_графік_Авто!M67</f>
        <v>#VALUE!</v>
      </c>
      <c r="AJ66" s="186">
        <f t="shared" ca="1" si="0"/>
        <v>48121</v>
      </c>
      <c r="AK66" s="186">
        <v>63</v>
      </c>
      <c r="AM66" s="186" t="e">
        <f ca="1">Ануїтетна_графік_Авто!J67</f>
        <v>#VALUE!</v>
      </c>
      <c r="AO66" s="186" t="e">
        <f ca="1">Ануїтетна_графік_Авто!K67</f>
        <v>#VALUE!</v>
      </c>
      <c r="AQ66" s="186" t="e">
        <f ca="1">Ануїтетна_графік_Авто!M67</f>
        <v>#VALUE!</v>
      </c>
      <c r="AS66" s="186" t="e">
        <f t="shared" ca="1" si="1"/>
        <v>#DIV/0!</v>
      </c>
    </row>
    <row r="67" spans="19:45" x14ac:dyDescent="0.3">
      <c r="S67"/>
      <c r="T67"/>
      <c r="U67"/>
      <c r="V67"/>
      <c r="W67"/>
      <c r="X67"/>
      <c r="Y67"/>
      <c r="AA67" s="186">
        <f ca="1">Ануїтетна_графік_Авто!G68</f>
        <v>48129</v>
      </c>
      <c r="AB67" s="186">
        <f t="shared" si="2"/>
        <v>64</v>
      </c>
      <c r="AD67" s="186" t="e">
        <f ca="1">Ануїтетна_графік_Авто!J68</f>
        <v>#VALUE!</v>
      </c>
      <c r="AF67" s="186" t="e">
        <f ca="1">Ануїтетна_графік_Авто!K68</f>
        <v>#VALUE!</v>
      </c>
      <c r="AH67" s="186" t="e">
        <f ca="1">Ануїтетна_графік_Авто!M68</f>
        <v>#VALUE!</v>
      </c>
      <c r="AJ67" s="186">
        <f t="shared" ca="1" si="0"/>
        <v>48152</v>
      </c>
      <c r="AK67" s="186">
        <v>64</v>
      </c>
      <c r="AM67" s="186" t="e">
        <f ca="1">Ануїтетна_графік_Авто!J68</f>
        <v>#VALUE!</v>
      </c>
      <c r="AO67" s="186" t="e">
        <f ca="1">Ануїтетна_графік_Авто!K68</f>
        <v>#VALUE!</v>
      </c>
      <c r="AQ67" s="186" t="e">
        <f ca="1">Ануїтетна_графік_Авто!M68</f>
        <v>#VALUE!</v>
      </c>
      <c r="AS67" s="186" t="e">
        <f t="shared" ca="1" si="1"/>
        <v>#DIV/0!</v>
      </c>
    </row>
    <row r="68" spans="19:45" x14ac:dyDescent="0.3">
      <c r="S68"/>
      <c r="T68"/>
      <c r="U68"/>
      <c r="V68"/>
      <c r="W68"/>
      <c r="X68"/>
      <c r="Y68"/>
      <c r="AA68" s="186">
        <f ca="1">Ануїтетна_графік_Авто!G69</f>
        <v>48160</v>
      </c>
      <c r="AB68" s="186">
        <f t="shared" si="2"/>
        <v>65</v>
      </c>
      <c r="AD68" s="186" t="e">
        <f ca="1">Ануїтетна_графік_Авто!J69</f>
        <v>#VALUE!</v>
      </c>
      <c r="AF68" s="186" t="e">
        <f ca="1">Ануїтетна_графік_Авто!K69</f>
        <v>#VALUE!</v>
      </c>
      <c r="AH68" s="186" t="e">
        <f ca="1">Ануїтетна_графік_Авто!M69</f>
        <v>#VALUE!</v>
      </c>
      <c r="AJ68" s="186">
        <f t="shared" ca="1" si="0"/>
        <v>48182</v>
      </c>
      <c r="AK68" s="186">
        <v>65</v>
      </c>
      <c r="AM68" s="186" t="e">
        <f ca="1">Ануїтетна_графік_Авто!J69</f>
        <v>#VALUE!</v>
      </c>
      <c r="AO68" s="186" t="e">
        <f ca="1">Ануїтетна_графік_Авто!K69</f>
        <v>#VALUE!</v>
      </c>
      <c r="AQ68" s="186" t="e">
        <f ca="1">Ануїтетна_графік_Авто!M69</f>
        <v>#VALUE!</v>
      </c>
      <c r="AS68" s="186" t="e">
        <f t="shared" ca="1" si="1"/>
        <v>#DIV/0!</v>
      </c>
    </row>
    <row r="69" spans="19:45" x14ac:dyDescent="0.3">
      <c r="S69"/>
      <c r="T69"/>
      <c r="U69"/>
      <c r="V69"/>
      <c r="W69"/>
      <c r="X69"/>
      <c r="Y69"/>
      <c r="AA69" s="186">
        <f ca="1">Ануїтетна_графік_Авто!G70</f>
        <v>48190</v>
      </c>
      <c r="AB69" s="186">
        <f t="shared" si="2"/>
        <v>66</v>
      </c>
      <c r="AD69" s="186" t="e">
        <f ca="1">Ануїтетна_графік_Авто!J70</f>
        <v>#VALUE!</v>
      </c>
      <c r="AF69" s="186" t="e">
        <f ca="1">Ануїтетна_графік_Авто!K70</f>
        <v>#VALUE!</v>
      </c>
      <c r="AH69" s="186" t="e">
        <f ca="1">Ануїтетна_графік_Авто!M70</f>
        <v>#VALUE!</v>
      </c>
      <c r="AJ69" s="186">
        <f t="shared" ref="AJ69:AJ89" ca="1" si="3">IF(AK69="","",DATE(YEAR(AJ68),MONTH(AJ68)+2,DAY(1)-1))</f>
        <v>48213</v>
      </c>
      <c r="AK69" s="186">
        <v>66</v>
      </c>
      <c r="AM69" s="186" t="e">
        <f ca="1">Ануїтетна_графік_Авто!J70</f>
        <v>#VALUE!</v>
      </c>
      <c r="AO69" s="186" t="e">
        <f ca="1">Ануїтетна_графік_Авто!K70</f>
        <v>#VALUE!</v>
      </c>
      <c r="AQ69" s="186" t="e">
        <f ca="1">Ануїтетна_графік_Авто!M70</f>
        <v>#VALUE!</v>
      </c>
      <c r="AS69" s="186" t="e">
        <f t="shared" ca="1" si="1"/>
        <v>#DIV/0!</v>
      </c>
    </row>
    <row r="70" spans="19:45" x14ac:dyDescent="0.3">
      <c r="S70"/>
      <c r="T70"/>
      <c r="U70"/>
      <c r="V70"/>
      <c r="W70"/>
      <c r="X70"/>
      <c r="Y70"/>
      <c r="AA70" s="186">
        <f ca="1">Ануїтетна_графік_Авто!G71</f>
        <v>48221</v>
      </c>
      <c r="AB70" s="186">
        <f t="shared" si="2"/>
        <v>67</v>
      </c>
      <c r="AD70" s="186" t="e">
        <f ca="1">Ануїтетна_графік_Авто!J71</f>
        <v>#VALUE!</v>
      </c>
      <c r="AF70" s="186" t="e">
        <f ca="1">Ануїтетна_графік_Авто!K71</f>
        <v>#VALUE!</v>
      </c>
      <c r="AH70" s="186" t="e">
        <f ca="1">Ануїтетна_графік_Авто!M71</f>
        <v>#VALUE!</v>
      </c>
      <c r="AJ70" s="186">
        <f t="shared" ca="1" si="3"/>
        <v>48244</v>
      </c>
      <c r="AK70" s="186">
        <v>67</v>
      </c>
      <c r="AM70" s="186" t="e">
        <f ca="1">Ануїтетна_графік_Авто!J71</f>
        <v>#VALUE!</v>
      </c>
      <c r="AO70" s="186" t="e">
        <f ca="1">Ануїтетна_графік_Авто!K71</f>
        <v>#VALUE!</v>
      </c>
      <c r="AQ70" s="186" t="e">
        <f ca="1">Ануїтетна_графік_Авто!M71</f>
        <v>#VALUE!</v>
      </c>
      <c r="AS70" s="186" t="e">
        <f t="shared" ref="AS70:AS89" ca="1" si="4">AS69-AM69</f>
        <v>#DIV/0!</v>
      </c>
    </row>
    <row r="71" spans="19:45" x14ac:dyDescent="0.3">
      <c r="S71"/>
      <c r="T71"/>
      <c r="U71"/>
      <c r="V71"/>
      <c r="W71"/>
      <c r="X71"/>
      <c r="Y71"/>
      <c r="AA71" s="186">
        <f ca="1">Ануїтетна_графік_Авто!G72</f>
        <v>48252</v>
      </c>
      <c r="AB71" s="186">
        <f t="shared" si="2"/>
        <v>68</v>
      </c>
      <c r="AD71" s="186" t="e">
        <f ca="1">Ануїтетна_графік_Авто!J72</f>
        <v>#VALUE!</v>
      </c>
      <c r="AF71" s="186" t="e">
        <f ca="1">Ануїтетна_графік_Авто!K72</f>
        <v>#VALUE!</v>
      </c>
      <c r="AH71" s="186" t="e">
        <f ca="1">Ануїтетна_графік_Авто!M72</f>
        <v>#VALUE!</v>
      </c>
      <c r="AJ71" s="186">
        <f t="shared" ca="1" si="3"/>
        <v>48273</v>
      </c>
      <c r="AK71" s="186">
        <v>68</v>
      </c>
      <c r="AM71" s="186" t="e">
        <f ca="1">Ануїтетна_графік_Авто!J72</f>
        <v>#VALUE!</v>
      </c>
      <c r="AO71" s="186" t="e">
        <f ca="1">Ануїтетна_графік_Авто!K72</f>
        <v>#VALUE!</v>
      </c>
      <c r="AQ71" s="186" t="e">
        <f ca="1">Ануїтетна_графік_Авто!M72</f>
        <v>#VALUE!</v>
      </c>
      <c r="AS71" s="186" t="e">
        <f t="shared" ca="1" si="4"/>
        <v>#DIV/0!</v>
      </c>
    </row>
    <row r="72" spans="19:45" x14ac:dyDescent="0.3">
      <c r="S72"/>
      <c r="T72"/>
      <c r="U72"/>
      <c r="V72"/>
      <c r="W72"/>
      <c r="X72"/>
      <c r="Y72"/>
      <c r="AA72" s="186">
        <f ca="1">Ануїтетна_графік_Авто!G73</f>
        <v>48281</v>
      </c>
      <c r="AB72" s="186">
        <f t="shared" si="2"/>
        <v>69</v>
      </c>
      <c r="AD72" s="186" t="e">
        <f ca="1">Ануїтетна_графік_Авто!J73</f>
        <v>#VALUE!</v>
      </c>
      <c r="AF72" s="186" t="e">
        <f ca="1">Ануїтетна_графік_Авто!K73</f>
        <v>#VALUE!</v>
      </c>
      <c r="AH72" s="186" t="e">
        <f ca="1">Ануїтетна_графік_Авто!M73</f>
        <v>#VALUE!</v>
      </c>
      <c r="AJ72" s="186">
        <f t="shared" ca="1" si="3"/>
        <v>48304</v>
      </c>
      <c r="AK72" s="186">
        <v>69</v>
      </c>
      <c r="AM72" s="186" t="e">
        <f ca="1">Ануїтетна_графік_Авто!J73</f>
        <v>#VALUE!</v>
      </c>
      <c r="AO72" s="186" t="e">
        <f ca="1">Ануїтетна_графік_Авто!K73</f>
        <v>#VALUE!</v>
      </c>
      <c r="AQ72" s="186" t="e">
        <f ca="1">Ануїтетна_графік_Авто!M73</f>
        <v>#VALUE!</v>
      </c>
      <c r="AS72" s="186" t="e">
        <f t="shared" ca="1" si="4"/>
        <v>#DIV/0!</v>
      </c>
    </row>
    <row r="73" spans="19:45" x14ac:dyDescent="0.3">
      <c r="S73"/>
      <c r="T73"/>
      <c r="U73"/>
      <c r="V73"/>
      <c r="W73"/>
      <c r="X73"/>
      <c r="Y73"/>
      <c r="AA73" s="186">
        <f ca="1">Ануїтетна_графік_Авто!G74</f>
        <v>48312</v>
      </c>
      <c r="AB73" s="186">
        <f t="shared" si="2"/>
        <v>70</v>
      </c>
      <c r="AD73" s="186" t="e">
        <f ca="1">Ануїтетна_графік_Авто!J74</f>
        <v>#VALUE!</v>
      </c>
      <c r="AF73" s="186" t="e">
        <f ca="1">Ануїтетна_графік_Авто!K74</f>
        <v>#VALUE!</v>
      </c>
      <c r="AH73" s="186" t="e">
        <f ca="1">Ануїтетна_графік_Авто!M74</f>
        <v>#VALUE!</v>
      </c>
      <c r="AJ73" s="186">
        <f t="shared" ca="1" si="3"/>
        <v>48334</v>
      </c>
      <c r="AK73" s="186">
        <v>70</v>
      </c>
      <c r="AM73" s="186" t="e">
        <f ca="1">Ануїтетна_графік_Авто!J74</f>
        <v>#VALUE!</v>
      </c>
      <c r="AO73" s="186" t="e">
        <f ca="1">Ануїтетна_графік_Авто!K74</f>
        <v>#VALUE!</v>
      </c>
      <c r="AQ73" s="186" t="e">
        <f ca="1">Ануїтетна_графік_Авто!M74</f>
        <v>#VALUE!</v>
      </c>
      <c r="AS73" s="186" t="e">
        <f t="shared" ca="1" si="4"/>
        <v>#DIV/0!</v>
      </c>
    </row>
    <row r="74" spans="19:45" x14ac:dyDescent="0.3">
      <c r="S74"/>
      <c r="T74"/>
      <c r="U74"/>
      <c r="V74"/>
      <c r="W74"/>
      <c r="X74"/>
      <c r="Y74"/>
      <c r="AA74" s="186">
        <f ca="1">Ануїтетна_графік_Авто!G75</f>
        <v>48342</v>
      </c>
      <c r="AB74" s="186">
        <f t="shared" si="2"/>
        <v>71</v>
      </c>
      <c r="AD74" s="186" t="e">
        <f ca="1">Ануїтетна_графік_Авто!J75</f>
        <v>#VALUE!</v>
      </c>
      <c r="AF74" s="186" t="e">
        <f ca="1">Ануїтетна_графік_Авто!K75</f>
        <v>#VALUE!</v>
      </c>
      <c r="AH74" s="186" t="e">
        <f ca="1">Ануїтетна_графік_Авто!M75</f>
        <v>#VALUE!</v>
      </c>
      <c r="AJ74" s="186">
        <f t="shared" ca="1" si="3"/>
        <v>48365</v>
      </c>
      <c r="AK74" s="186">
        <v>71</v>
      </c>
      <c r="AM74" s="186" t="e">
        <f ca="1">Ануїтетна_графік_Авто!J75</f>
        <v>#VALUE!</v>
      </c>
      <c r="AO74" s="186" t="e">
        <f ca="1">Ануїтетна_графік_Авто!K75</f>
        <v>#VALUE!</v>
      </c>
      <c r="AQ74" s="186" t="e">
        <f ca="1">Ануїтетна_графік_Авто!M75</f>
        <v>#VALUE!</v>
      </c>
      <c r="AS74" s="186" t="e">
        <f t="shared" ca="1" si="4"/>
        <v>#DIV/0!</v>
      </c>
    </row>
    <row r="75" spans="19:45" x14ac:dyDescent="0.3">
      <c r="S75"/>
      <c r="T75"/>
      <c r="U75"/>
      <c r="V75"/>
      <c r="W75"/>
      <c r="X75"/>
      <c r="Y75"/>
      <c r="AA75" s="186">
        <f ca="1">Ануїтетна_графік_Авто!G76</f>
        <v>48373</v>
      </c>
      <c r="AB75" s="186">
        <f t="shared" si="2"/>
        <v>72</v>
      </c>
      <c r="AD75" s="186" t="e">
        <f ca="1">Ануїтетна_графік_Авто!J76</f>
        <v>#VALUE!</v>
      </c>
      <c r="AF75" s="186" t="e">
        <f ca="1">Ануїтетна_графік_Авто!K76</f>
        <v>#VALUE!</v>
      </c>
      <c r="AH75" s="186" t="e">
        <f ca="1">Ануїтетна_графік_Авто!M76</f>
        <v>#VALUE!</v>
      </c>
      <c r="AJ75" s="186">
        <f t="shared" ca="1" si="3"/>
        <v>48395</v>
      </c>
      <c r="AK75" s="186">
        <v>72</v>
      </c>
      <c r="AM75" s="186" t="e">
        <f ca="1">Ануїтетна_графік_Авто!J76</f>
        <v>#VALUE!</v>
      </c>
      <c r="AO75" s="186" t="e">
        <f ca="1">Ануїтетна_графік_Авто!K76</f>
        <v>#VALUE!</v>
      </c>
      <c r="AQ75" s="186" t="e">
        <f ca="1">Ануїтетна_графік_Авто!M76</f>
        <v>#VALUE!</v>
      </c>
      <c r="AS75" s="186" t="e">
        <f t="shared" ca="1" si="4"/>
        <v>#DIV/0!</v>
      </c>
    </row>
    <row r="76" spans="19:45" x14ac:dyDescent="0.3">
      <c r="S76"/>
      <c r="T76"/>
      <c r="U76"/>
      <c r="V76"/>
      <c r="W76"/>
      <c r="X76"/>
      <c r="Y76"/>
      <c r="AA76" s="186">
        <f ca="1">Ануїтетна_графік_Авто!G77</f>
        <v>48403</v>
      </c>
      <c r="AB76" s="186">
        <f t="shared" si="2"/>
        <v>73</v>
      </c>
      <c r="AD76" s="186" t="e">
        <f ca="1">Ануїтетна_графік_Авто!J77</f>
        <v>#VALUE!</v>
      </c>
      <c r="AF76" s="186" t="e">
        <f ca="1">Ануїтетна_графік_Авто!K77</f>
        <v>#VALUE!</v>
      </c>
      <c r="AH76" s="186" t="e">
        <f ca="1">Ануїтетна_графік_Авто!M77</f>
        <v>#VALUE!</v>
      </c>
      <c r="AJ76" s="186">
        <f t="shared" ca="1" si="3"/>
        <v>48426</v>
      </c>
      <c r="AK76" s="186">
        <v>73</v>
      </c>
      <c r="AM76" s="186" t="e">
        <f ca="1">Ануїтетна_графік_Авто!J77</f>
        <v>#VALUE!</v>
      </c>
      <c r="AO76" s="186" t="e">
        <f ca="1">Ануїтетна_графік_Авто!K77</f>
        <v>#VALUE!</v>
      </c>
      <c r="AQ76" s="186" t="e">
        <f ca="1">Ануїтетна_графік_Авто!M77</f>
        <v>#VALUE!</v>
      </c>
      <c r="AS76" s="186" t="e">
        <f t="shared" ca="1" si="4"/>
        <v>#DIV/0!</v>
      </c>
    </row>
    <row r="77" spans="19:45" x14ac:dyDescent="0.3">
      <c r="S77"/>
      <c r="T77"/>
      <c r="U77"/>
      <c r="V77"/>
      <c r="W77"/>
      <c r="X77"/>
      <c r="Y77"/>
      <c r="AA77" s="186">
        <f ca="1">Ануїтетна_графік_Авто!G78</f>
        <v>48434</v>
      </c>
      <c r="AB77" s="186">
        <f t="shared" si="2"/>
        <v>74</v>
      </c>
      <c r="AD77" s="186" t="e">
        <f ca="1">Ануїтетна_графік_Авто!J78</f>
        <v>#VALUE!</v>
      </c>
      <c r="AF77" s="186" t="e">
        <f ca="1">Ануїтетна_графік_Авто!K78</f>
        <v>#VALUE!</v>
      </c>
      <c r="AH77" s="186" t="e">
        <f ca="1">Ануїтетна_графік_Авто!M78</f>
        <v>#VALUE!</v>
      </c>
      <c r="AJ77" s="186">
        <f t="shared" ca="1" si="3"/>
        <v>48457</v>
      </c>
      <c r="AK77" s="186">
        <v>74</v>
      </c>
      <c r="AM77" s="186" t="e">
        <f ca="1">Ануїтетна_графік_Авто!J78</f>
        <v>#VALUE!</v>
      </c>
      <c r="AO77" s="186" t="e">
        <f ca="1">Ануїтетна_графік_Авто!K78</f>
        <v>#VALUE!</v>
      </c>
      <c r="AQ77" s="186" t="e">
        <f ca="1">Ануїтетна_графік_Авто!M78</f>
        <v>#VALUE!</v>
      </c>
      <c r="AS77" s="186" t="e">
        <f t="shared" ca="1" si="4"/>
        <v>#DIV/0!</v>
      </c>
    </row>
    <row r="78" spans="19:45" x14ac:dyDescent="0.3">
      <c r="S78"/>
      <c r="T78"/>
      <c r="U78"/>
      <c r="V78"/>
      <c r="W78"/>
      <c r="X78"/>
      <c r="Y78"/>
      <c r="AA78" s="186">
        <f ca="1">Ануїтетна_графік_Авто!G79</f>
        <v>48465</v>
      </c>
      <c r="AB78" s="186">
        <f t="shared" si="2"/>
        <v>75</v>
      </c>
      <c r="AD78" s="186" t="e">
        <f ca="1">Ануїтетна_графік_Авто!J79</f>
        <v>#VALUE!</v>
      </c>
      <c r="AF78" s="186" t="e">
        <f ca="1">Ануїтетна_графік_Авто!K79</f>
        <v>#VALUE!</v>
      </c>
      <c r="AH78" s="186" t="e">
        <f ca="1">Ануїтетна_графік_Авто!M79</f>
        <v>#VALUE!</v>
      </c>
      <c r="AJ78" s="186">
        <f t="shared" ca="1" si="3"/>
        <v>48487</v>
      </c>
      <c r="AK78" s="186">
        <v>75</v>
      </c>
      <c r="AM78" s="186" t="e">
        <f ca="1">Ануїтетна_графік_Авто!J79</f>
        <v>#VALUE!</v>
      </c>
      <c r="AO78" s="186" t="e">
        <f ca="1">Ануїтетна_графік_Авто!K79</f>
        <v>#VALUE!</v>
      </c>
      <c r="AQ78" s="186" t="e">
        <f ca="1">Ануїтетна_графік_Авто!M79</f>
        <v>#VALUE!</v>
      </c>
      <c r="AS78" s="186" t="e">
        <f t="shared" ca="1" si="4"/>
        <v>#DIV/0!</v>
      </c>
    </row>
    <row r="79" spans="19:45" x14ac:dyDescent="0.3">
      <c r="S79"/>
      <c r="T79"/>
      <c r="U79"/>
      <c r="V79"/>
      <c r="W79"/>
      <c r="X79"/>
      <c r="Y79"/>
      <c r="AA79" s="186">
        <f ca="1">Ануїтетна_графік_Авто!G80</f>
        <v>48495</v>
      </c>
      <c r="AB79" s="186">
        <f>AB78+1</f>
        <v>76</v>
      </c>
      <c r="AD79" s="186" t="e">
        <f ca="1">Ануїтетна_графік_Авто!J80</f>
        <v>#VALUE!</v>
      </c>
      <c r="AF79" s="186" t="e">
        <f ca="1">Ануїтетна_графік_Авто!K80</f>
        <v>#VALUE!</v>
      </c>
      <c r="AH79" s="186" t="e">
        <f ca="1">Ануїтетна_графік_Авто!M80</f>
        <v>#VALUE!</v>
      </c>
      <c r="AJ79" s="186">
        <f t="shared" ca="1" si="3"/>
        <v>48518</v>
      </c>
      <c r="AK79" s="186">
        <v>76</v>
      </c>
      <c r="AM79" s="186" t="e">
        <f ca="1">Ануїтетна_графік_Авто!J80</f>
        <v>#VALUE!</v>
      </c>
      <c r="AO79" s="186" t="e">
        <f ca="1">Ануїтетна_графік_Авто!K80</f>
        <v>#VALUE!</v>
      </c>
      <c r="AQ79" s="186" t="e">
        <f ca="1">Ануїтетна_графік_Авто!M80</f>
        <v>#VALUE!</v>
      </c>
      <c r="AS79" s="186" t="e">
        <f t="shared" ca="1" si="4"/>
        <v>#DIV/0!</v>
      </c>
    </row>
    <row r="80" spans="19:45" x14ac:dyDescent="0.3">
      <c r="S80"/>
      <c r="T80"/>
      <c r="U80"/>
      <c r="V80"/>
      <c r="W80"/>
      <c r="X80"/>
      <c r="Y80"/>
      <c r="AA80" s="186">
        <f ca="1">Ануїтетна_графік_Авто!G81</f>
        <v>48526</v>
      </c>
      <c r="AB80" s="186">
        <f t="shared" ref="AB80:AB88" si="5">AB79+1</f>
        <v>77</v>
      </c>
      <c r="AD80" s="186" t="e">
        <f ca="1">Ануїтетна_графік_Авто!J81</f>
        <v>#VALUE!</v>
      </c>
      <c r="AF80" s="186" t="e">
        <f ca="1">Ануїтетна_графік_Авто!K81</f>
        <v>#VALUE!</v>
      </c>
      <c r="AH80" s="186" t="e">
        <f ca="1">Ануїтетна_графік_Авто!M81</f>
        <v>#VALUE!</v>
      </c>
      <c r="AJ80" s="186">
        <f t="shared" ca="1" si="3"/>
        <v>48548</v>
      </c>
      <c r="AK80" s="186">
        <v>77</v>
      </c>
      <c r="AM80" s="186" t="e">
        <f ca="1">Ануїтетна_графік_Авто!J81</f>
        <v>#VALUE!</v>
      </c>
      <c r="AO80" s="186" t="e">
        <f ca="1">Ануїтетна_графік_Авто!K81</f>
        <v>#VALUE!</v>
      </c>
      <c r="AQ80" s="186" t="e">
        <f ca="1">Ануїтетна_графік_Авто!M81</f>
        <v>#VALUE!</v>
      </c>
      <c r="AS80" s="186" t="e">
        <f t="shared" ca="1" si="4"/>
        <v>#DIV/0!</v>
      </c>
    </row>
    <row r="81" spans="19:45" x14ac:dyDescent="0.3">
      <c r="S81"/>
      <c r="T81"/>
      <c r="U81"/>
      <c r="V81"/>
      <c r="W81"/>
      <c r="X81"/>
      <c r="Y81"/>
      <c r="AA81" s="186">
        <f ca="1">Ануїтетна_графік_Авто!G82</f>
        <v>48556</v>
      </c>
      <c r="AB81" s="186">
        <f t="shared" si="5"/>
        <v>78</v>
      </c>
      <c r="AD81" s="186" t="e">
        <f ca="1">Ануїтетна_графік_Авто!J82</f>
        <v>#VALUE!</v>
      </c>
      <c r="AF81" s="186" t="e">
        <f ca="1">Ануїтетна_графік_Авто!K82</f>
        <v>#VALUE!</v>
      </c>
      <c r="AH81" s="186" t="e">
        <f ca="1">Ануїтетна_графік_Авто!M82</f>
        <v>#VALUE!</v>
      </c>
      <c r="AJ81" s="186">
        <f t="shared" ca="1" si="3"/>
        <v>48579</v>
      </c>
      <c r="AK81" s="186">
        <v>78</v>
      </c>
      <c r="AM81" s="186" t="e">
        <f ca="1">Ануїтетна_графік_Авто!J82</f>
        <v>#VALUE!</v>
      </c>
      <c r="AO81" s="186" t="e">
        <f ca="1">Ануїтетна_графік_Авто!K82</f>
        <v>#VALUE!</v>
      </c>
      <c r="AQ81" s="186" t="e">
        <f ca="1">Ануїтетна_графік_Авто!M82</f>
        <v>#VALUE!</v>
      </c>
      <c r="AS81" s="186" t="e">
        <f t="shared" ca="1" si="4"/>
        <v>#DIV/0!</v>
      </c>
    </row>
    <row r="82" spans="19:45" x14ac:dyDescent="0.3">
      <c r="S82"/>
      <c r="T82"/>
      <c r="U82"/>
      <c r="V82"/>
      <c r="W82"/>
      <c r="X82"/>
      <c r="Y82"/>
      <c r="AA82" s="186">
        <f ca="1">Ануїтетна_графік_Авто!G83</f>
        <v>48587</v>
      </c>
      <c r="AB82" s="186">
        <f t="shared" si="5"/>
        <v>79</v>
      </c>
      <c r="AD82" s="186" t="e">
        <f ca="1">Ануїтетна_графік_Авто!J83</f>
        <v>#VALUE!</v>
      </c>
      <c r="AF82" s="186" t="e">
        <f ca="1">Ануїтетна_графік_Авто!K83</f>
        <v>#VALUE!</v>
      </c>
      <c r="AH82" s="186" t="e">
        <f ca="1">Ануїтетна_графік_Авто!M83</f>
        <v>#VALUE!</v>
      </c>
      <c r="AJ82" s="186">
        <f t="shared" ca="1" si="3"/>
        <v>48610</v>
      </c>
      <c r="AK82" s="186">
        <v>79</v>
      </c>
      <c r="AM82" s="186" t="e">
        <f ca="1">Ануїтетна_графік_Авто!J83</f>
        <v>#VALUE!</v>
      </c>
      <c r="AO82" s="186" t="e">
        <f ca="1">Ануїтетна_графік_Авто!K83</f>
        <v>#VALUE!</v>
      </c>
      <c r="AQ82" s="186" t="e">
        <f ca="1">Ануїтетна_графік_Авто!M83</f>
        <v>#VALUE!</v>
      </c>
      <c r="AS82" s="186" t="e">
        <f t="shared" ca="1" si="4"/>
        <v>#DIV/0!</v>
      </c>
    </row>
    <row r="83" spans="19:45" x14ac:dyDescent="0.3">
      <c r="S83"/>
      <c r="T83"/>
      <c r="U83"/>
      <c r="V83"/>
      <c r="W83"/>
      <c r="X83"/>
      <c r="Y83"/>
      <c r="AA83" s="186">
        <f ca="1">Ануїтетна_графік_Авто!G84</f>
        <v>48618</v>
      </c>
      <c r="AB83" s="186">
        <f t="shared" si="5"/>
        <v>80</v>
      </c>
      <c r="AD83" s="186" t="e">
        <f ca="1">Ануїтетна_графік_Авто!J84</f>
        <v>#VALUE!</v>
      </c>
      <c r="AF83" s="186" t="e">
        <f ca="1">Ануїтетна_графік_Авто!K84</f>
        <v>#VALUE!</v>
      </c>
      <c r="AH83" s="186" t="e">
        <f ca="1">Ануїтетна_графік_Авто!M84</f>
        <v>#VALUE!</v>
      </c>
      <c r="AJ83" s="186">
        <f t="shared" ca="1" si="3"/>
        <v>48638</v>
      </c>
      <c r="AK83" s="186">
        <v>80</v>
      </c>
      <c r="AM83" s="186" t="e">
        <f ca="1">Ануїтетна_графік_Авто!J84</f>
        <v>#VALUE!</v>
      </c>
      <c r="AO83" s="186" t="e">
        <f ca="1">Ануїтетна_графік_Авто!K84</f>
        <v>#VALUE!</v>
      </c>
      <c r="AQ83" s="186" t="e">
        <f ca="1">Ануїтетна_графік_Авто!M84</f>
        <v>#VALUE!</v>
      </c>
      <c r="AS83" s="186" t="e">
        <f t="shared" ca="1" si="4"/>
        <v>#DIV/0!</v>
      </c>
    </row>
    <row r="84" spans="19:45" x14ac:dyDescent="0.3">
      <c r="S84"/>
      <c r="T84"/>
      <c r="U84"/>
      <c r="V84"/>
      <c r="W84"/>
      <c r="X84"/>
      <c r="Y84"/>
      <c r="AA84" s="186">
        <f ca="1">Ануїтетна_графік_Авто!G85</f>
        <v>48646</v>
      </c>
      <c r="AB84" s="186">
        <f t="shared" si="5"/>
        <v>81</v>
      </c>
      <c r="AD84" s="186" t="e">
        <f ca="1">Ануїтетна_графік_Авто!J85</f>
        <v>#VALUE!</v>
      </c>
      <c r="AF84" s="186" t="e">
        <f ca="1">Ануїтетна_графік_Авто!K85</f>
        <v>#VALUE!</v>
      </c>
      <c r="AH84" s="186" t="e">
        <f ca="1">Ануїтетна_графік_Авто!M85</f>
        <v>#VALUE!</v>
      </c>
      <c r="AJ84" s="186">
        <f t="shared" ca="1" si="3"/>
        <v>48669</v>
      </c>
      <c r="AK84" s="186">
        <v>81</v>
      </c>
      <c r="AM84" s="186" t="e">
        <f ca="1">Ануїтетна_графік_Авто!J85</f>
        <v>#VALUE!</v>
      </c>
      <c r="AO84" s="186" t="e">
        <f ca="1">Ануїтетна_графік_Авто!K85</f>
        <v>#VALUE!</v>
      </c>
      <c r="AQ84" s="186" t="e">
        <f ca="1">Ануїтетна_графік_Авто!M85</f>
        <v>#VALUE!</v>
      </c>
      <c r="AS84" s="186" t="e">
        <f t="shared" ca="1" si="4"/>
        <v>#DIV/0!</v>
      </c>
    </row>
    <row r="85" spans="19:45" x14ac:dyDescent="0.3">
      <c r="S85"/>
      <c r="T85"/>
      <c r="U85"/>
      <c r="V85"/>
      <c r="W85"/>
      <c r="X85"/>
      <c r="Y85"/>
      <c r="AA85" s="186">
        <f ca="1">Ануїтетна_графік_Авто!G86</f>
        <v>48677</v>
      </c>
      <c r="AB85" s="186">
        <f t="shared" si="5"/>
        <v>82</v>
      </c>
      <c r="AD85" s="186" t="e">
        <f ca="1">Ануїтетна_графік_Авто!J86</f>
        <v>#VALUE!</v>
      </c>
      <c r="AF85" s="186" t="e">
        <f ca="1">Ануїтетна_графік_Авто!K86</f>
        <v>#VALUE!</v>
      </c>
      <c r="AH85" s="186" t="e">
        <f ca="1">Ануїтетна_графік_Авто!M86</f>
        <v>#VALUE!</v>
      </c>
      <c r="AJ85" s="186">
        <f t="shared" ca="1" si="3"/>
        <v>48699</v>
      </c>
      <c r="AK85" s="186">
        <v>82</v>
      </c>
      <c r="AM85" s="186" t="e">
        <f ca="1">Ануїтетна_графік_Авто!J86</f>
        <v>#VALUE!</v>
      </c>
      <c r="AO85" s="186" t="e">
        <f ca="1">Ануїтетна_графік_Авто!K86</f>
        <v>#VALUE!</v>
      </c>
      <c r="AQ85" s="186" t="e">
        <f ca="1">Ануїтетна_графік_Авто!M86</f>
        <v>#VALUE!</v>
      </c>
      <c r="AS85" s="186" t="e">
        <f t="shared" ca="1" si="4"/>
        <v>#DIV/0!</v>
      </c>
    </row>
    <row r="86" spans="19:45" x14ac:dyDescent="0.3">
      <c r="S86"/>
      <c r="T86"/>
      <c r="U86"/>
      <c r="V86"/>
      <c r="W86"/>
      <c r="X86"/>
      <c r="Y86"/>
      <c r="AA86" s="186">
        <f ca="1">Ануїтетна_графік_Авто!G87</f>
        <v>48707</v>
      </c>
      <c r="AB86" s="186">
        <f t="shared" si="5"/>
        <v>83</v>
      </c>
      <c r="AD86" s="186" t="e">
        <f ca="1">Ануїтетна_графік_Авто!J87</f>
        <v>#VALUE!</v>
      </c>
      <c r="AF86" s="186" t="e">
        <f ca="1">Ануїтетна_графік_Авто!K87</f>
        <v>#VALUE!</v>
      </c>
      <c r="AH86" s="186" t="e">
        <f ca="1">Ануїтетна_графік_Авто!M87</f>
        <v>#VALUE!</v>
      </c>
      <c r="AJ86" s="186">
        <f t="shared" ca="1" si="3"/>
        <v>48730</v>
      </c>
      <c r="AK86" s="186">
        <v>83</v>
      </c>
      <c r="AM86" s="186" t="e">
        <f ca="1">Ануїтетна_графік_Авто!J87</f>
        <v>#VALUE!</v>
      </c>
      <c r="AO86" s="186" t="e">
        <f ca="1">Ануїтетна_графік_Авто!K87</f>
        <v>#VALUE!</v>
      </c>
      <c r="AQ86" s="186" t="e">
        <f ca="1">Ануїтетна_графік_Авто!M87</f>
        <v>#VALUE!</v>
      </c>
      <c r="AS86" s="186" t="e">
        <f t="shared" ca="1" si="4"/>
        <v>#DIV/0!</v>
      </c>
    </row>
    <row r="87" spans="19:45" x14ac:dyDescent="0.3">
      <c r="AA87" s="186">
        <f ca="1">Ануїтетна_графік_Авто!G88</f>
        <v>48738</v>
      </c>
      <c r="AB87" s="186">
        <f>AB86+1</f>
        <v>84</v>
      </c>
      <c r="AD87" s="186" t="e">
        <f ca="1">Ануїтетна_графік_Авто!J88</f>
        <v>#VALUE!</v>
      </c>
      <c r="AF87" s="186" t="e">
        <f ca="1">Ануїтетна_графік_Авто!K88</f>
        <v>#VALUE!</v>
      </c>
      <c r="AH87" s="186" t="e">
        <f ca="1">Ануїтетна_графік_Авто!M88</f>
        <v>#VALUE!</v>
      </c>
      <c r="AJ87" s="186">
        <f t="shared" ca="1" si="3"/>
        <v>48760</v>
      </c>
      <c r="AK87" s="186">
        <v>84</v>
      </c>
      <c r="AM87" s="186" t="e">
        <f ca="1">Ануїтетна_графік_Авто!J88</f>
        <v>#VALUE!</v>
      </c>
      <c r="AO87" s="186" t="e">
        <f ca="1">Ануїтетна_графік_Авто!K88</f>
        <v>#VALUE!</v>
      </c>
      <c r="AQ87" s="186" t="e">
        <f ca="1">Ануїтетна_графік_Авто!M88</f>
        <v>#VALUE!</v>
      </c>
      <c r="AS87" s="186" t="e">
        <f t="shared" ca="1" si="4"/>
        <v>#DIV/0!</v>
      </c>
    </row>
    <row r="88" spans="19:45" x14ac:dyDescent="0.3">
      <c r="AA88" s="186">
        <f ca="1">Ануїтетна_графік_Авто!G89</f>
        <v>48768</v>
      </c>
      <c r="AB88" s="186">
        <f t="shared" si="5"/>
        <v>85</v>
      </c>
      <c r="AD88" s="186" t="e">
        <f ca="1">Ануїтетна_графік_Авто!J89</f>
        <v>#VALUE!</v>
      </c>
      <c r="AF88" s="186" t="e">
        <f ca="1">Ануїтетна_графік_Авто!K89</f>
        <v>#VALUE!</v>
      </c>
      <c r="AH88" s="186" t="e">
        <f ca="1">Ануїтетна_графік_Авто!M89</f>
        <v>#VALUE!</v>
      </c>
      <c r="AJ88" s="186">
        <f t="shared" ca="1" si="3"/>
        <v>48791</v>
      </c>
      <c r="AK88" s="186">
        <v>85</v>
      </c>
      <c r="AM88" s="186" t="e">
        <f ca="1">Ануїтетна_графік_Авто!J89</f>
        <v>#VALUE!</v>
      </c>
      <c r="AO88" s="186" t="e">
        <f ca="1">Ануїтетна_графік_Авто!K89</f>
        <v>#VALUE!</v>
      </c>
      <c r="AQ88" s="186" t="e">
        <f ca="1">Ануїтетна_графік_Авто!M89</f>
        <v>#VALUE!</v>
      </c>
      <c r="AS88" s="186" t="e">
        <f t="shared" ca="1" si="4"/>
        <v>#DIV/0!</v>
      </c>
    </row>
    <row r="89" spans="19:45" x14ac:dyDescent="0.3">
      <c r="AA89" s="186">
        <f ca="1">Ануїтетна_графік_Авто!G90</f>
        <v>48799</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48822</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#DIV/0!</v>
      </c>
    </row>
    <row r="90" spans="19:45" x14ac:dyDescent="0.3">
      <c r="AB90" s="186" t="s">
        <v>282</v>
      </c>
      <c r="AD90" s="186" t="e">
        <f ca="1">Ануїтетна_графік_Авто!J91</f>
        <v>#VALUE!</v>
      </c>
      <c r="AF90" s="186" t="e">
        <f ca="1">Ануїтетна_графік_Авто!K91</f>
        <v>#VALUE!</v>
      </c>
      <c r="AH90" s="186" t="e">
        <f ca="1">Ануїтетна_графік_Авто!M91</f>
        <v>#VALUE!</v>
      </c>
      <c r="AK90" s="186" t="s">
        <v>282</v>
      </c>
      <c r="AM90" s="186" t="e">
        <f ca="1">Ануїтетна_графік_Авто!J91</f>
        <v>#VALUE!</v>
      </c>
      <c r="AO90" s="186" t="e">
        <f ca="1">Ануїтетна_графік_Авто!K91</f>
        <v>#VALUE!</v>
      </c>
      <c r="AQ90" s="186"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52</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52</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52</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441406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306</v>
      </c>
      <c r="C2" s="162">
        <f>Калькулятор!G4</f>
        <v>0</v>
      </c>
      <c r="D2" s="162"/>
      <c r="E2" s="160" t="s">
        <v>307</v>
      </c>
      <c r="F2" s="160" t="e">
        <f>Ануїтетна_графік_Авто!Y11</f>
        <v>#DIV/0!</v>
      </c>
    </row>
    <row r="3" spans="1:6" x14ac:dyDescent="0.3">
      <c r="C3" s="163"/>
      <c r="D3" s="163"/>
    </row>
    <row r="4" spans="1:6" x14ac:dyDescent="0.3">
      <c r="B4" s="160" t="s">
        <v>308</v>
      </c>
      <c r="C4" s="163">
        <f>C2/6*5</f>
        <v>0</v>
      </c>
      <c r="D4" s="163"/>
      <c r="E4" s="160" t="s">
        <v>309</v>
      </c>
      <c r="F4" s="160" t="b">
        <f>Ануїтетна_графік_Авто!Y10</f>
        <v>0</v>
      </c>
    </row>
    <row r="5" spans="1:6" x14ac:dyDescent="0.3">
      <c r="C5" s="163"/>
      <c r="D5" s="163"/>
    </row>
    <row r="6" spans="1:6" x14ac:dyDescent="0.3">
      <c r="B6" s="160" t="s">
        <v>310</v>
      </c>
      <c r="C6" s="163">
        <v>0.3</v>
      </c>
      <c r="D6" s="163"/>
      <c r="E6" s="160" t="s">
        <v>172</v>
      </c>
      <c r="F6" s="160">
        <f>C2-(C2*C6)</f>
        <v>0</v>
      </c>
    </row>
    <row r="7" spans="1:6" x14ac:dyDescent="0.3">
      <c r="C7" s="163"/>
      <c r="D7" s="163"/>
    </row>
    <row r="8" spans="1:6" x14ac:dyDescent="0.3">
      <c r="B8" s="160" t="s">
        <v>311</v>
      </c>
      <c r="C8" s="163">
        <v>12</v>
      </c>
      <c r="D8" s="163"/>
      <c r="E8" s="160" t="s">
        <v>312</v>
      </c>
      <c r="F8" s="160">
        <f>Ануїтетна_графік_Авто!C32</f>
        <v>33005</v>
      </c>
    </row>
    <row r="9" spans="1:6" x14ac:dyDescent="0.3">
      <c r="C9" s="163"/>
      <c r="D9" s="163"/>
    </row>
    <row r="10" spans="1:6" x14ac:dyDescent="0.3">
      <c r="B10" s="160" t="s">
        <v>313</v>
      </c>
      <c r="C10" s="163">
        <v>5.4899999999999997E-2</v>
      </c>
      <c r="D10" s="163"/>
      <c r="E10" s="160" t="s">
        <v>314</v>
      </c>
      <c r="F10" s="160" t="e">
        <f>Ануїтетна_графік_Авто!Y3</f>
        <v>#DIV/0!</v>
      </c>
    </row>
    <row r="12" spans="1:6" x14ac:dyDescent="0.3">
      <c r="B12" s="161" t="s">
        <v>315</v>
      </c>
      <c r="C12" s="161">
        <v>9.99</v>
      </c>
      <c r="E12" s="160" t="s">
        <v>209</v>
      </c>
      <c r="F12" s="160" t="e">
        <f>Ануїтетна_графік_Авто!Y2</f>
        <v>#DIV/0!</v>
      </c>
    </row>
    <row r="13" spans="1:6" x14ac:dyDescent="0.3">
      <c r="C13" s="163"/>
    </row>
    <row r="14" spans="1:6" x14ac:dyDescent="0.3">
      <c r="B14" s="160" t="s">
        <v>316</v>
      </c>
      <c r="C14" s="163">
        <v>9.9000000000000008E-3</v>
      </c>
      <c r="F14" s="160">
        <v>3875282.8858883367</v>
      </c>
    </row>
    <row r="15" spans="1:6" x14ac:dyDescent="0.3">
      <c r="C15" s="163"/>
    </row>
    <row r="16" spans="1:6" x14ac:dyDescent="0.3">
      <c r="B16" s="160" t="s">
        <v>317</v>
      </c>
      <c r="C16" s="163">
        <v>0</v>
      </c>
      <c r="F16" s="160">
        <v>4256502.5480896216</v>
      </c>
    </row>
    <row r="18" spans="2:3" x14ac:dyDescent="0.3">
      <c r="B18" s="160" t="s">
        <v>318</v>
      </c>
      <c r="C18" s="160">
        <f>IF(C4&lt;=499620,C4*3%,IF(C4&lt;=878120,C4*4%,C4*5%))</f>
        <v>0</v>
      </c>
    </row>
    <row r="20" spans="2:3" x14ac:dyDescent="0.3">
      <c r="B20" s="160" t="s">
        <v>319</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2: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63" width="0" style="160" hidden="1" customWidth="1"/>
    <col min="64" max="16384" width="8.6640625" style="160"/>
  </cols>
  <sheetData>
    <row r="2" spans="1:4" x14ac:dyDescent="0.3">
      <c r="B2" s="161" t="s">
        <v>25</v>
      </c>
      <c r="C2" s="162"/>
      <c r="D2" s="162"/>
    </row>
    <row r="3" spans="1:4" x14ac:dyDescent="0.3">
      <c r="B3" s="160" t="s">
        <v>27</v>
      </c>
      <c r="C3" s="163"/>
      <c r="D3" s="163"/>
    </row>
    <row r="4" spans="1:4" x14ac:dyDescent="0.3">
      <c r="B4" s="160" t="s">
        <v>30</v>
      </c>
      <c r="C4" s="163"/>
      <c r="D4" s="163"/>
    </row>
    <row r="5" spans="1:4" x14ac:dyDescent="0.3">
      <c r="C5" s="163"/>
      <c r="D5" s="163"/>
    </row>
    <row r="6" spans="1:4" x14ac:dyDescent="0.3">
      <c r="C6" s="163"/>
      <c r="D6" s="163"/>
    </row>
    <row r="7" spans="1:4" x14ac:dyDescent="0.3">
      <c r="C7" s="163"/>
      <c r="D7" s="163"/>
    </row>
    <row r="8" spans="1:4" x14ac:dyDescent="0.3">
      <c r="B8" s="160" t="s">
        <v>320</v>
      </c>
      <c r="C8" s="163"/>
      <c r="D8" s="163"/>
    </row>
    <row r="9" spans="1:4" x14ac:dyDescent="0.3">
      <c r="B9" s="160" t="s">
        <v>321</v>
      </c>
      <c r="C9" s="163"/>
      <c r="D9" s="163"/>
    </row>
    <row r="10" spans="1:4" x14ac:dyDescent="0.3">
      <c r="C10" s="163"/>
      <c r="D10" s="163"/>
    </row>
    <row r="11" spans="1:4" x14ac:dyDescent="0.3">
      <c r="C11" s="160" t="s">
        <v>322</v>
      </c>
      <c r="D11" s="160" t="s">
        <v>323</v>
      </c>
    </row>
    <row r="12" spans="1:4" x14ac:dyDescent="0.3">
      <c r="A12" s="160" t="s">
        <v>44</v>
      </c>
      <c r="B12" s="161" t="s">
        <v>45</v>
      </c>
      <c r="C12" s="161"/>
    </row>
    <row r="13" spans="1:4" x14ac:dyDescent="0.3">
      <c r="B13" s="160" t="s">
        <v>46</v>
      </c>
      <c r="C13" s="163"/>
    </row>
    <row r="14" spans="1:4" x14ac:dyDescent="0.3">
      <c r="B14" s="160" t="s">
        <v>47</v>
      </c>
      <c r="C14" s="163"/>
    </row>
    <row r="15" spans="1:4" x14ac:dyDescent="0.3">
      <c r="B15" s="160" t="s">
        <v>48</v>
      </c>
      <c r="C15" s="163"/>
    </row>
    <row r="17" spans="1:2" x14ac:dyDescent="0.3">
      <c r="A17" s="160" t="s">
        <v>49</v>
      </c>
      <c r="B17" s="160" t="s">
        <v>50</v>
      </c>
    </row>
    <row r="19" spans="1:2" x14ac:dyDescent="0.3">
      <c r="A19" s="160" t="s">
        <v>51</v>
      </c>
      <c r="B19" s="160" t="s">
        <v>52</v>
      </c>
    </row>
    <row r="20" spans="1:2" x14ac:dyDescent="0.3">
      <c r="B20" s="160" t="s">
        <v>53</v>
      </c>
    </row>
    <row r="21" spans="1:2" x14ac:dyDescent="0.3">
      <c r="B21" s="160" t="s">
        <v>54</v>
      </c>
    </row>
    <row r="22" spans="1:2" x14ac:dyDescent="0.3">
      <c r="B22" s="160" t="s">
        <v>55</v>
      </c>
    </row>
    <row r="24" spans="1:2" x14ac:dyDescent="0.3">
      <c r="A24" s="160" t="s">
        <v>56</v>
      </c>
      <c r="B24" s="160" t="s">
        <v>57</v>
      </c>
    </row>
    <row r="25" spans="1:2" x14ac:dyDescent="0.3">
      <c r="B25" s="160" t="s">
        <v>58</v>
      </c>
    </row>
    <row r="27" spans="1:2" x14ac:dyDescent="0.3">
      <c r="A27" s="160" t="s">
        <v>59</v>
      </c>
      <c r="B27" s="160" t="s">
        <v>60</v>
      </c>
    </row>
    <row r="28" spans="1:2" x14ac:dyDescent="0.3">
      <c r="B28" s="160" t="s">
        <v>61</v>
      </c>
    </row>
    <row r="30" spans="1:2" x14ac:dyDescent="0.3">
      <c r="A30" s="160" t="s">
        <v>62</v>
      </c>
      <c r="B30" s="160" t="s">
        <v>63</v>
      </c>
    </row>
    <row r="31" spans="1:2" x14ac:dyDescent="0.3">
      <c r="B31" s="160" t="s">
        <v>64</v>
      </c>
    </row>
    <row r="33" spans="1:3" x14ac:dyDescent="0.3">
      <c r="A33" s="160" t="s">
        <v>65</v>
      </c>
      <c r="B33" s="160" t="s">
        <v>66</v>
      </c>
    </row>
    <row r="34" spans="1:3" x14ac:dyDescent="0.3">
      <c r="B34" s="160" t="s">
        <v>67</v>
      </c>
    </row>
    <row r="39" spans="1:3" x14ac:dyDescent="0.3">
      <c r="A39" s="160" t="s">
        <v>71</v>
      </c>
      <c r="B39" s="160" t="s">
        <v>72</v>
      </c>
      <c r="C39" s="160">
        <f>'Платоспроможність боржника'!C63</f>
        <v>0</v>
      </c>
    </row>
    <row r="40" spans="1:3" x14ac:dyDescent="0.3">
      <c r="B40" s="160" t="s">
        <v>73</v>
      </c>
      <c r="C40" s="160">
        <f>'Платоспроможність боржника'!C64</f>
        <v>0</v>
      </c>
    </row>
    <row r="41" spans="1:3" x14ac:dyDescent="0.3">
      <c r="B41" s="160" t="s">
        <v>74</v>
      </c>
      <c r="C41" s="160">
        <f>'Платоспроможність боржника'!C65</f>
        <v>0</v>
      </c>
    </row>
    <row r="42" spans="1:3" x14ac:dyDescent="0.3">
      <c r="B42" s="160" t="s">
        <v>75</v>
      </c>
      <c r="C42" s="160">
        <f>'Платоспроможність боржника'!C66</f>
        <v>0</v>
      </c>
    </row>
    <row r="51" spans="1:4" x14ac:dyDescent="0.3">
      <c r="B51" s="160" t="s">
        <v>78</v>
      </c>
    </row>
    <row r="52" spans="1:4" x14ac:dyDescent="0.3">
      <c r="B52" s="160" t="s">
        <v>80</v>
      </c>
      <c r="C52" s="160" t="e">
        <f>'Платоспроможність боржника'!C76</f>
        <v>#VALUE!</v>
      </c>
      <c r="D52" s="160" t="s">
        <v>324</v>
      </c>
    </row>
    <row r="53" spans="1:4" x14ac:dyDescent="0.3">
      <c r="B53" s="160" t="s">
        <v>82</v>
      </c>
      <c r="C53" s="160" t="e">
        <f>'Платоспроможність боржника'!C77</f>
        <v>#VALUE!</v>
      </c>
      <c r="D53" s="160" t="s">
        <v>325</v>
      </c>
    </row>
    <row r="54" spans="1:4" x14ac:dyDescent="0.3">
      <c r="B54" s="160" t="s">
        <v>84</v>
      </c>
      <c r="C54" s="160" t="e">
        <f>'Платоспроможність боржника'!C78</f>
        <v>#VALUE!</v>
      </c>
    </row>
    <row r="56" spans="1:4" x14ac:dyDescent="0.3">
      <c r="A56" s="160" t="s">
        <v>86</v>
      </c>
      <c r="B56" s="160" t="s">
        <v>87</v>
      </c>
      <c r="C56" s="160">
        <f>'Платоспроможність боржника'!$H$91</f>
        <v>4000000</v>
      </c>
    </row>
    <row r="57" spans="1:4" x14ac:dyDescent="0.3">
      <c r="B57" s="160" t="s">
        <v>89</v>
      </c>
      <c r="C57" s="160">
        <f>C8+C9</f>
        <v>0</v>
      </c>
    </row>
    <row r="58" spans="1:4" x14ac:dyDescent="0.3">
      <c r="B58" s="160" t="s">
        <v>86</v>
      </c>
      <c r="C58" s="160">
        <f>MAX(C56-C57,0)</f>
        <v>4000000</v>
      </c>
    </row>
    <row r="60" spans="1:4" x14ac:dyDescent="0.3">
      <c r="A60" s="160" t="s">
        <v>93</v>
      </c>
      <c r="B60" s="160" t="s">
        <v>94</v>
      </c>
      <c r="C60" s="160" t="s">
        <v>322</v>
      </c>
      <c r="D60" s="160" t="s">
        <v>323</v>
      </c>
    </row>
    <row r="61" spans="1:4" x14ac:dyDescent="0.3">
      <c r="B61" s="160" t="s">
        <v>96</v>
      </c>
      <c r="C61" s="160">
        <f>IFERROR(VLOOKUP(C19,'коефіцієнт витрат'!B2:C6,2,),70%)</f>
        <v>0.7</v>
      </c>
      <c r="D61" s="160">
        <f>IFERROR(VLOOKUP(D19,'коефіцієнт витрат'!B2:C6,2,),70%)</f>
        <v>0.7</v>
      </c>
    </row>
    <row r="62" spans="1:4" x14ac:dyDescent="0.3">
      <c r="B62" s="160" t="s">
        <v>98</v>
      </c>
      <c r="C62" s="160">
        <f>IF(C12="Чистий дохід за мінусом податків",1,0.805)*C13-C14</f>
        <v>0</v>
      </c>
      <c r="D62" s="160">
        <f>IF(D12="Чистий дохід за мінусом податків",1,0.805)*D13-D14</f>
        <v>0</v>
      </c>
    </row>
    <row r="63" spans="1:4" x14ac:dyDescent="0.3">
      <c r="B63" s="160" t="s">
        <v>100</v>
      </c>
      <c r="C63" s="160">
        <f>C17</f>
        <v>0</v>
      </c>
      <c r="D63" s="160">
        <f>D17</f>
        <v>0</v>
      </c>
    </row>
    <row r="64" spans="1:4" x14ac:dyDescent="0.3">
      <c r="B64" s="160" t="s">
        <v>102</v>
      </c>
      <c r="C64" s="160">
        <f>(C20-C21)-MAX(C61*(C20-C21),C22)</f>
        <v>0</v>
      </c>
      <c r="D64" s="160">
        <f>(D20-D21)-MAX(D61*(D20-D21),D22)</f>
        <v>0</v>
      </c>
    </row>
    <row r="65" spans="1:4" x14ac:dyDescent="0.3">
      <c r="B65" s="160" t="s">
        <v>105</v>
      </c>
      <c r="C65" s="160">
        <f>C24</f>
        <v>0</v>
      </c>
      <c r="D65" s="160">
        <f>D24</f>
        <v>0</v>
      </c>
    </row>
    <row r="66" spans="1:4" x14ac:dyDescent="0.3">
      <c r="B66" s="160" t="s">
        <v>107</v>
      </c>
      <c r="C66" s="160">
        <f>C27-C28</f>
        <v>0</v>
      </c>
      <c r="D66" s="160">
        <f>D27-D28</f>
        <v>0</v>
      </c>
    </row>
    <row r="67" spans="1:4" x14ac:dyDescent="0.3">
      <c r="B67" s="160" t="s">
        <v>109</v>
      </c>
      <c r="C67" s="160">
        <f>(C30-C31)</f>
        <v>0</v>
      </c>
      <c r="D67" s="160">
        <f>(D30-D31)</f>
        <v>0</v>
      </c>
    </row>
    <row r="68" spans="1:4" x14ac:dyDescent="0.3">
      <c r="B68" s="160" t="s">
        <v>326</v>
      </c>
      <c r="C68" s="160">
        <f>SUM(C62:C67)</f>
        <v>0</v>
      </c>
      <c r="D68" s="160">
        <f>SUM(D62:D67)</f>
        <v>0</v>
      </c>
    </row>
    <row r="69" spans="1:4" x14ac:dyDescent="0.3">
      <c r="B69" s="160" t="s">
        <v>112</v>
      </c>
      <c r="C69" s="160">
        <f>C68+D68</f>
        <v>0</v>
      </c>
    </row>
    <row r="71" spans="1:4" x14ac:dyDescent="0.3">
      <c r="A71" s="160" t="s">
        <v>113</v>
      </c>
      <c r="B71" s="160" t="s">
        <v>90</v>
      </c>
      <c r="C71" s="160">
        <f>'Платоспроможність боржника'!H82</f>
        <v>30</v>
      </c>
    </row>
    <row r="72" spans="1:4" x14ac:dyDescent="0.3">
      <c r="B72" s="160" t="s">
        <v>114</v>
      </c>
      <c r="C72" s="160">
        <f>IF('Платоспроможність боржника'!C3&lt;&gt;"",'Платоспроможність боржника'!C4/'Платоспроможність боржника'!C3*100,0)</f>
        <v>70</v>
      </c>
    </row>
    <row r="73" spans="1:4" x14ac:dyDescent="0.3">
      <c r="B73" s="160" t="s">
        <v>113</v>
      </c>
      <c r="C73" s="160">
        <f>'Платоспроможність боржника'!C97</f>
        <v>103960.00000000003</v>
      </c>
    </row>
    <row r="75" spans="1:4" x14ac:dyDescent="0.3">
      <c r="A75" s="160" t="s">
        <v>115</v>
      </c>
      <c r="B75" s="160" t="s">
        <v>92</v>
      </c>
      <c r="C75" s="160">
        <f>'Платоспроможність боржника'!H83</f>
        <v>0.65</v>
      </c>
    </row>
    <row r="76" spans="1:4" x14ac:dyDescent="0.3">
      <c r="B76" s="160" t="s">
        <v>116</v>
      </c>
      <c r="C76" s="160">
        <f>C33+D33+E33+C34+D34+E34</f>
        <v>0</v>
      </c>
    </row>
    <row r="77" spans="1:4" x14ac:dyDescent="0.3">
      <c r="B77" s="160" t="s">
        <v>115</v>
      </c>
      <c r="C77" s="160" t="e">
        <f>IF(C54&lt;&gt;0,(C75*C69-C76)/C54,0)</f>
        <v>#VALUE!</v>
      </c>
    </row>
    <row r="79" spans="1:4" x14ac:dyDescent="0.3">
      <c r="A79" s="160" t="s">
        <v>117</v>
      </c>
      <c r="B79" s="160" t="s">
        <v>95</v>
      </c>
      <c r="C79" s="160">
        <f>'Платоспроможність боржника'!H84</f>
        <v>1</v>
      </c>
    </row>
    <row r="80" spans="1:4" x14ac:dyDescent="0.3">
      <c r="B80" s="160" t="s">
        <v>97</v>
      </c>
      <c r="C80" s="160">
        <f>'Платоспроможність боржника'!H85</f>
        <v>1.266</v>
      </c>
    </row>
    <row r="81" spans="1:3" x14ac:dyDescent="0.3">
      <c r="B81" s="160" t="s">
        <v>99</v>
      </c>
      <c r="C81" s="160">
        <f>'Платоспроможність боржника'!H86</f>
        <v>1420.07</v>
      </c>
    </row>
    <row r="83" spans="1:3" x14ac:dyDescent="0.3">
      <c r="B83" s="160" t="s">
        <v>118</v>
      </c>
      <c r="C83" s="160">
        <f>IF(C87&lt;=4,VLOOKUP(C87,'Таблиця МП_БВС'!H:I,2,),IF(C87&gt;4,'Таблиця МП_БВС'!$I$7+(C87-4)*C81,0))</f>
        <v>5120.17</v>
      </c>
    </row>
    <row r="84" spans="1:3" x14ac:dyDescent="0.3">
      <c r="B84" s="160" t="s">
        <v>119</v>
      </c>
      <c r="C84" s="160">
        <f>IFERROR(VLOOKUP(C3,'Таблиця МП_БВС'!$B:$E,4,),1.33)</f>
        <v>1.33</v>
      </c>
    </row>
    <row r="85" spans="1:3" x14ac:dyDescent="0.3">
      <c r="B85" s="160" t="s">
        <v>120</v>
      </c>
      <c r="C85" s="160">
        <f>IFERROR(VLOOKUP(C4,'Таблиця МП_БВС'!$B:$E,4,),1.33)</f>
        <v>1.33</v>
      </c>
    </row>
    <row r="86" spans="1:3" x14ac:dyDescent="0.3">
      <c r="B86" s="160" t="s">
        <v>122</v>
      </c>
      <c r="C86" s="160">
        <f>MAX(C84,C85)</f>
        <v>1.33</v>
      </c>
    </row>
    <row r="87" spans="1:3" x14ac:dyDescent="0.3">
      <c r="B87" s="160" t="s">
        <v>123</v>
      </c>
      <c r="C87" s="160">
        <f>1+IF(OR(H1="одружений(на)",H1="не зареєстрований шлюб"),1,0)+H2</f>
        <v>1</v>
      </c>
    </row>
    <row r="88" spans="1:3" x14ac:dyDescent="0.3">
      <c r="B88" s="160" t="s">
        <v>124</v>
      </c>
      <c r="C88" s="160">
        <f>MAX(C2,C83*C86*$C$80)</f>
        <v>8621.2398426</v>
      </c>
    </row>
    <row r="89" spans="1:3" x14ac:dyDescent="0.3">
      <c r="B89" s="160" t="s">
        <v>117</v>
      </c>
      <c r="C89" s="160" t="e">
        <f>IF(C54&lt;&gt;0,(C79*C69-C76-C88)/C54,0)</f>
        <v>#VALUE!</v>
      </c>
    </row>
    <row r="91" spans="1:3" x14ac:dyDescent="0.3">
      <c r="A91" s="160" t="s">
        <v>125</v>
      </c>
      <c r="B91" s="160" t="s">
        <v>94</v>
      </c>
    </row>
    <row r="93" spans="1:3" x14ac:dyDescent="0.3">
      <c r="A93" s="160" t="s">
        <v>126</v>
      </c>
      <c r="B93" s="160" t="s">
        <v>101</v>
      </c>
      <c r="C93" s="160">
        <f>'Платоспроможність боржника'!H87</f>
        <v>4000000</v>
      </c>
    </row>
    <row r="94" spans="1:3" x14ac:dyDescent="0.3">
      <c r="B94" s="160" t="s">
        <v>127</v>
      </c>
      <c r="C94" s="160">
        <f>C39+C40+C41+C42</f>
        <v>0</v>
      </c>
    </row>
    <row r="95" spans="1:3" x14ac:dyDescent="0.3">
      <c r="B95" s="160" t="s">
        <v>126</v>
      </c>
      <c r="C95" s="160">
        <f>C93-C94</f>
        <v>4000000</v>
      </c>
    </row>
    <row r="97" spans="1:3" x14ac:dyDescent="0.3">
      <c r="A97" s="160" t="s">
        <v>128</v>
      </c>
      <c r="B97" s="160" t="s">
        <v>87</v>
      </c>
      <c r="C97" s="160">
        <f>'Платоспроможність боржника'!$H$91</f>
        <v>4000000</v>
      </c>
    </row>
    <row r="99" spans="1:3" x14ac:dyDescent="0.3">
      <c r="B99" s="160" t="s">
        <v>128</v>
      </c>
      <c r="C99" s="160">
        <f>IF(C98+'Платоспроможність боржника'!H5*31&lt;=C97,C56,0)</f>
        <v>4000000</v>
      </c>
    </row>
    <row r="101" spans="1:3" x14ac:dyDescent="0.3">
      <c r="A101" s="160" t="s">
        <v>129</v>
      </c>
      <c r="B101" s="160" t="s">
        <v>129</v>
      </c>
      <c r="C101" s="160">
        <f>'Платоспроможність боржника'!C126</f>
        <v>100000.00000000003</v>
      </c>
    </row>
    <row r="103" spans="1:3" x14ac:dyDescent="0.3">
      <c r="A103" s="160" t="s">
        <v>130</v>
      </c>
      <c r="B103" s="160" t="s">
        <v>94</v>
      </c>
    </row>
    <row r="104" spans="1:3" x14ac:dyDescent="0.3">
      <c r="A104" s="160" t="s">
        <v>131</v>
      </c>
      <c r="B104" s="160" t="s">
        <v>94</v>
      </c>
    </row>
    <row r="105" spans="1:3" x14ac:dyDescent="0.3">
      <c r="A105" s="160" t="s">
        <v>132</v>
      </c>
      <c r="B105" s="160" t="s">
        <v>94</v>
      </c>
    </row>
    <row r="107" spans="1:3" x14ac:dyDescent="0.3">
      <c r="A107" s="160" t="s">
        <v>133</v>
      </c>
      <c r="B107" s="160" t="s">
        <v>103</v>
      </c>
      <c r="C107" s="160">
        <f>'Платоспроможність боржника'!H88</f>
        <v>0.5</v>
      </c>
    </row>
    <row r="108" spans="1:3" x14ac:dyDescent="0.3">
      <c r="B108" s="160" t="s">
        <v>133</v>
      </c>
      <c r="C108" s="160">
        <f>IF('Платоспроможність боржника'!C5&gt;0,C107*'Платоспроможність боржника'!C5,0)</f>
        <v>2500000</v>
      </c>
    </row>
    <row r="110" spans="1:3" x14ac:dyDescent="0.3">
      <c r="B110" s="160" t="s">
        <v>134</v>
      </c>
      <c r="C110" s="160" t="e">
        <f>ROUNDDOWN(MAX(MIN(C58,C73,C77,C89,C95,C99,C101,C108),0)*'Платоспроможність боржника'!H89,-2)</f>
        <v>#VALUE!</v>
      </c>
    </row>
    <row r="112" spans="1:3" x14ac:dyDescent="0.3">
      <c r="B112" s="160" t="s">
        <v>327</v>
      </c>
      <c r="C112" s="160" t="e">
        <f>IF(OR(C110&lt;'Платоспроможність боржника'!C135,C110=0),"Поручитель неплатоспроможний","Поручитель платоспроможний")</f>
        <v>#VALUE!</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17"/>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58" width="0" style="160" hidden="1" customWidth="1"/>
    <col min="59" max="16384" width="8.6640625" style="160"/>
  </cols>
  <sheetData>
    <row r="1" spans="2:4" x14ac:dyDescent="0.3">
      <c r="B1" s="158"/>
      <c r="C1" s="159" t="s">
        <v>21</v>
      </c>
      <c r="D1" s="159" t="s">
        <v>322</v>
      </c>
    </row>
    <row r="2" spans="2:4" x14ac:dyDescent="0.3">
      <c r="B2" s="161" t="s">
        <v>328</v>
      </c>
      <c r="C2" s="162" t="e">
        <f>'Платоспроможність боржника'!C135</f>
        <v>#VALUE!</v>
      </c>
      <c r="D2" s="162" t="e">
        <f>'Платоспроможність поручителя'!C110</f>
        <v>#VALUE!</v>
      </c>
    </row>
    <row r="3" spans="2:4" x14ac:dyDescent="0.3">
      <c r="B3" s="160" t="s">
        <v>86</v>
      </c>
      <c r="C3" s="163">
        <f>'Платоспроможність боржника'!C82</f>
        <v>4000000</v>
      </c>
      <c r="D3" s="163">
        <f>'Платоспроможність поручителя'!C58</f>
        <v>4000000</v>
      </c>
    </row>
    <row r="4" spans="2:4" x14ac:dyDescent="0.3">
      <c r="B4" s="160" t="s">
        <v>113</v>
      </c>
      <c r="C4" s="163">
        <f>'Платоспроможність боржника'!C97</f>
        <v>103960.00000000003</v>
      </c>
      <c r="D4" s="163">
        <f>'Платоспроможність поручителя'!C73</f>
        <v>103960.00000000003</v>
      </c>
    </row>
    <row r="5" spans="2:4" x14ac:dyDescent="0.3">
      <c r="B5" s="160" t="s">
        <v>115</v>
      </c>
      <c r="C5" s="163" t="e">
        <f>'Платоспроможність боржника'!C101</f>
        <v>#VALUE!</v>
      </c>
      <c r="D5" s="163" t="e">
        <f>'Платоспроможність поручителя'!C77</f>
        <v>#VALUE!</v>
      </c>
    </row>
    <row r="6" spans="2:4" x14ac:dyDescent="0.3">
      <c r="B6" s="160" t="s">
        <v>117</v>
      </c>
      <c r="C6" s="163" t="e">
        <f>'Платоспроможність боржника'!C114</f>
        <v>#VALUE!</v>
      </c>
      <c r="D6" s="163" t="e">
        <f>'Платоспроможність поручителя'!C89</f>
        <v>#VALUE!</v>
      </c>
    </row>
    <row r="7" spans="2:4" x14ac:dyDescent="0.3">
      <c r="B7" s="160" t="s">
        <v>126</v>
      </c>
      <c r="C7" s="163">
        <f>'Платоспроможність боржника'!C120</f>
        <v>4000000</v>
      </c>
      <c r="D7" s="163">
        <f>'Платоспроможність поручителя'!C95</f>
        <v>4000000</v>
      </c>
    </row>
    <row r="8" spans="2:4" x14ac:dyDescent="0.3">
      <c r="B8" s="160" t="s">
        <v>128</v>
      </c>
      <c r="C8" s="163">
        <f>'Платоспроможність боржника'!C124</f>
        <v>4000000</v>
      </c>
      <c r="D8" s="163">
        <f>'Платоспроможність поручителя'!C99</f>
        <v>4000000</v>
      </c>
    </row>
    <row r="9" spans="2:4" x14ac:dyDescent="0.3">
      <c r="B9" s="160" t="s">
        <v>129</v>
      </c>
      <c r="C9" s="163">
        <f>'Платоспроможність боржника'!C126</f>
        <v>100000.00000000003</v>
      </c>
      <c r="D9" s="163">
        <f>'Платоспроможність поручителя'!C101</f>
        <v>100000.00000000003</v>
      </c>
    </row>
    <row r="10" spans="2:4" x14ac:dyDescent="0.3">
      <c r="B10" s="160" t="s">
        <v>133</v>
      </c>
      <c r="C10" s="163">
        <f>'Платоспроможність боржника'!C133</f>
        <v>2500000</v>
      </c>
      <c r="D10" s="163">
        <f>'Платоспроможність поручителя'!C108</f>
        <v>2500000</v>
      </c>
    </row>
    <row r="12" spans="2:4" x14ac:dyDescent="0.3">
      <c r="B12" s="161" t="s">
        <v>170</v>
      </c>
      <c r="C12" s="161" t="e">
        <f ca="1">'Платоспроможність боржника'!C174</f>
        <v>#VALUE!</v>
      </c>
    </row>
    <row r="13" spans="2:4" x14ac:dyDescent="0.3">
      <c r="B13" s="160" t="s">
        <v>137</v>
      </c>
      <c r="C13" s="163">
        <f>'Платоспроможність боржника'!C139</f>
        <v>33016.53</v>
      </c>
    </row>
    <row r="14" spans="2:4" x14ac:dyDescent="0.3">
      <c r="B14" s="160" t="s">
        <v>154</v>
      </c>
      <c r="C14" s="163">
        <f>'Платоспроможність боржника'!C141</f>
        <v>1601378.7601574</v>
      </c>
    </row>
    <row r="15" spans="2:4" x14ac:dyDescent="0.3">
      <c r="B15" s="160" t="s">
        <v>143</v>
      </c>
      <c r="C15" s="163">
        <f>'Платоспроможність боржника'!C142</f>
        <v>38.666816356547358</v>
      </c>
    </row>
    <row r="16" spans="2:4" x14ac:dyDescent="0.3">
      <c r="B16" s="160" t="s">
        <v>145</v>
      </c>
      <c r="C16" s="163">
        <f>'Платоспроможність боржника'!C143</f>
        <v>2.050716149068323E-2</v>
      </c>
    </row>
    <row r="17" spans="2:3" x14ac:dyDescent="0.3">
      <c r="B17" s="160" t="s">
        <v>147</v>
      </c>
      <c r="C17" s="163" t="e">
        <f>'Платоспроможність боржника'!C144</f>
        <v>#VALUE!</v>
      </c>
    </row>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44140625" style="160" hidden="1" customWidth="1"/>
    <col min="5" max="57" width="0" style="160" hidden="1" customWidth="1"/>
    <col min="58" max="16384" width="8.6640625" style="160"/>
  </cols>
  <sheetData>
    <row r="1" spans="2:9" x14ac:dyDescent="0.3">
      <c r="B1" s="158"/>
      <c r="C1" s="159" t="s">
        <v>329</v>
      </c>
      <c r="D1" s="159"/>
      <c r="F1" s="160" t="s">
        <v>330</v>
      </c>
    </row>
    <row r="2" spans="2:9" x14ac:dyDescent="0.3">
      <c r="B2" s="161" t="s">
        <v>331</v>
      </c>
      <c r="C2" s="162">
        <v>0.7</v>
      </c>
      <c r="D2" s="162"/>
      <c r="F2" s="160" t="s">
        <v>332</v>
      </c>
    </row>
    <row r="3" spans="2:9" x14ac:dyDescent="0.3">
      <c r="B3" s="160" t="s">
        <v>333</v>
      </c>
      <c r="C3" s="163">
        <v>0.5</v>
      </c>
      <c r="D3" s="163"/>
      <c r="F3" s="160">
        <v>1</v>
      </c>
      <c r="G3" s="160" t="s">
        <v>334</v>
      </c>
      <c r="H3" s="160" t="s">
        <v>335</v>
      </c>
      <c r="I3" s="160">
        <v>1500</v>
      </c>
    </row>
    <row r="4" spans="2:9" x14ac:dyDescent="0.3">
      <c r="B4" s="160" t="s">
        <v>336</v>
      </c>
      <c r="C4" s="163">
        <v>0.6</v>
      </c>
      <c r="D4" s="163"/>
      <c r="H4" s="160" t="s">
        <v>337</v>
      </c>
      <c r="I4" s="160">
        <v>1400</v>
      </c>
    </row>
    <row r="5" spans="2:9" x14ac:dyDescent="0.3">
      <c r="B5" s="160" t="s">
        <v>338</v>
      </c>
      <c r="C5" s="163">
        <v>0.3</v>
      </c>
      <c r="D5" s="163"/>
      <c r="H5" s="160" t="s">
        <v>339</v>
      </c>
      <c r="I5" s="160">
        <v>1200</v>
      </c>
    </row>
    <row r="6" spans="2:9" x14ac:dyDescent="0.3">
      <c r="B6" s="160" t="s">
        <v>340</v>
      </c>
      <c r="C6" s="163">
        <v>0.4</v>
      </c>
      <c r="D6" s="163"/>
      <c r="H6" s="160" t="s">
        <v>341</v>
      </c>
      <c r="I6" s="160">
        <v>1000</v>
      </c>
    </row>
    <row r="7" spans="2:9" x14ac:dyDescent="0.3">
      <c r="B7" s="160" t="s">
        <v>342</v>
      </c>
      <c r="C7" s="163">
        <v>0.7</v>
      </c>
      <c r="D7" s="163"/>
      <c r="H7" s="160" t="s">
        <v>343</v>
      </c>
      <c r="I7" s="160">
        <v>600</v>
      </c>
    </row>
    <row r="8" spans="2:9" x14ac:dyDescent="0.3">
      <c r="C8" s="163"/>
      <c r="D8" s="163"/>
      <c r="H8" s="160" t="s">
        <v>344</v>
      </c>
      <c r="I8" s="160">
        <v>0</v>
      </c>
    </row>
    <row r="9" spans="2:9" x14ac:dyDescent="0.3">
      <c r="B9" s="160" t="s">
        <v>345</v>
      </c>
      <c r="C9" s="163"/>
      <c r="D9" s="163"/>
      <c r="F9" s="160">
        <v>2</v>
      </c>
      <c r="G9" s="160" t="s">
        <v>346</v>
      </c>
      <c r="H9" s="160" t="s">
        <v>347</v>
      </c>
      <c r="I9" s="160">
        <v>1250</v>
      </c>
    </row>
    <row r="10" spans="2:9" x14ac:dyDescent="0.3">
      <c r="B10" s="160" t="s">
        <v>348</v>
      </c>
      <c r="C10" s="163" t="s">
        <v>349</v>
      </c>
      <c r="D10" s="163"/>
      <c r="H10" s="160" t="s">
        <v>350</v>
      </c>
      <c r="I10" s="160">
        <v>1000</v>
      </c>
    </row>
    <row r="11" spans="2:9" x14ac:dyDescent="0.3">
      <c r="B11" s="160" t="s">
        <v>351</v>
      </c>
      <c r="C11" s="160">
        <v>1</v>
      </c>
      <c r="H11" s="160" t="s">
        <v>352</v>
      </c>
      <c r="I11" s="160">
        <v>750</v>
      </c>
    </row>
    <row r="12" spans="2:9" x14ac:dyDescent="0.3">
      <c r="B12" s="161" t="s">
        <v>353</v>
      </c>
      <c r="C12" s="161">
        <v>2</v>
      </c>
      <c r="H12" s="160" t="s">
        <v>354</v>
      </c>
      <c r="I12" s="160">
        <v>500</v>
      </c>
    </row>
    <row r="13" spans="2:9" x14ac:dyDescent="0.3">
      <c r="B13" s="160" t="s">
        <v>355</v>
      </c>
      <c r="C13" s="163">
        <v>3</v>
      </c>
      <c r="H13" s="160" t="s">
        <v>356</v>
      </c>
      <c r="I13" s="160">
        <v>250</v>
      </c>
    </row>
    <row r="14" spans="2:9" x14ac:dyDescent="0.3">
      <c r="B14" s="160" t="s">
        <v>357</v>
      </c>
      <c r="C14" s="163">
        <v>4</v>
      </c>
      <c r="H14" s="160" t="s">
        <v>358</v>
      </c>
      <c r="I14" s="160">
        <v>0</v>
      </c>
    </row>
    <row r="15" spans="2:9" x14ac:dyDescent="0.3">
      <c r="B15" s="160" t="s">
        <v>359</v>
      </c>
      <c r="C15" s="163">
        <v>5</v>
      </c>
      <c r="F15" s="160">
        <v>3</v>
      </c>
      <c r="G15" s="160" t="s">
        <v>360</v>
      </c>
      <c r="H15" s="160" t="s">
        <v>361</v>
      </c>
      <c r="I15" s="160">
        <v>1000</v>
      </c>
    </row>
    <row r="16" spans="2:9" x14ac:dyDescent="0.3">
      <c r="C16" s="163"/>
      <c r="H16" s="160" t="s">
        <v>362</v>
      </c>
      <c r="I16" s="160">
        <v>800</v>
      </c>
    </row>
    <row r="17" spans="2:9" x14ac:dyDescent="0.3">
      <c r="C17" s="163"/>
      <c r="H17" s="160" t="s">
        <v>363</v>
      </c>
      <c r="I17" s="160">
        <v>600</v>
      </c>
    </row>
    <row r="18" spans="2:9" x14ac:dyDescent="0.3">
      <c r="B18" s="160" t="s">
        <v>364</v>
      </c>
      <c r="H18" s="160" t="s">
        <v>365</v>
      </c>
      <c r="I18" s="160">
        <v>400</v>
      </c>
    </row>
    <row r="19" spans="2:9" x14ac:dyDescent="0.3">
      <c r="B19" s="160" t="s">
        <v>366</v>
      </c>
      <c r="C19" s="160" t="s">
        <v>367</v>
      </c>
      <c r="H19" s="160" t="s">
        <v>368</v>
      </c>
      <c r="I19" s="160">
        <v>200</v>
      </c>
    </row>
    <row r="20" spans="2:9" x14ac:dyDescent="0.3">
      <c r="B20" s="160" t="s">
        <v>369</v>
      </c>
      <c r="C20" s="160">
        <v>1</v>
      </c>
      <c r="F20" s="160">
        <v>4</v>
      </c>
      <c r="G20" s="160" t="s">
        <v>370</v>
      </c>
      <c r="H20" s="160" t="s">
        <v>371</v>
      </c>
      <c r="I20" s="160">
        <v>500</v>
      </c>
    </row>
    <row r="21" spans="2:9" x14ac:dyDescent="0.3">
      <c r="B21" s="160" t="s">
        <v>372</v>
      </c>
      <c r="C21" s="160">
        <v>2</v>
      </c>
      <c r="H21" s="160" t="s">
        <v>373</v>
      </c>
      <c r="I21" s="160">
        <v>0</v>
      </c>
    </row>
    <row r="22" spans="2:9" x14ac:dyDescent="0.3">
      <c r="B22" s="160" t="s">
        <v>374</v>
      </c>
      <c r="C22" s="160">
        <v>3</v>
      </c>
    </row>
    <row r="23" spans="2:9" x14ac:dyDescent="0.3">
      <c r="B23" s="160" t="s">
        <v>375</v>
      </c>
      <c r="C23" s="160">
        <v>4</v>
      </c>
      <c r="F23" s="160" t="s">
        <v>376</v>
      </c>
    </row>
    <row r="24" spans="2:9" x14ac:dyDescent="0.3">
      <c r="B24" s="160" t="s">
        <v>377</v>
      </c>
      <c r="C24" s="160">
        <v>5</v>
      </c>
      <c r="F24" s="160">
        <v>5</v>
      </c>
      <c r="G24" s="160" t="s">
        <v>156</v>
      </c>
      <c r="H24" s="160" t="s">
        <v>378</v>
      </c>
      <c r="I24" s="160">
        <v>84</v>
      </c>
    </row>
    <row r="25" spans="2:9" x14ac:dyDescent="0.3">
      <c r="H25" s="160" t="s">
        <v>379</v>
      </c>
      <c r="I25" s="160">
        <v>87</v>
      </c>
    </row>
    <row r="26" spans="2:9" x14ac:dyDescent="0.3">
      <c r="H26" s="160" t="s">
        <v>380</v>
      </c>
      <c r="I26" s="160">
        <v>92</v>
      </c>
    </row>
    <row r="27" spans="2:9" x14ac:dyDescent="0.3">
      <c r="B27" s="160" t="s">
        <v>381</v>
      </c>
      <c r="H27" s="160" t="s">
        <v>382</v>
      </c>
      <c r="I27" s="160">
        <v>98</v>
      </c>
    </row>
    <row r="28" spans="2:9" x14ac:dyDescent="0.3">
      <c r="B28" s="160" t="s">
        <v>383</v>
      </c>
      <c r="C28" s="160" t="s">
        <v>169</v>
      </c>
      <c r="F28" s="160">
        <v>6</v>
      </c>
      <c r="G28" s="160" t="s">
        <v>33</v>
      </c>
      <c r="H28" s="160" t="s">
        <v>384</v>
      </c>
      <c r="I28" s="160">
        <v>81</v>
      </c>
    </row>
    <row r="29" spans="2:9" x14ac:dyDescent="0.3">
      <c r="B29" s="160" t="s">
        <v>385</v>
      </c>
      <c r="C29" s="160">
        <v>1</v>
      </c>
      <c r="H29" s="160" t="s">
        <v>386</v>
      </c>
      <c r="I29" s="160">
        <v>90</v>
      </c>
    </row>
    <row r="30" spans="2:9" x14ac:dyDescent="0.3">
      <c r="B30" s="160" t="s">
        <v>387</v>
      </c>
      <c r="C30" s="160">
        <v>2</v>
      </c>
      <c r="H30" s="160" t="s">
        <v>388</v>
      </c>
      <c r="I30" s="160">
        <v>87</v>
      </c>
    </row>
    <row r="31" spans="2:9" x14ac:dyDescent="0.3">
      <c r="B31" s="160" t="s">
        <v>389</v>
      </c>
      <c r="C31" s="160">
        <v>3</v>
      </c>
      <c r="H31" s="160" t="s">
        <v>390</v>
      </c>
      <c r="I31" s="160">
        <v>94</v>
      </c>
    </row>
    <row r="32" spans="2:9" x14ac:dyDescent="0.3">
      <c r="B32" s="160" t="s">
        <v>391</v>
      </c>
      <c r="C32" s="160">
        <v>4</v>
      </c>
      <c r="F32" s="160">
        <v>7</v>
      </c>
      <c r="G32" s="160" t="s">
        <v>161</v>
      </c>
      <c r="H32" s="160" t="s">
        <v>392</v>
      </c>
      <c r="I32" s="160">
        <v>87</v>
      </c>
    </row>
    <row r="33" spans="2:9" x14ac:dyDescent="0.3">
      <c r="B33" s="160" t="s">
        <v>393</v>
      </c>
      <c r="C33" s="160">
        <v>5</v>
      </c>
      <c r="H33" s="160" t="s">
        <v>394</v>
      </c>
      <c r="I33" s="160">
        <v>88</v>
      </c>
    </row>
    <row r="34" spans="2:9" x14ac:dyDescent="0.3">
      <c r="H34" s="160" t="s">
        <v>395</v>
      </c>
      <c r="I34" s="160">
        <v>89</v>
      </c>
    </row>
    <row r="35" spans="2:9" x14ac:dyDescent="0.3">
      <c r="H35" s="160" t="s">
        <v>396</v>
      </c>
      <c r="I35" s="160">
        <v>92</v>
      </c>
    </row>
    <row r="36" spans="2:9" x14ac:dyDescent="0.3">
      <c r="H36" s="160" t="s">
        <v>397</v>
      </c>
      <c r="I36" s="160">
        <v>93</v>
      </c>
    </row>
    <row r="37" spans="2:9" x14ac:dyDescent="0.3">
      <c r="F37" s="160">
        <v>8</v>
      </c>
      <c r="G37" s="160" t="s">
        <v>162</v>
      </c>
      <c r="H37" s="160" t="s">
        <v>398</v>
      </c>
      <c r="I37" s="160">
        <v>92</v>
      </c>
    </row>
    <row r="38" spans="2:9" x14ac:dyDescent="0.3">
      <c r="H38" s="160" t="s">
        <v>399</v>
      </c>
      <c r="I38" s="160">
        <v>90</v>
      </c>
    </row>
    <row r="39" spans="2:9" x14ac:dyDescent="0.3">
      <c r="H39" s="160" t="s">
        <v>400</v>
      </c>
      <c r="I39" s="160">
        <v>88</v>
      </c>
    </row>
    <row r="40" spans="2:9" x14ac:dyDescent="0.3">
      <c r="F40" s="160">
        <v>9</v>
      </c>
      <c r="G40" s="160" t="s">
        <v>401</v>
      </c>
      <c r="H40" s="160" t="s">
        <v>402</v>
      </c>
      <c r="I40" s="160">
        <v>200</v>
      </c>
    </row>
    <row r="41" spans="2:9" x14ac:dyDescent="0.3">
      <c r="H41" s="160" t="s">
        <v>403</v>
      </c>
      <c r="I41" s="160">
        <v>100</v>
      </c>
    </row>
    <row r="42" spans="2:9" x14ac:dyDescent="0.3">
      <c r="H42" s="160" t="s">
        <v>404</v>
      </c>
      <c r="I42" s="160">
        <v>50</v>
      </c>
    </row>
    <row r="43" spans="2:9" x14ac:dyDescent="0.3">
      <c r="H43" s="160" t="s">
        <v>405</v>
      </c>
      <c r="I43" s="160">
        <v>25</v>
      </c>
    </row>
    <row r="44" spans="2:9" x14ac:dyDescent="0.3">
      <c r="H44" s="160" t="s">
        <v>406</v>
      </c>
      <c r="I44" s="160">
        <v>0</v>
      </c>
    </row>
    <row r="45" spans="2:9" x14ac:dyDescent="0.3">
      <c r="F45" s="160">
        <v>10</v>
      </c>
      <c r="G45" s="160" t="s">
        <v>164</v>
      </c>
    </row>
    <row r="46" spans="2:9" x14ac:dyDescent="0.3">
      <c r="G46" s="160" t="s">
        <v>407</v>
      </c>
      <c r="H46" s="160" t="s">
        <v>408</v>
      </c>
      <c r="I46" s="160">
        <v>173</v>
      </c>
    </row>
    <row r="47" spans="2:9" x14ac:dyDescent="0.3">
      <c r="H47" s="160" t="s">
        <v>409</v>
      </c>
      <c r="I47" s="160">
        <v>100</v>
      </c>
    </row>
    <row r="48" spans="2:9" x14ac:dyDescent="0.3">
      <c r="H48" s="160" t="s">
        <v>410</v>
      </c>
      <c r="I48" s="160">
        <v>50</v>
      </c>
    </row>
    <row r="49" spans="7:9" x14ac:dyDescent="0.3">
      <c r="H49" s="160" t="s">
        <v>411</v>
      </c>
    </row>
    <row r="50" spans="7:9" x14ac:dyDescent="0.3">
      <c r="H50" s="160" t="s">
        <v>412</v>
      </c>
      <c r="I50" s="160">
        <v>20</v>
      </c>
    </row>
    <row r="51" spans="7:9" x14ac:dyDescent="0.3">
      <c r="H51" s="160" t="s">
        <v>413</v>
      </c>
      <c r="I51" s="160">
        <v>0</v>
      </c>
    </row>
    <row r="52" spans="7:9" x14ac:dyDescent="0.3">
      <c r="H52" s="160" t="s">
        <v>414</v>
      </c>
    </row>
    <row r="53" spans="7:9" x14ac:dyDescent="0.3">
      <c r="H53" s="160" t="s">
        <v>415</v>
      </c>
    </row>
    <row r="54" spans="7:9" x14ac:dyDescent="0.3">
      <c r="H54" s="160" t="s">
        <v>416</v>
      </c>
    </row>
    <row r="55" spans="7:9" x14ac:dyDescent="0.3">
      <c r="H55" s="160" t="s">
        <v>417</v>
      </c>
    </row>
    <row r="56" spans="7:9" x14ac:dyDescent="0.3">
      <c r="G56" s="160" t="s">
        <v>418</v>
      </c>
      <c r="I56" s="160">
        <v>173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B055CB0B745FA438D65E63B2A65B963" ma:contentTypeVersion="15" ma:contentTypeDescription="Створення нового документа." ma:contentTypeScope="" ma:versionID="ef86b140e5affa8d0e646ec7d81c63d7">
  <xsd:schema xmlns:xsd="http://www.w3.org/2001/XMLSchema" xmlns:xs="http://www.w3.org/2001/XMLSchema" xmlns:p="http://schemas.microsoft.com/office/2006/metadata/properties" xmlns:ns2="971aa921-a7c0-4e88-a487-cd0867606cfe" xmlns:ns3="60b923bd-8e39-4575-a5c2-829114d4a3cf" targetNamespace="http://schemas.microsoft.com/office/2006/metadata/properties" ma:root="true" ma:fieldsID="1223c4015c1a76aee5042fb78dd20158" ns2:_="" ns3:_="">
    <xsd:import namespace="971aa921-a7c0-4e88-a487-cd0867606cfe"/>
    <xsd:import namespace="60b923bd-8e39-4575-a5c2-829114d4a3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aa921-a7c0-4e88-a487-cd0867606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Теги зображень" ma:readOnly="false" ma:fieldId="{5cf76f15-5ced-4ddc-b409-7134ff3c332f}" ma:taxonomyMulti="true" ma:sspId="305c0940-a45f-4cf1-ad65-41dec1f6f7e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b923bd-8e39-4575-a5c2-829114d4a3cf" elementFormDefault="qualified">
    <xsd:import namespace="http://schemas.microsoft.com/office/2006/documentManagement/types"/>
    <xsd:import namespace="http://schemas.microsoft.com/office/infopath/2007/PartnerControls"/>
    <xsd:element name="SharedWithUsers" ma:index="1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Відомості про тих, хто має доступ" ma:internalName="SharedWithDetails" ma:readOnly="true">
      <xsd:simpleType>
        <xsd:restriction base="dms:Note">
          <xsd:maxLength value="255"/>
        </xsd:restriction>
      </xsd:simpleType>
    </xsd:element>
    <xsd:element name="TaxCatchAll" ma:index="20" nillable="true" ma:displayName="Taxonomy Catch All Column" ma:hidden="true" ma:list="{b168ba21-c941-4486-95c0-adbc6c019343}" ma:internalName="TaxCatchAll" ma:showField="CatchAllData" ma:web="60b923bd-8e39-4575-a5c2-829114d4a3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b923bd-8e39-4575-a5c2-829114d4a3cf" xsi:nil="true"/>
    <lcf76f155ced4ddcb4097134ff3c332f xmlns="971aa921-a7c0-4e88-a487-cd0867606c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6A6711-CB03-42FF-8848-6051C8191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aa921-a7c0-4e88-a487-cd0867606cfe"/>
    <ds:schemaRef ds:uri="60b923bd-8e39-4575-a5c2-829114d4a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C3FC7E-3FF5-487E-817F-1297A873F3B0}">
  <ds:schemaRefs>
    <ds:schemaRef ds:uri="http://schemas.microsoft.com/sharepoint/v3/contenttype/forms"/>
  </ds:schemaRefs>
</ds:datastoreItem>
</file>

<file path=customXml/itemProps3.xml><?xml version="1.0" encoding="utf-8"?>
<ds:datastoreItem xmlns:ds="http://schemas.openxmlformats.org/officeDocument/2006/customXml" ds:itemID="{E5837C00-9B0B-4D3B-8E9E-CAC1E49B3653}">
  <ds:schemaRefs>
    <ds:schemaRef ds:uri="http://schemas.microsoft.com/office/2006/metadata/properties"/>
    <ds:schemaRef ds:uri="http://schemas.microsoft.com/office/infopath/2007/PartnerControls"/>
    <ds:schemaRef ds:uri="60b923bd-8e39-4575-a5c2-829114d4a3cf"/>
    <ds:schemaRef ds:uri="971aa921-a7c0-4e88-a487-cd0867606c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Черних-Радюк Анастасія Борисівна</cp:lastModifiedBy>
  <cp:revision/>
  <dcterms:created xsi:type="dcterms:W3CDTF">2015-06-05T18:17:20Z</dcterms:created>
  <dcterms:modified xsi:type="dcterms:W3CDTF">2026-06-08T12:44:33Z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y fmtid="{D5CDD505-2E9C-101B-9397-08002B2CF9AE}" pid="10" name="ContentTypeId">
    <vt:lpwstr>0x010100DB055CB0B745FA438D65E63B2A65B963</vt:lpwstr>
  </property>
</Properties>
</file>